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jerosado\Desktop\"/>
    </mc:Choice>
  </mc:AlternateContent>
  <xr:revisionPtr revIDLastSave="0" documentId="8_{3A159D86-FFFA-4009-8E2D-3DCC0334FACF}" xr6:coauthVersionLast="47" xr6:coauthVersionMax="47" xr10:uidLastSave="{00000000-0000-0000-0000-000000000000}"/>
  <bookViews>
    <workbookView xWindow="-28920" yWindow="-120" windowWidth="29040" windowHeight="15720" xr2:uid="{D3013D71-44A1-4A2E-BB90-740F8A07934A}"/>
  </bookViews>
  <sheets>
    <sheet name="Cover" sheetId="79" r:id="rId1"/>
    <sheet name="Dashboard" sheetId="51" r:id="rId2"/>
    <sheet name="Rates" sheetId="70" r:id="rId3"/>
    <sheet name="Lighting Rates" sheetId="75" r:id="rId4"/>
    <sheet name="Calculations &gt;" sheetId="48" r:id="rId5"/>
    <sheet name="Revenue Summary" sheetId="16" r:id="rId6"/>
    <sheet name="Consumer Analysis" sheetId="17" r:id="rId7"/>
    <sheet name="Consumer Analysis - Lighting" sheetId="18" r:id="rId8"/>
    <sheet name="Riders" sheetId="68" r:id="rId9"/>
    <sheet name="Revenue Summary w Riders" sheetId="33" r:id="rId10"/>
    <sheet name="Inputs &gt;" sheetId="45" r:id="rId11"/>
    <sheet name="Revenue Requirement" sheetId="59" r:id="rId12"/>
    <sheet name="COSS Results" sheetId="67" r:id="rId13"/>
    <sheet name="Billing Determinant Forecast" sheetId="29" r:id="rId14"/>
    <sheet name="2026 Forecast" sheetId="55" r:id="rId15"/>
    <sheet name="2027 Forecast" sheetId="53" r:id="rId16"/>
    <sheet name="2028 Forecast" sheetId="57" r:id="rId17"/>
    <sheet name="Helpers &gt;" sheetId="46" r:id="rId18"/>
    <sheet name="Lists and Mapping" sheetId="52" r:id="rId19"/>
    <sheet name="Billing Units" sheetId="13" r:id="rId20"/>
    <sheet name="Rate Inputs" sheetId="22" r:id="rId21"/>
    <sheet name="Rate Summary" sheetId="77" r:id="rId22"/>
    <sheet name="Revenue Requir (old)" sheetId="31" state="hidden" r:id="rId23"/>
  </sheets>
  <externalReferences>
    <externalReference r:id="rId24"/>
    <externalReference r:id="rId25"/>
    <externalReference r:id="rId26"/>
    <externalReference r:id="rId27"/>
    <externalReference r:id="rId28"/>
    <externalReference r:id="rId29"/>
    <externalReference r:id="rId30"/>
  </externalReferences>
  <definedNames>
    <definedName name="_____12373990" localSheetId="22" hidden="1">#REF!</definedName>
    <definedName name="_____12373990" hidden="1">#REF!</definedName>
    <definedName name="_____20316327" localSheetId="22" hidden="1">#REF!</definedName>
    <definedName name="_____20316327" hidden="1">#REF!</definedName>
    <definedName name="_____26559955" localSheetId="22" hidden="1">#REF!</definedName>
    <definedName name="_____26559955" hidden="1">#REF!</definedName>
    <definedName name="_____26617992" hidden="1">#REF!</definedName>
    <definedName name="_____27743197" hidden="1">#REF!</definedName>
    <definedName name="_____29735166" hidden="1">#REF!</definedName>
    <definedName name="_____34935946" hidden="1">#REF!</definedName>
    <definedName name="_____38776458" hidden="1">#REF!</definedName>
    <definedName name="_____45491100" hidden="1">#REF!</definedName>
    <definedName name="_____46059514" hidden="1">#REF!</definedName>
    <definedName name="_____4952205" hidden="1">#REF!</definedName>
    <definedName name="_____50213469" hidden="1">#REF!</definedName>
    <definedName name="_____50747318" hidden="1">#REF!</definedName>
    <definedName name="_____52407319" hidden="1">#REF!</definedName>
    <definedName name="_____52819467" hidden="1">#REF!</definedName>
    <definedName name="_____69542641" hidden="1">#REF!</definedName>
    <definedName name="_____72294719" hidden="1">#REF!</definedName>
    <definedName name="_____73489494" hidden="1">#REF!</definedName>
    <definedName name="__123Graph_A" localSheetId="14" hidden="1">'[1]Month 8'!#REF!</definedName>
    <definedName name="__123Graph_A" localSheetId="15" hidden="1">'[1]Month 8'!#REF!</definedName>
    <definedName name="__123Graph_A" localSheetId="16" hidden="1">'[1]Month 8'!#REF!</definedName>
    <definedName name="__123Graph_A" localSheetId="13" hidden="1">'[1]Month 8'!#REF!</definedName>
    <definedName name="__123Graph_A" localSheetId="7" hidden="1">[2]Fuel!#REF!</definedName>
    <definedName name="__123Graph_A" localSheetId="22" hidden="1">'[1]Month 8'!#REF!</definedName>
    <definedName name="__123Graph_A" hidden="1">#REF!</definedName>
    <definedName name="__123Graph_A2" hidden="1">#REF!</definedName>
    <definedName name="__123Graph_ADA" hidden="1">#REF!</definedName>
    <definedName name="__123Graph_ADEPREC2" hidden="1">#REF!</definedName>
    <definedName name="__123Graph_ADSM" hidden="1">#REF!</definedName>
    <definedName name="__123Graph_AGraph17" localSheetId="22" hidden="1">#REF!</definedName>
    <definedName name="__123Graph_AGraph17" hidden="1">#REF!</definedName>
    <definedName name="__123Graph_AGROSSREQ" hidden="1">#REF!</definedName>
    <definedName name="__123Graph_APEAKS" hidden="1">#REF!</definedName>
    <definedName name="__123Graph_APKDEMAND" hidden="1">#REF!</definedName>
    <definedName name="__123Graph_APOPSALES" hidden="1">#REF!</definedName>
    <definedName name="__123Graph_ASALEBAND" hidden="1">#REF!</definedName>
    <definedName name="__123Graph_ASALECOMP" hidden="1">#REF!</definedName>
    <definedName name="__123Graph_ASALES" hidden="1">#REF!</definedName>
    <definedName name="__123Graph_ATAB13" hidden="1">#REF!</definedName>
    <definedName name="__123Graph_ATREND" hidden="1">#REF!</definedName>
    <definedName name="__123Graph_AUSERATE" hidden="1">#REF!</definedName>
    <definedName name="__123Graph_B" localSheetId="14" hidden="1">[3]Sheet1!#REF!</definedName>
    <definedName name="__123Graph_B" localSheetId="15" hidden="1">[3]Sheet1!#REF!</definedName>
    <definedName name="__123Graph_B" localSheetId="16" hidden="1">[3]Sheet1!#REF!</definedName>
    <definedName name="__123Graph_B" localSheetId="13" hidden="1">[3]Sheet1!#REF!</definedName>
    <definedName name="__123Graph_B" localSheetId="7" hidden="1">[2]Fuel!#REF!</definedName>
    <definedName name="__123Graph_B" localSheetId="22" hidden="1">[3]Sheet1!#REF!</definedName>
    <definedName name="__123Graph_B" hidden="1">#REF!</definedName>
    <definedName name="__123Graph_BGraph17" localSheetId="22" hidden="1">#REF!</definedName>
    <definedName name="__123Graph_BGraph17" hidden="1">#REF!</definedName>
    <definedName name="__123Graph_BGROSSREQ" hidden="1">#REF!</definedName>
    <definedName name="__123Graph_BPEAKS" hidden="1">#REF!</definedName>
    <definedName name="__123Graph_BPKDEMAND" hidden="1">#REF!</definedName>
    <definedName name="__123Graph_BPOPSALES" hidden="1">#REF!</definedName>
    <definedName name="__123Graph_BSALEBAND" hidden="1">#REF!</definedName>
    <definedName name="__123Graph_BSALECOMP" hidden="1">#REF!</definedName>
    <definedName name="__123Graph_BSALES" hidden="1">#REF!</definedName>
    <definedName name="__123Graph_BTAB13" hidden="1">#REF!</definedName>
    <definedName name="__123Graph_BTREND" hidden="1">#REF!</definedName>
    <definedName name="__123Graph_BUSERATE" hidden="1">#REF!</definedName>
    <definedName name="__123Graph_C" localSheetId="0" hidden="1">#REF!</definedName>
    <definedName name="__123Graph_C" localSheetId="22" hidden="1">'[1]Month 8'!#REF!</definedName>
    <definedName name="__123Graph_C" hidden="1">'[1]Month 8'!#REF!</definedName>
    <definedName name="__123Graph_CGraph17" localSheetId="22" hidden="1">#REF!</definedName>
    <definedName name="__123Graph_CGraph17" hidden="1">#REF!</definedName>
    <definedName name="__123Graph_CGROSSREQ" hidden="1">#REF!</definedName>
    <definedName name="__123Graph_CPEAKS" hidden="1">#REF!</definedName>
    <definedName name="__123Graph_CPKDEMAND" hidden="1">#REF!</definedName>
    <definedName name="__123Graph_CSALEBAND" hidden="1">#REF!</definedName>
    <definedName name="__123Graph_CSALES" hidden="1">#REF!</definedName>
    <definedName name="__123Graph_CTAB13" hidden="1">#REF!</definedName>
    <definedName name="__123Graph_CTREND" hidden="1">#REF!</definedName>
    <definedName name="__123Graph_D" localSheetId="22" hidden="1">'[1]Month 8'!#REF!</definedName>
    <definedName name="__123Graph_D" hidden="1">#REF!</definedName>
    <definedName name="__123Graph_DGraph17" localSheetId="22" hidden="1">#REF!</definedName>
    <definedName name="__123Graph_DGraph17" hidden="1">#REF!</definedName>
    <definedName name="__123Graph_DPEAKS" hidden="1">#REF!</definedName>
    <definedName name="__123Graph_DSALES" hidden="1">#REF!</definedName>
    <definedName name="__123Graph_DTAB13" hidden="1">#REF!</definedName>
    <definedName name="__123Graph_EGraph17" localSheetId="22" hidden="1">#REF!</definedName>
    <definedName name="__123Graph_EGraph17" hidden="1">#REF!</definedName>
    <definedName name="__123Graph_ETAB13" hidden="1">#REF!</definedName>
    <definedName name="__123Graph_FTAB13" hidden="1">#REF!</definedName>
    <definedName name="__123Graph_X" localSheetId="14" hidden="1">#REF!</definedName>
    <definedName name="__123Graph_X" localSheetId="15" hidden="1">#REF!</definedName>
    <definedName name="__123Graph_X" localSheetId="16" hidden="1">#REF!</definedName>
    <definedName name="__123Graph_X" localSheetId="13" hidden="1">#REF!</definedName>
    <definedName name="__123Graph_X" localSheetId="7" hidden="1">[2]Fuel!#REF!</definedName>
    <definedName name="__123Graph_X" hidden="1">#REF!</definedName>
    <definedName name="__123Graph_XDSM" hidden="1">#REF!</definedName>
    <definedName name="__123Graph_XGROSSREQ" hidden="1">#REF!</definedName>
    <definedName name="__123Graph_XPEAKS" hidden="1">#REF!</definedName>
    <definedName name="__123Graph_XPKDEMAND" hidden="1">#REF!</definedName>
    <definedName name="__123Graph_XPOPSALES" hidden="1">#REF!</definedName>
    <definedName name="__123Graph_XSALEBAND" hidden="1">#REF!</definedName>
    <definedName name="__123Graph_XSALECOMP" hidden="1">#REF!</definedName>
    <definedName name="__123Graph_XSALES" hidden="1">#REF!</definedName>
    <definedName name="__123Graph_XTAB13" hidden="1">#REF!</definedName>
    <definedName name="__123Graph_XTREND" hidden="1">#REF!</definedName>
    <definedName name="__123Graph_XUSERATE" hidden="1">#REF!</definedName>
    <definedName name="__FDS_HYPERLINK_TOGGLE_STATE__" hidden="1">"ON"</definedName>
    <definedName name="__IntlFixup" hidden="1">TRUE</definedName>
    <definedName name="_1__123Graph_A_FABP_L.WK1_FAB" hidden="1">#REF!</definedName>
    <definedName name="_1__123Graph_ACHART_1" localSheetId="22" hidden="1">#REF!</definedName>
    <definedName name="_1__123Graph_ACHART_1" hidden="1">#REF!</definedName>
    <definedName name="_1__123Graph_AR_M_MARG" localSheetId="22" hidden="1">'Revenue Requir (old)'!#REF!</definedName>
    <definedName name="_1__123Graph_AR_M_MARG" hidden="1">#REF!</definedName>
    <definedName name="_10__123Graph_DCHART_1" hidden="1">#REF!</definedName>
    <definedName name="_11__123Graph_DCHART_3" hidden="1">#REF!</definedName>
    <definedName name="_2__123Graph_ACHART_2" localSheetId="22" hidden="1">#REF!</definedName>
    <definedName name="_2__123Graph_ACHART_2" hidden="1">#REF!</definedName>
    <definedName name="_2__123Graph_ADEPREC" hidden="1">#REF!</definedName>
    <definedName name="_3__123Graph_ACHART_3" localSheetId="22" hidden="1">#REF!</definedName>
    <definedName name="_3__123Graph_ACHART_3" hidden="1">#REF!</definedName>
    <definedName name="_3__123Graph_B_FABP_L.WK1_FAB" hidden="1">#REF!</definedName>
    <definedName name="_3_0__123Grap" localSheetId="22" hidden="1">'Revenue Requir (old)'!#REF!</definedName>
    <definedName name="_3_0__123Grap" hidden="1">#REF!</definedName>
    <definedName name="_4__123Graph_BCHART_1" localSheetId="22" hidden="1">#REF!</definedName>
    <definedName name="_4__123Graph_BCHART_1" hidden="1">#REF!</definedName>
    <definedName name="_4__123Graph_C_FABP_L.WK1_FAB" hidden="1">#REF!</definedName>
    <definedName name="_5__123Graph_BCHART_2" hidden="1">#REF!</definedName>
    <definedName name="_5__123Graph_CCHART_1" localSheetId="22" hidden="1">#REF!</definedName>
    <definedName name="_5__123Graph_CCHART_1" hidden="1">#REF!</definedName>
    <definedName name="_5__123Graph_X_FABP_L.WK1_FAB" hidden="1">#REF!</definedName>
    <definedName name="_6__123Graph_BCHART_3" hidden="1">#REF!</definedName>
    <definedName name="_6__123Graph_DCHART_1" localSheetId="22" hidden="1">#REF!</definedName>
    <definedName name="_6__123Graph_DCHART_1" hidden="1">#REF!</definedName>
    <definedName name="_7__123Graph_CCHART_1" hidden="1">#REF!</definedName>
    <definedName name="_7__123Graph_XCHART_2" localSheetId="22" hidden="1">#REF!</definedName>
    <definedName name="_7__123Graph_XCHART_2" hidden="1">#REF!</definedName>
    <definedName name="_8__123Graph_CCHART_2" hidden="1">#REF!</definedName>
    <definedName name="_8__123Graph_XCHART_3" localSheetId="22" hidden="1">#REF!</definedName>
    <definedName name="_8__123Graph_XCHART_3" hidden="1">#REF!</definedName>
    <definedName name="_9__123Graph_CCHART_3" hidden="1">#REF!</definedName>
    <definedName name="_AI" localSheetId="22" hidden="1">#REF!</definedName>
    <definedName name="_AI"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dm.014FD9419BB94533AF28C034C312B1BE.edm" hidden="1">#REF!</definedName>
    <definedName name="_bdm.095e75f33956414fae7b0c9bbb98fade.edm" hidden="1">#REF!</definedName>
    <definedName name="_bdm.0adb93bbf74446e6827eeefb83e21a2a.edm" hidden="1">#REF!</definedName>
    <definedName name="_bdm.0E59881AC0E44B969D48761DB6FC33B5.edm" hidden="1">#REF!</definedName>
    <definedName name="_bdm.204033D4E7FD4DE6A67166AE14521930.edm" hidden="1">#REF!</definedName>
    <definedName name="_bdm.380e1303da744dfdbf6ccba50b770a08.edm" hidden="1">#REF!</definedName>
    <definedName name="_bdm.49839103C83A42EE84CD8C2DBEF4C623.edm" hidden="1">#REF!</definedName>
    <definedName name="_bdm.4F57087C3D484196BD4BED70B94B1680.edm" hidden="1">#REF!</definedName>
    <definedName name="_bdm.54FEDCB6892A471383BE72D0E6F4DF4C.edm" hidden="1">#REF!</definedName>
    <definedName name="_bdm.6333969F14C7422A979F88C002ADBC03.edm" hidden="1">#REF!</definedName>
    <definedName name="_bdm.6DDFF3E8FE4D473EA5157150B0FBA502.edm" hidden="1">#REF!</definedName>
    <definedName name="_bdm.83ce03a788c345deb98cab037a1dd39f.edm" hidden="1">#REF!</definedName>
    <definedName name="_bdm.866DD84208EE4C9AB603A9AAD8FE1930.edm" hidden="1">#REF!</definedName>
    <definedName name="_bdm.98B65313C9A94C659B8680866B9FCD86.edm" hidden="1">#REF!</definedName>
    <definedName name="_bdm.C2D188A744CB405CA437BE468542B365.edm" hidden="1">#REF!</definedName>
    <definedName name="_Fill" localSheetId="14" hidden="1">#REF!</definedName>
    <definedName name="_Fill" localSheetId="15" hidden="1">#REF!</definedName>
    <definedName name="_Fill" localSheetId="16" hidden="1">#REF!</definedName>
    <definedName name="_Fill" localSheetId="13" hidden="1">#REF!</definedName>
    <definedName name="_Fill" localSheetId="7" hidden="1">#REF!</definedName>
    <definedName name="_Fill" hidden="1">#REF!</definedName>
    <definedName name="_Fill2" hidden="1">#REF!</definedName>
    <definedName name="_xlnm._FilterDatabase" localSheetId="1" hidden="1">Dashboard!$A$8:$R$74</definedName>
    <definedName name="_xlnm._FilterDatabase" localSheetId="2" hidden="1">Rates!$A$6:$F$159</definedName>
    <definedName name="_Key1" localSheetId="22" hidden="1">#REF!</definedName>
    <definedName name="_Key1" hidden="1">#REF!</definedName>
    <definedName name="_Key2" localSheetId="22" hidden="1">#REF!</definedName>
    <definedName name="_Key2" hidden="1">#REF!</definedName>
    <definedName name="_Order1" hidden="1">255</definedName>
    <definedName name="_Order2" hidden="1">255</definedName>
    <definedName name="_Regression_Int" hidden="1">1</definedName>
    <definedName name="_Regression_Out" localSheetId="22" hidden="1">#REF!</definedName>
    <definedName name="_Regression_Out" hidden="1">#REF!</definedName>
    <definedName name="_Regression_X" hidden="1">#REF!</definedName>
    <definedName name="_Regression_Y" hidden="1">#REF!</definedName>
    <definedName name="_Sort" hidden="1">#REF!</definedName>
    <definedName name="_Sort2"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aa"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aa"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aa"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aaa" hidden="1">#REF!</definedName>
    <definedName name="AAA_DOCTOPS" hidden="1">"AAA_SET"</definedName>
    <definedName name="AAA_duser" hidden="1">"OFF"</definedName>
    <definedName name="aaaaaaaaaaaa" hidden="1">#REF!</definedName>
    <definedName name="aaaaaaaaaaaaa" localSheetId="22" hidden="1">#REF!</definedName>
    <definedName name="aaaaaaaaaaaaa" hidden="1">#REF!</definedName>
    <definedName name="AAB_Addin5" hidden="1">"AAB_Description for addin 5,Description for addin 5,Description for addin 5,Description for addin 5,Description for addin 5,Description for addin 5"</definedName>
    <definedName name="abd" localSheetId="21" hidden="1">{#N/A,#N/A,FALSE,"FY97P1";#N/A,#N/A,FALSE,"FY97Z312";#N/A,#N/A,FALSE,"FY97LRBC";#N/A,#N/A,FALSE,"FY97O";#N/A,#N/A,FALSE,"FY97DAM"}</definedName>
    <definedName name="abd" localSheetId="22" hidden="1">{#N/A,#N/A,FALSE,"FY97P1";#N/A,#N/A,FALSE,"FY97Z312";#N/A,#N/A,FALSE,"FY97LRBC";#N/A,#N/A,FALSE,"FY97O";#N/A,#N/A,FALSE,"FY97DAM"}</definedName>
    <definedName name="abd" hidden="1">{#N/A,#N/A,FALSE,"FY97P1";#N/A,#N/A,FALSE,"FY97Z312";#N/A,#N/A,FALSE,"FY97LRBC";#N/A,#N/A,FALSE,"FY97O";#N/A,#N/A,FALSE,"FY97DAM"}</definedName>
    <definedName name="active_case">'[4]Active Case Dashboard'!$D$25</definedName>
    <definedName name="active_customer">'[4]Active Case Dashboard'!$D$21</definedName>
    <definedName name="active_new_rate">'[4]Active Case Dashboard'!$D$19</definedName>
    <definedName name="aedfadf" localSheetId="14" hidden="1">TextRefCopy1</definedName>
    <definedName name="aedfadf" localSheetId="15" hidden="1">TextRefCopy1</definedName>
    <definedName name="aedfadf" localSheetId="16" hidden="1">TextRefCopy1</definedName>
    <definedName name="aedfadf" localSheetId="13" hidden="1">TextRefCopy1</definedName>
    <definedName name="aedfadf" localSheetId="21" hidden="1">TextRefCopy1</definedName>
    <definedName name="aedfadf" localSheetId="22" hidden="1">TextRefCopy1</definedName>
    <definedName name="aedfadf" localSheetId="9" hidden="1">TextRefCopy1</definedName>
    <definedName name="aedfadf" hidden="1">TextRefCopy1</definedName>
    <definedName name="anscount" hidden="1">3</definedName>
    <definedName name="as" localSheetId="22" hidden="1">#REF!</definedName>
    <definedName name="as" hidden="1">#REF!</definedName>
    <definedName name="AS2TickmarkLS" localSheetId="22" hidden="1">#REF!</definedName>
    <definedName name="AS2TickmarkLS" hidden="1">#REF!</definedName>
    <definedName name="asASas" localSheetId="22" hidden="1">#REF!</definedName>
    <definedName name="asASas" hidden="1">#REF!</definedName>
    <definedName name="asd" localSheetId="22" hidden="1">'Revenue Requir (old)'!#REF!</definedName>
    <definedName name="asd" hidden="1">#REF!</definedName>
    <definedName name="asda" localSheetId="21" hidden="1">{#N/A,#N/A,FALSE,"FY97P1";#N/A,#N/A,FALSE,"FY97Z312";#N/A,#N/A,FALSE,"FY97LRBC";#N/A,#N/A,FALSE,"FY97O";#N/A,#N/A,FALSE,"FY97DAM"}</definedName>
    <definedName name="asda" localSheetId="22" hidden="1">{#N/A,#N/A,FALSE,"FY97P1";#N/A,#N/A,FALSE,"FY97Z312";#N/A,#N/A,FALSE,"FY97LRBC";#N/A,#N/A,FALSE,"FY97O";#N/A,#N/A,FALSE,"FY97DAM"}</definedName>
    <definedName name="asda" hidden="1">{#N/A,#N/A,FALSE,"FY97P1";#N/A,#N/A,FALSE,"FY97Z312";#N/A,#N/A,FALSE,"FY97LRBC";#N/A,#N/A,FALSE,"FY97O";#N/A,#N/A,FALSE,"FY97DAM"}</definedName>
    <definedName name="asdasd" localSheetId="21" hidden="1">{#N/A,#N/A,FALSE,"FY97P1";#N/A,#N/A,FALSE,"FY97Z312";#N/A,#N/A,FALSE,"FY97LRBC";#N/A,#N/A,FALSE,"FY97O";#N/A,#N/A,FALSE,"FY97DAM"}</definedName>
    <definedName name="asdasd" localSheetId="22" hidden="1">{#N/A,#N/A,FALSE,"FY97P1";#N/A,#N/A,FALSE,"FY97Z312";#N/A,#N/A,FALSE,"FY97LRBC";#N/A,#N/A,FALSE,"FY97O";#N/A,#N/A,FALSE,"FY97DAM"}</definedName>
    <definedName name="asdasd" hidden="1">{#N/A,#N/A,FALSE,"FY97P1";#N/A,#N/A,FALSE,"FY97Z312";#N/A,#N/A,FALSE,"FY97LRBC";#N/A,#N/A,FALSE,"FY97O";#N/A,#N/A,FALSE,"FY97DAM"}</definedName>
    <definedName name="asdasdasdas" localSheetId="21" hidden="1">{#N/A,#N/A,FALSE,"FY97P1";#N/A,#N/A,FALSE,"FY97Z312";#N/A,#N/A,FALSE,"FY97LRBC";#N/A,#N/A,FALSE,"FY97O";#N/A,#N/A,FALSE,"FY97DAM"}</definedName>
    <definedName name="asdasdasdas" localSheetId="22" hidden="1">{#N/A,#N/A,FALSE,"FY97P1";#N/A,#N/A,FALSE,"FY97Z312";#N/A,#N/A,FALSE,"FY97LRBC";#N/A,#N/A,FALSE,"FY97O";#N/A,#N/A,FALSE,"FY97DAM"}</definedName>
    <definedName name="asdasdasdas" hidden="1">{#N/A,#N/A,FALSE,"FY97P1";#N/A,#N/A,FALSE,"FY97Z312";#N/A,#N/A,FALSE,"FY97LRBC";#N/A,#N/A,FALSE,"FY97O";#N/A,#N/A,FALSE,"FY97DAM"}</definedName>
    <definedName name="asdasds" localSheetId="21" hidden="1">{#N/A,#N/A,FALSE,"FY97P1";#N/A,#N/A,FALSE,"FY97Z312";#N/A,#N/A,FALSE,"FY97LRBC";#N/A,#N/A,FALSE,"FY97O";#N/A,#N/A,FALSE,"FY97DAM"}</definedName>
    <definedName name="asdasds" localSheetId="22" hidden="1">{#N/A,#N/A,FALSE,"FY97P1";#N/A,#N/A,FALSE,"FY97Z312";#N/A,#N/A,FALSE,"FY97LRBC";#N/A,#N/A,FALSE,"FY97O";#N/A,#N/A,FALSE,"FY97DAM"}</definedName>
    <definedName name="asdasds" hidden="1">{#N/A,#N/A,FALSE,"FY97P1";#N/A,#N/A,FALSE,"FY97Z312";#N/A,#N/A,FALSE,"FY97LRBC";#N/A,#N/A,FALSE,"FY97O";#N/A,#N/A,FALSE,"FY97DAM"}</definedName>
    <definedName name="asdasfsdfa" localSheetId="21" hidden="1">{#N/A,#N/A,FALSE,"FY97P1";#N/A,#N/A,FALSE,"FY97Z312";#N/A,#N/A,FALSE,"FY97LRBC";#N/A,#N/A,FALSE,"FY97O";#N/A,#N/A,FALSE,"FY97DAM"}</definedName>
    <definedName name="asdasfsdfa" localSheetId="22" hidden="1">{#N/A,#N/A,FALSE,"FY97P1";#N/A,#N/A,FALSE,"FY97Z312";#N/A,#N/A,FALSE,"FY97LRBC";#N/A,#N/A,FALSE,"FY97O";#N/A,#N/A,FALSE,"FY97DAM"}</definedName>
    <definedName name="asdasfsdfa" hidden="1">{#N/A,#N/A,FALSE,"FY97P1";#N/A,#N/A,FALSE,"FY97Z312";#N/A,#N/A,FALSE,"FY97LRBC";#N/A,#N/A,FALSE,"FY97O";#N/A,#N/A,FALSE,"FY97DAM"}</definedName>
    <definedName name="asdf" hidden="1">#REF!</definedName>
    <definedName name="avoided_cost_8760">'[4]Active Avoided Costs'!$F$10:$F$8769</definedName>
    <definedName name="awer" localSheetId="22" hidden="1">#REF!</definedName>
    <definedName name="awer" hidden="1">#REF!</definedName>
    <definedName name="battery_efficiency">'[4]Battery Storage'!$C$12</definedName>
    <definedName name="bb"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bb"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bb"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bb_M0FFQkVFMkZCRDk1NEY0OT" hidden="1">#REF!</definedName>
    <definedName name="bb_M0I1RkJFNDJBNUJENEU4N0" hidden="1">#REF!</definedName>
    <definedName name="bb_M0I3RUFGRjQ3OEY0NEE4RT" hidden="1">#REF!</definedName>
    <definedName name="bb_M0I4QjQwNkY4NUNFNDRGNz" hidden="1">#REF!</definedName>
    <definedName name="bb_M0IyMkQ3MUJCQjYyNEU1OT" hidden="1">#REF!</definedName>
    <definedName name="bb_M0JCNUREQTJCNTc4NDlGMz" hidden="1">#REF!</definedName>
    <definedName name="bb_M0JDN0E0ODg5QzQ2NDQxRE" hidden="1">#REF!</definedName>
    <definedName name="bb_M0Q1Q0M4MjA5NEJGNDY0Nk" hidden="1">#REF!</definedName>
    <definedName name="bb_M0Q5RTNENEU0QTk3NDhFMj" hidden="1">#REF!</definedName>
    <definedName name="bb_M0U0NTY0NEY4QjU4NDUwMj" hidden="1">#REF!</definedName>
    <definedName name="bb_M0VCODYwMkI1NjVDNDgyQz" hidden="1">#REF!</definedName>
    <definedName name="bb_M0VDNTdGQzczQTJBNDU5QU" hidden="1">#REF!</definedName>
    <definedName name="bb_M0YwMUZDMDdDMkM1NDczQz" hidden="1">#REF!</definedName>
    <definedName name="bb_M0ZCQTgyMjhEODJBNERDRD" hidden="1">#REF!</definedName>
    <definedName name="bb_M0ZGQzUwQUYzOTFCNEY2Rj" hidden="1">#REF!</definedName>
    <definedName name="bb_MDA2QUVGMzg5M0NDNDNFRU" hidden="1">#REF!</definedName>
    <definedName name="bb_MDAyNEFFMTA5MjFFNEMwQU" hidden="1">#REF!</definedName>
    <definedName name="bb_MDBGMzFERTdCNEJCNEVGQU" hidden="1">#REF!</definedName>
    <definedName name="bb_MDc0MTBCOEJGRThDNERDME" hidden="1">#REF!</definedName>
    <definedName name="bb_MDdCRkZENDg3NTkxNEVFRT" hidden="1">#REF!</definedName>
    <definedName name="bb_MDE2NzJDQzIxMDBENDIwOE" hidden="1">#REF!</definedName>
    <definedName name="bb_MDFBMEM2MTkzM0I3NDVGQU" hidden="1">#REF!</definedName>
    <definedName name="bb_MDg4MjQ0ODIwNzg4NEFDNk" hidden="1">#REF!</definedName>
    <definedName name="bb_MDgxMjNDRDIyN0M4NDdBND" localSheetId="22" hidden="1">#REF!</definedName>
    <definedName name="bb_MDgxMjNDRDIyN0M4NDdBND" hidden="1">#REF!</definedName>
    <definedName name="bb_MDhBQTkyOTNBMDQ5NEY4N0" localSheetId="22" hidden="1">#REF!</definedName>
    <definedName name="bb_MDhBQTkyOTNBMDQ5NEY4N0" hidden="1">#REF!</definedName>
    <definedName name="bb_MDhCOTVCREVDMDgyNEUwRD" localSheetId="22" hidden="1">'Revenue Requir (old)'!#REF!</definedName>
    <definedName name="bb_MDhCOTVCREVDMDgyNEUwRD" hidden="1">#REF!</definedName>
    <definedName name="bb_MDJERjU3RTY0QjNCNDIwNT" localSheetId="22" hidden="1">#REF!</definedName>
    <definedName name="bb_MDJERjU3RTY0QjNCNDIwNT" hidden="1">#REF!</definedName>
    <definedName name="bb_MDJFNUE2Mzk5QURGNDU4OT" localSheetId="22" hidden="1">#REF!</definedName>
    <definedName name="bb_MDJFNUE2Mzk5QURGNDU4OT" hidden="1">#REF!</definedName>
    <definedName name="bb_MDk0NTQxOTJENTc1NDVCOU" localSheetId="22" hidden="1">#REF!</definedName>
    <definedName name="bb_MDk0NTQxOTJENTc1NDVCOU" hidden="1">#REF!</definedName>
    <definedName name="bb_MDk1M0Y3RTQyNTJDNDU4NE" hidden="1">#REF!</definedName>
    <definedName name="bb_MDk5N0Y2NDNBODAyNDBBMT" hidden="1">#REF!</definedName>
    <definedName name="bb_MDkxNkZDNDNBMDc4NEEwOU" hidden="1">#REF!</definedName>
    <definedName name="bb_MDlEREE3MEY4QTNFNDE3NT" hidden="1">#REF!</definedName>
    <definedName name="bb_MDMxN0JGMTMxRTZFNDhFRU" hidden="1">#REF!</definedName>
    <definedName name="bb_MDNCMjE2MDY4QzcxNEI0Rk" hidden="1">#REF!</definedName>
    <definedName name="bb_MDQyQ0Q2RkU0Mjk3NEIxME" hidden="1">#REF!</definedName>
    <definedName name="bb_MDRBN0Q2Q0E1NTJENDc0Mz" hidden="1">#REF!</definedName>
    <definedName name="bb_MDRCODI5MkYzMjJDNEIyQj" hidden="1">#REF!</definedName>
    <definedName name="bb_MDU2MUM1Q0NGNzNCNDYxMT" hidden="1">#REF!</definedName>
    <definedName name="bb_MDUzOTlCRjE5ODc4NEEwND" localSheetId="22" hidden="1">#REF!</definedName>
    <definedName name="bb_MDUzOTlCRjE5ODc4NEEwND" hidden="1">#REF!</definedName>
    <definedName name="bb_MDY1Q0FFOTMwQjU4NEMzQU" localSheetId="22" hidden="1">#REF!</definedName>
    <definedName name="bb_MDY1Q0FFOTMwQjU4NEMzQU" hidden="1">#REF!</definedName>
    <definedName name="bb_MDY4MTgyOEJGMDNBNDBGOE" localSheetId="22" hidden="1">#REF!</definedName>
    <definedName name="bb_MDY4MTgyOEJGMDNBNDBGOE" hidden="1">#REF!</definedName>
    <definedName name="bb_MEE3ODNFRkM4MURENEJFNj" hidden="1">#REF!</definedName>
    <definedName name="bb_MEI4NDUwNzVEMUI4NDdDOT" hidden="1">#REF!</definedName>
    <definedName name="bb_MEI4NEYwNzY0NjgxNEM3RE" hidden="1">#REF!</definedName>
    <definedName name="bb_MEJCRENBRDFBMTEzNEU3NU" hidden="1">#REF!</definedName>
    <definedName name="bb_MEM4NjdFOUY0RjNFNEFDRj" hidden="1">#REF!</definedName>
    <definedName name="bb_MENCQzBEM0E2NkEwNENGNk" hidden="1">#REF!</definedName>
    <definedName name="bb_MENDRjAwQ0MyMTQ4NDgyRk" hidden="1">#REF!</definedName>
    <definedName name="bb_MEQxMDE2QUI2MjZGNEI1Mz" hidden="1">#REF!</definedName>
    <definedName name="bb_MERDQkIxM0JDQTUxNDY4QU" hidden="1">#REF!</definedName>
    <definedName name="bb_MERDQkVGMkUwODhFNEE3Mz" hidden="1">#REF!</definedName>
    <definedName name="bb_MERERTkzNUEzN0M0NDVCRk" hidden="1">#REF!</definedName>
    <definedName name="bb_MEU3NTEwNkNFRTU4NDY3QU" hidden="1">#REF!</definedName>
    <definedName name="bb_MEUzRUI3REVBRURCNDRBQk" hidden="1">#REF!</definedName>
    <definedName name="bb_MEY3MzMyRDQwRkVGNDlGMD" hidden="1">#REF!</definedName>
    <definedName name="bb_MEYyM0VGNDBGMEZENDUzND" hidden="1">#REF!</definedName>
    <definedName name="bb_MjAyMTg5Q0U1QzJCNEE4ND" hidden="1">#REF!</definedName>
    <definedName name="bb_MjBFMTFEOUNFRUFENDdGMz" hidden="1">#REF!</definedName>
    <definedName name="bb_Mjc5NjlCNzMzMDM3NEY1RT" hidden="1">#REF!</definedName>
    <definedName name="bb_MjdGREFDRTdGNzgwNDI0Rj" hidden="1">#REF!</definedName>
    <definedName name="bb_MjE2NTE4RTY0MTVCNDVEOT" hidden="1">#REF!</definedName>
    <definedName name="bb_MjEwQkIyRkI4QzRBNDEzRj" hidden="1">#REF!</definedName>
    <definedName name="bb_Mjg1ODc0NjU1Q0JGNDhEMT" hidden="1">#REF!</definedName>
    <definedName name="bb_Mjg4RUVFOTQ1NkE1NEIzQ0" hidden="1">#REF!</definedName>
    <definedName name="bb_MjhBOTlDNTAyNzIwNENEOD" hidden="1">#REF!</definedName>
    <definedName name="bb_MjI4RDQzNUEyQjcyNDlDNk" hidden="1">#REF!</definedName>
    <definedName name="bb_MjIyOEE1NzY0MDk0NDA3OE" hidden="1">#REF!</definedName>
    <definedName name="bb_MjIyQkJBQjI4MDY1NEJCND" hidden="1">#REF!</definedName>
    <definedName name="bb_MjIzMDIwMDRGNUEzNDIwMk" hidden="1">#REF!</definedName>
    <definedName name="bb_MjMwQzk2NkQ3RjQxNDEyMD" hidden="1">#REF!</definedName>
    <definedName name="bb_MjQ0QkU5MkNDNkU2NDhBMz" hidden="1">#REF!</definedName>
    <definedName name="bb_MjRCQTQ4NUEzNUQ2NDBDQ0" hidden="1">#REF!</definedName>
    <definedName name="bb_MjREQUY1QTA4NTFENDkxNz" hidden="1">#REF!</definedName>
    <definedName name="bb_MjU2MEREMzA5RDAwNDY5Q0" hidden="1">#REF!</definedName>
    <definedName name="bb_MjU5ODk2OTY1RTUxNDdGQj" hidden="1">#REF!</definedName>
    <definedName name="bb_MjUxQUFBRTkwREZGNDRFQT" hidden="1">#REF!</definedName>
    <definedName name="bb_MjVBN0M0MjYzOTNFNDY5Mk" hidden="1">#REF!</definedName>
    <definedName name="bb_MjVCNTdBOUQ2OUI2NEFEOU" localSheetId="22" hidden="1">#REF!</definedName>
    <definedName name="bb_MjVCNTdBOUQ2OUI2NEFEOU" hidden="1">#REF!</definedName>
    <definedName name="bb_MjVEQ0MxNUVFM0Y3NDA0RU" localSheetId="22" hidden="1">#REF!</definedName>
    <definedName name="bb_MjVEQ0MxNUVFM0Y3NDA0RU" hidden="1">#REF!</definedName>
    <definedName name="bb_MjY0OEQ2QjJDRUM5NDU0RE" localSheetId="22" hidden="1">#REF!</definedName>
    <definedName name="bb_MjY0OEQ2QjJDRUM5NDU0RE" hidden="1">#REF!</definedName>
    <definedName name="bb_MjZENEJCMzkxQTQzNDVGOT" hidden="1">#REF!</definedName>
    <definedName name="bb_MkEwNjNDNzA3MjRBNDI1QT" hidden="1">#REF!</definedName>
    <definedName name="bb_MkEwNkJDNDA1RDczNEIxMj" hidden="1">#REF!</definedName>
    <definedName name="bb_MkExMkQ5NTk2MEY5NEVCOD" hidden="1">#REF!</definedName>
    <definedName name="bb_MkFBMjdDNTFFQUMyNDIzRU" hidden="1">#REF!</definedName>
    <definedName name="bb_MkI1QjY3RjZBOUZGNDNGQz" hidden="1">#REF!</definedName>
    <definedName name="bb_MkI3NjcwMEJEOUEyNEQ0Q0" hidden="1">#REF!</definedName>
    <definedName name="bb_MkNDRDNBQTcxMUM0NDJCMk" hidden="1">#REF!</definedName>
    <definedName name="bb_MkNEQzY3RDc4QjQ1NDVFNj" hidden="1">#REF!</definedName>
    <definedName name="bb_MkQ1RUNCNERFRTkzNERFNk" hidden="1">#REF!</definedName>
    <definedName name="bb_MkQwM0I5RkE0N0M4NDYyRE" hidden="1">#REF!</definedName>
    <definedName name="bb_MkRCQUU1NzVERkI0NEQ1Qj" hidden="1">#REF!</definedName>
    <definedName name="bb_MkVDQ0NFNjc5MDlGNEFCRU" hidden="1">#REF!</definedName>
    <definedName name="bb_MkY1QjdBRTEyRDk3NDA2Mj" hidden="1">#REF!</definedName>
    <definedName name="bb_MkY3N0VDRTFDOTI0NENENT" hidden="1">#REF!</definedName>
    <definedName name="bb_MkZFQTg4NzJGRDhBNEQ4Qk" hidden="1">#REF!</definedName>
    <definedName name="bb_MTBCNDQ3OEE5NDFBNDMxND" hidden="1">#REF!</definedName>
    <definedName name="bb_MTc2QjMwRDNDODUzNEYxMk" hidden="1">#REF!</definedName>
    <definedName name="bb_MTdGMTA1NjAxRTlCNEZCRj" hidden="1">#REF!</definedName>
    <definedName name="bb_MTE0NDNGQ0ExQTEwNDQ3QT" hidden="1">#REF!</definedName>
    <definedName name="bb_MTEyQTVGQzk0OUQ4NDVDMz" hidden="1">#REF!</definedName>
    <definedName name="bb_MTFBOUY0OEYwQjI5NDQyQ0" hidden="1">#REF!</definedName>
    <definedName name="bb_MTFDQTdGNEJGQzVGNDNBMk" localSheetId="22" hidden="1">#REF!</definedName>
    <definedName name="bb_MTFDQTdGNEJGQzVGNDNBMk" hidden="1">#REF!</definedName>
    <definedName name="bb_MTg4M0M3NUMxRTgxNDNCMj" localSheetId="22" hidden="1">#REF!</definedName>
    <definedName name="bb_MTg4M0M3NUMxRTgxNDNCMj" hidden="1">#REF!</definedName>
    <definedName name="bb_MThCN0Y4RTI1Qjc2NEVENT" localSheetId="22" hidden="1">'Revenue Requir (old)'!#REF!</definedName>
    <definedName name="bb_MThCN0Y4RTI1Qjc2NEVENT" hidden="1">#REF!</definedName>
    <definedName name="bb_MTI0NkY2OEM4M0IwNEVBOE" localSheetId="22" hidden="1">#REF!</definedName>
    <definedName name="bb_MTI0NkY2OEM4M0IwNEVBOE" hidden="1">#REF!</definedName>
    <definedName name="bb_MTIyM0I2MTg5RTI5NDExQU" localSheetId="22" hidden="1">#REF!</definedName>
    <definedName name="bb_MTIyM0I2MTg5RTI5NDExQU" hidden="1">#REF!</definedName>
    <definedName name="bb_MTk0QzI4MzBCQzNFNDI4OU" localSheetId="22" hidden="1">#REF!</definedName>
    <definedName name="bb_MTk0QzI4MzBCQzNFNDI4OU" hidden="1">#REF!</definedName>
    <definedName name="bb_MTlFMTlDM0RDNzIyNEU5Q0" hidden="1">#REF!</definedName>
    <definedName name="bb_MTM3M0I2M0UzQjY4NDY0RT" hidden="1">#REF!</definedName>
    <definedName name="bb_MTMwMjYyRTEyMDAyNEU0Mj" hidden="1">#REF!</definedName>
    <definedName name="bb_MTMxMERFRjlBQUU4NEQ2Q0" hidden="1">#REF!</definedName>
    <definedName name="bb_MTRCNjcyMDNFNDU5NDRGQ0" hidden="1">#REF!</definedName>
    <definedName name="bb_MTRGRUJERUEwQTBDNDAwND" hidden="1">#REF!</definedName>
    <definedName name="bb_MTU0OURGMEM0MkMxNDU2MT" hidden="1">#REF!</definedName>
    <definedName name="bb_MTU2Q0Q4ODBFMkQwNEY4Rj" hidden="1">#REF!</definedName>
    <definedName name="bb_MTUyOEE5NDdFRTVGNEQxOT" hidden="1">#REF!</definedName>
    <definedName name="bb_MTVBQTgzQkY5RUMxNDBBOT" hidden="1">#REF!</definedName>
    <definedName name="bb_MTVDODdBQ0MwNDk1NEY4RT" hidden="1">#REF!</definedName>
    <definedName name="bb_MTYzOTEzODVEOEIyNENGNj" hidden="1">#REF!</definedName>
    <definedName name="bb_MUFBMDIzNUVDNjA5NDQ4N0" hidden="1">#REF!</definedName>
    <definedName name="bb_MUIwMTY5RDAzN0ZDNDc5ME" hidden="1">#REF!</definedName>
    <definedName name="bb_MUMxNTBCODg2RjNFNERFOU" hidden="1">#REF!</definedName>
    <definedName name="bb_MUQ3QTMxMjMzRjdFNENBQz" hidden="1">#REF!</definedName>
    <definedName name="bb_MUQ5NkRDQTA5NjYzNEQzRT" localSheetId="22" hidden="1">#REF!</definedName>
    <definedName name="bb_MUQ5NkRDQTA5NjYzNEQzRT" hidden="1">#REF!</definedName>
    <definedName name="bb_MUQwQTUxQkZDREVFNDkzOU" localSheetId="22" hidden="1">#REF!</definedName>
    <definedName name="bb_MUQwQTUxQkZDREVFNDkzOU" hidden="1">#REF!</definedName>
    <definedName name="bb_MUQxREIzMjcyQzZBNEIxQj" localSheetId="22" hidden="1">#REF!</definedName>
    <definedName name="bb_MUQxREIzMjcyQzZBNEIxQj" hidden="1">#REF!</definedName>
    <definedName name="bb_MUQyNkNGNzE3RjE5NEZFMU" hidden="1">#REF!</definedName>
    <definedName name="bb_MUQyNkVGRjM0RjI2NDI3Qk" hidden="1">#REF!</definedName>
    <definedName name="bb_MURFOTI2NjE4NjdCNENFQ0" hidden="1">#REF!</definedName>
    <definedName name="bb_MUU2RjZGMkY2QTA5NDJCRU" hidden="1">#REF!</definedName>
    <definedName name="bb_MUU4N0NBMkQxMjUxNDAxQT" hidden="1">#REF!</definedName>
    <definedName name="bb_MUU5QTE1MEExMEVFNENFME" hidden="1">#REF!</definedName>
    <definedName name="bb_MUUyNUUzNzhEMTg5NDUzME" hidden="1">#REF!</definedName>
    <definedName name="bb_MUUyNzYxM0JFREY1NDExMz" hidden="1">#REF!</definedName>
    <definedName name="bb_MUVCODAwM0Q1QjJENDdERU" hidden="1">#REF!</definedName>
    <definedName name="bb_MzAzOUY5QzkxRkYxNEVCRj" hidden="1">#REF!</definedName>
    <definedName name="bb_MzBEMkRGNjYyRUM4NEE2Qz" hidden="1">#REF!</definedName>
    <definedName name="bb_MzE3RjQ0RkZEMzM2NDJBQz" hidden="1">#REF!</definedName>
    <definedName name="bb_MzgwNDU4QTI2MzIzNDhFQz" hidden="1">#REF!</definedName>
    <definedName name="bb_MzhBRDREQUJFMTZFNEY1OU" hidden="1">#REF!</definedName>
    <definedName name="bb_MzhCNDMyMDNERDA2NDI4ME" hidden="1">#REF!</definedName>
    <definedName name="bb_MzI1Q0IxRjg1Q0Y2NDU4RE" hidden="1">#REF!</definedName>
    <definedName name="bb_MzJBN0Q4NTJCNkE3NDAxNT" hidden="1">#REF!</definedName>
    <definedName name="bb_MzJDMTlCNTJBNkVFNDgyQ0" hidden="1">#REF!</definedName>
    <definedName name="bb_MzM1QjU0OTVCOUZGNEIxMT" hidden="1">#REF!</definedName>
    <definedName name="bb_MzM4QkQzRTA2MDZCNEQyMT" hidden="1">#REF!</definedName>
    <definedName name="bb_MzNDMTBDQ0JFQkM2NDlFMj" hidden="1">#REF!</definedName>
    <definedName name="bb_MzQ5RDlFMzkzQTIwNDA1QU" hidden="1">#REF!</definedName>
    <definedName name="bb_MzRDRDhEMjY1MjIzNERBMj" hidden="1">#REF!</definedName>
    <definedName name="bb_MzVFNDU0OUY4Q0ZBNDMzRT" hidden="1">#REF!</definedName>
    <definedName name="bb_MzVGQUY2MjY1NkVDNDUzMk" hidden="1">#REF!</definedName>
    <definedName name="bb_MzYxOTkwN0UzODY1NEE1QT" hidden="1">#REF!</definedName>
    <definedName name="bb_MzZGQkFDRDM2NURCNDVEMT" hidden="1">#REF!</definedName>
    <definedName name="bb_N0E3RTg0QTBGM0IzNDZBRE" localSheetId="22" hidden="1">#REF!</definedName>
    <definedName name="bb_N0E3RTg0QTBGM0IzNDZBRE" hidden="1">#REF!</definedName>
    <definedName name="bb_N0FBNjQxQ0MxNjFCNEFDQT" hidden="1">#REF!</definedName>
    <definedName name="bb_N0FGRUZCODlGNTlDNEFFMz" localSheetId="22" hidden="1">#REF!</definedName>
    <definedName name="bb_N0FGRUZCODlGNTlDNEFFMz" hidden="1">#REF!</definedName>
    <definedName name="bb_N0M0RDg2MzM0RUM0NDE5RE" localSheetId="22" hidden="1">#REF!</definedName>
    <definedName name="bb_N0M0RDg2MzM0RUM0NDE5RE" hidden="1">#REF!</definedName>
    <definedName name="bb_N0MyODM2NUNCMUIyNERFQ0" localSheetId="22" hidden="1">'Revenue Requir (old)'!#REF!</definedName>
    <definedName name="bb_N0MyODM2NUNCMUIyNERFQ0" hidden="1">#REF!</definedName>
    <definedName name="bb_N0Q3NjIyMjdGMjQ0NEU3MU" localSheetId="22" hidden="1">#REF!</definedName>
    <definedName name="bb_N0Q3NjIyMjdGMjQ0NEU3MU" hidden="1">#REF!</definedName>
    <definedName name="bb_N0RENERGRjhBMDBFNDkwMj" localSheetId="22" hidden="1">#REF!</definedName>
    <definedName name="bb_N0RENERGRjhBMDBFNDkwMj" hidden="1">#REF!</definedName>
    <definedName name="bb_N0U3Qjk0RUU2REZDNEUzMk" localSheetId="22" hidden="1">#REF!</definedName>
    <definedName name="bb_N0U3Qjk0RUU2REZDNEUzMk" hidden="1">#REF!</definedName>
    <definedName name="bb_N0UzMkNCRTc2RUJDNEJENT" hidden="1">#REF!</definedName>
    <definedName name="bb_N0VBRDBDQjg0QkUzNDlBQz" hidden="1">#REF!</definedName>
    <definedName name="bb_N0VCREQ1REM1OTYyNDhBQT" hidden="1">#REF!</definedName>
    <definedName name="bb_N0VDQjY1RDU0NkY0NEY2NU" hidden="1">#REF!</definedName>
    <definedName name="bb_N0ZCNUFGMTQwQjg1NEZEMU" hidden="1">#REF!</definedName>
    <definedName name="bb_N0ZEOUFCNzg0NDM4NDlFOE" hidden="1">#REF!</definedName>
    <definedName name="bb_NDA1MThDOTIzRjNENEU3OD" hidden="1">#REF!</definedName>
    <definedName name="bb_NDcxNkVGNThDNEYyNDhBOE" hidden="1">#REF!</definedName>
    <definedName name="bb_NDdCRDU1Qjg1RjBDNDBDMD" hidden="1">#REF!</definedName>
    <definedName name="bb_NDEzNEY0RDcxRkJFNEFEMk" hidden="1">#REF!</definedName>
    <definedName name="bb_NDEzNUMzOTRDREZGNEM0Q0" hidden="1">#REF!</definedName>
    <definedName name="bb_NDFFRkVFQkQyQjRCNDAyND" hidden="1">#REF!</definedName>
    <definedName name="bb_NDg0QzQyMUQyMUFDNEExMz" hidden="1">#REF!</definedName>
    <definedName name="bb_NDgwRkM2RUQxOUI5NDQ1RD" localSheetId="22" hidden="1">'Revenue Requir (old)'!#REF!</definedName>
    <definedName name="bb_NDgwRkM2RUQxOUI5NDQ1RD" hidden="1">#REF!</definedName>
    <definedName name="bb_NDgzNzE5N0QyQzhCNEU1OE" localSheetId="22" hidden="1">#REF!</definedName>
    <definedName name="bb_NDgzNzE5N0QyQzhCNEU1OE" hidden="1">#REF!</definedName>
    <definedName name="bb_NDhBOEY2MEE0RTcxNDY4Qj" localSheetId="22" hidden="1">#REF!</definedName>
    <definedName name="bb_NDhBOEY2MEE0RTcxNDY4Qj" hidden="1">#REF!</definedName>
    <definedName name="bb_NDI0QzE3RDM5RjZGNDg2ME" localSheetId="22" hidden="1">'Revenue Requir (old)'!#REF!</definedName>
    <definedName name="bb_NDI0QzE3RDM5RjZGNDg2ME" hidden="1">#REF!</definedName>
    <definedName name="bb_NDJBMTNFNjdGODQ2NDdBRD" localSheetId="22" hidden="1">#REF!</definedName>
    <definedName name="bb_NDJBMTNFNjdGODQ2NDdBRD" hidden="1">#REF!</definedName>
    <definedName name="bb_NDkxNDQxQjc2RUNFNDIwRE" localSheetId="22" hidden="1">#REF!</definedName>
    <definedName name="bb_NDkxNDQxQjc2RUNFNDIwRE" hidden="1">#REF!</definedName>
    <definedName name="bb_NDkyM0FFOThBMjVFNEZGMk" localSheetId="22" hidden="1">#REF!</definedName>
    <definedName name="bb_NDkyM0FFOThBMjVFNEZGMk" hidden="1">#REF!</definedName>
    <definedName name="bb_NDlEMTBGRUVFNThDNEM2Qk" hidden="1">#REF!</definedName>
    <definedName name="bb_NDMwRjlDNjczNjQ0NDMzMk" hidden="1">#REF!</definedName>
    <definedName name="bb_NDMxRkE5OEJDNjQ4NEY5RT" hidden="1">#REF!</definedName>
    <definedName name="bb_NDQ3NjU3RjFCQUJFNDM0M0" hidden="1">#REF!</definedName>
    <definedName name="bb_NDU0OUQyREExQzFCNDA4NT" hidden="1">#REF!</definedName>
    <definedName name="bb_NDUzMEQxNUZEOUM4NDRBMk" hidden="1">#REF!</definedName>
    <definedName name="bb_NDVDMkU0N0VDQkNGNDZCNT" hidden="1">#REF!</definedName>
    <definedName name="bb_NDY1NDdCMkNBMTNFNDE5Qj" hidden="1">#REF!</definedName>
    <definedName name="bb_NDY1OTg1RDQyM0ZCNDBGRk" localSheetId="22" hidden="1">#REF!</definedName>
    <definedName name="bb_NDY1OTg1RDQyM0ZCNDBGRk" hidden="1">#REF!</definedName>
    <definedName name="bb_NEE2NUE5NkVGMUI2NEE2QU" localSheetId="22" hidden="1">#REF!</definedName>
    <definedName name="bb_NEE2NUE5NkVGMUI2NEE2QU" hidden="1">#REF!</definedName>
    <definedName name="bb_NEE3QUMyODJBNkU5NDc5Nz" localSheetId="22" hidden="1">#REF!</definedName>
    <definedName name="bb_NEE3QUMyODJBNkU5NDc5Nz" hidden="1">#REF!</definedName>
    <definedName name="bb_NEFFNTE0NzREM0Y5NDE5MT" hidden="1">#REF!</definedName>
    <definedName name="bb_NEI4M0UzQ0RCRTM4NEFBOE" hidden="1">#REF!</definedName>
    <definedName name="bb_NEI4NjIyNkRGRUFCNEEwOU" hidden="1">#REF!</definedName>
    <definedName name="bb_NEM4QzEwNTM0RDhENDI0NE" hidden="1">#REF!</definedName>
    <definedName name="bb_NEMwNzY2NEM2OUM3NDk1Mj" hidden="1">#REF!</definedName>
    <definedName name="bb_NEMxNUNBODI4MDFDNEUyRj" localSheetId="22" hidden="1">#REF!</definedName>
    <definedName name="bb_NEMxNUNBODI4MDFDNEUyRj" hidden="1">#REF!</definedName>
    <definedName name="bb_NENBNTQzQjE1N0MyNENBMk" localSheetId="22" hidden="1">#REF!</definedName>
    <definedName name="bb_NENBNTQzQjE1N0MyNENBMk" hidden="1">#REF!</definedName>
    <definedName name="bb_NEQ2RkY0MkNCNzc3NDFGME" localSheetId="22" hidden="1">#REF!</definedName>
    <definedName name="bb_NEQ2RkY0MkNCNzc3NDFGME" hidden="1">#REF!</definedName>
    <definedName name="bb_NEQ4RkYwQTAyOEUwNDZEQ0" hidden="1">#REF!</definedName>
    <definedName name="bb_NEQzNUFCNkRCM0Q4NEM0RD" hidden="1">#REF!</definedName>
    <definedName name="bb_NERGNzAyQzhGOEZDNDM3QU" localSheetId="22" hidden="1">#REF!</definedName>
    <definedName name="bb_NERGNzAyQzhGOEZDNDM3QU" hidden="1">#REF!</definedName>
    <definedName name="bb_NEU1N0JDMUI2QTc1NERGMT" localSheetId="22" hidden="1">#REF!</definedName>
    <definedName name="bb_NEU1N0JDMUI2QTc1NERGMT" hidden="1">#REF!</definedName>
    <definedName name="bb_NEU4NjI2NDIyNTQyNDk2ME" localSheetId="22" hidden="1">'Revenue Requir (old)'!#REF!</definedName>
    <definedName name="bb_NEU4NjI2NDIyNTQyNDk2ME" hidden="1">#REF!</definedName>
    <definedName name="bb_NEUwQ0YwMDJBQzEzNDJFNz" localSheetId="22" hidden="1">#REF!</definedName>
    <definedName name="bb_NEUwQ0YwMDJBQzEzNDJFNz" hidden="1">#REF!</definedName>
    <definedName name="bb_NEVFNzNBQjc5ODBDNDNCRj" localSheetId="22" hidden="1">#REF!</definedName>
    <definedName name="bb_NEVFNzNBQjc5ODBDNDNCRj" hidden="1">#REF!</definedName>
    <definedName name="bb_NjA4NjA5MkVBRTkzNDgwRD" localSheetId="22" hidden="1">#REF!</definedName>
    <definedName name="bb_NjA4NjA5MkVBRTkzNDgwRD" hidden="1">#REF!</definedName>
    <definedName name="bb_NjA4RjRDRkRDNEZBNDY3Mk" hidden="1">#REF!</definedName>
    <definedName name="bb_NjAwRDIyOTMzN0I4NDNEQT" hidden="1">#REF!</definedName>
    <definedName name="bb_NjcxNDY4MkZEQzdENDcxNE" localSheetId="22" hidden="1">#REF!</definedName>
    <definedName name="bb_NjcxNDY4MkZEQzdENDcxNE" hidden="1">#REF!</definedName>
    <definedName name="bb_NjczRUM5NTI3NEM3NEI5OD" localSheetId="22" hidden="1">#REF!</definedName>
    <definedName name="bb_NjczRUM5NTI3NEM3NEI5OD" hidden="1">#REF!</definedName>
    <definedName name="bb_NjdBOTNCQjgwOThGNDEwOE" localSheetId="22" hidden="1">#REF!</definedName>
    <definedName name="bb_NjdBOTNCQjgwOThGNDEwOE" hidden="1">#REF!</definedName>
    <definedName name="bb_NjdCQ0Y4RDAwNjEzNDI4M0" hidden="1">#REF!</definedName>
    <definedName name="bb_NjEyRjVGQkE0NzIxNDRCQj" hidden="1">#REF!</definedName>
    <definedName name="bb_Njg1NENGQTk3M0U5NEZEND" hidden="1">#REF!</definedName>
    <definedName name="bb_NjhDRTI2MzBEODAzNDcxOD" hidden="1">#REF!</definedName>
    <definedName name="bb_NjI3RTAyQ0YyNTdGNDQ2Qz" hidden="1">#REF!</definedName>
    <definedName name="bb_NjlFNTdDRUM3NURFNDMzQz" hidden="1">#REF!</definedName>
    <definedName name="bb_NjQyRTdEMDdBMUJGNDU4Qk" localSheetId="22" hidden="1">#REF!</definedName>
    <definedName name="bb_NjQyRTdEMDdBMUJGNDU4Qk" hidden="1">#REF!</definedName>
    <definedName name="bb_NjRGRUU0N0M2NTkyNDkwNE" localSheetId="22" hidden="1">#REF!</definedName>
    <definedName name="bb_NjRGRUU0N0M2NTkyNDkwNE" hidden="1">#REF!</definedName>
    <definedName name="bb_NjU0MTFDQjdCRkI0NDYzNU" localSheetId="22" hidden="1">#REF!</definedName>
    <definedName name="bb_NjU0MTFDQjdCRkI0NDYzNU" hidden="1">#REF!</definedName>
    <definedName name="bb_NjY4NEQyMzA2MDQ5NEZCMU" hidden="1">#REF!</definedName>
    <definedName name="bb_NjYzQzU3QTQ4QkM1NDJBOT" hidden="1">#REF!</definedName>
    <definedName name="bb_NjZCRTMyNUFDQURGNDAyNj" hidden="1">#REF!</definedName>
    <definedName name="bb_NkFGMTI2MkZCQURCNDZCND" hidden="1">#REF!</definedName>
    <definedName name="bb_NkI0NkFBOUY2RDU3NEJGOE" hidden="1">#REF!</definedName>
    <definedName name="bb_NkJDNDY2MDQyRUZFNDY5OT" hidden="1">#REF!</definedName>
    <definedName name="bb_NkM0RTAwOUJCRUZCNDYxM0" hidden="1">#REF!</definedName>
    <definedName name="bb_NkMwMTQyMkYzQjc3NDJCN0" localSheetId="22" hidden="1">#REF!</definedName>
    <definedName name="bb_NkMwMTQyMkYzQjc3NDJCN0" hidden="1">#REF!</definedName>
    <definedName name="bb_NkNBQkNGODQ4MDFCNEI1QU" localSheetId="22" hidden="1">#REF!</definedName>
    <definedName name="bb_NkNBQkNGODQ4MDFCNEI1QU" hidden="1">#REF!</definedName>
    <definedName name="bb_NkQ1MzY5NkRGQTk3NDM0Qj" localSheetId="22" hidden="1">'Revenue Requir (old)'!#REF!</definedName>
    <definedName name="bb_NkQ1MzY5NkRGQTk3NDM0Qj" hidden="1">#REF!</definedName>
    <definedName name="bb_NkQ3QkFCNkEyNjlGNDNEMz" localSheetId="22" hidden="1">#REF!</definedName>
    <definedName name="bb_NkQ3QkFCNkEyNjlGNDNEMz" hidden="1">#REF!</definedName>
    <definedName name="bb_NkREN0JFQUY4OTdBNDlCOU" localSheetId="22" hidden="1">'Revenue Requir (old)'!#REF!</definedName>
    <definedName name="bb_NkREN0JFQUY4OTdBNDlCOU" hidden="1">#REF!</definedName>
    <definedName name="bb_NkU1NkI4RDhDOEI3NDQxNk" localSheetId="22" hidden="1">#REF!</definedName>
    <definedName name="bb_NkU1NkI4RDhDOEI3NDQxNk" hidden="1">#REF!</definedName>
    <definedName name="bb_NkVGRTJGOUIxMzQyNDIyNj" localSheetId="22" hidden="1">#REF!</definedName>
    <definedName name="bb_NkVGRTJGOUIxMzQyNDIyNj" hidden="1">#REF!</definedName>
    <definedName name="bb_NkY0QkI3OEU0QjNCNDVBRk" localSheetId="22" hidden="1">#REF!</definedName>
    <definedName name="bb_NkY0QkI3OEU0QjNCNDVBRk" hidden="1">#REF!</definedName>
    <definedName name="bb_NkZGODE2MzNFOEM0NEJDMj" hidden="1">#REF!</definedName>
    <definedName name="bb_NTA3OUE3MTAxQjAwNDE0OT" hidden="1">#REF!</definedName>
    <definedName name="bb_NTAwNjQyRTExMkNDNDhGM0" hidden="1">#REF!</definedName>
    <definedName name="bb_NTBBMEIyMkZCMkM3NEI3N0" hidden="1">#REF!</definedName>
    <definedName name="bb_NTBCMjI4REQ1MDkwNDg3Qj" hidden="1">#REF!</definedName>
    <definedName name="bb_NTc3NDk5Q0QzMTcxNDFEMD" hidden="1">#REF!</definedName>
    <definedName name="bb_NTc3NDkyOEUxNzlFNDY3NE" hidden="1">#REF!</definedName>
    <definedName name="bb_NTdCNUZBMjJEOTkzNDkxRk" hidden="1">#REF!</definedName>
    <definedName name="bb_NTdGMEJDQzBDNTc1NDc1Qj" hidden="1">#REF!</definedName>
    <definedName name="bb_NTE5ODlFODBFRDkzNDc0RT" hidden="1">#REF!</definedName>
    <definedName name="bb_NTExMTQ2OEE3ODY2NDE2RD" localSheetId="22" hidden="1">#REF!</definedName>
    <definedName name="bb_NTExMTQ2OEE3ODY2NDE2RD" hidden="1">#REF!</definedName>
    <definedName name="bb_NTEyREU0NTlENkEwNDY3ME" localSheetId="22" hidden="1">#REF!</definedName>
    <definedName name="bb_NTEyREU0NTlENkEwNDY3ME" hidden="1">#REF!</definedName>
    <definedName name="bb_NThFOTVEREEwREIzNDYxRU" localSheetId="22" hidden="1">#REF!</definedName>
    <definedName name="bb_NThFOTVEREEwREIzNDYxRU" hidden="1">#REF!</definedName>
    <definedName name="bb_NTI5NzZCRTI2QTRCNEUzNj" hidden="1">#REF!</definedName>
    <definedName name="bb_NTIzQzA3RDlENjczNDU1RT" hidden="1">#REF!</definedName>
    <definedName name="bb_NTJBQzE0M0FCRkRENEMzQU" hidden="1">#REF!</definedName>
    <definedName name="bb_NTJFNkI2RjZCOUQ2NDI0RT" hidden="1">#REF!</definedName>
    <definedName name="bb_NTlBNUUxMUIzNDI3NEUwNz" hidden="1">#REF!</definedName>
    <definedName name="bb_NTU5MzZDMDZFRDVFNEUxMU" hidden="1">#REF!</definedName>
    <definedName name="bb_NUE0NEE3RDE4OTM1NDc4NU" hidden="1">#REF!</definedName>
    <definedName name="bb_NUE2QTE2Q0E5M0VCNDA5OT" hidden="1">#REF!</definedName>
    <definedName name="bb_NUI3MDJERUU1RTg2NDkwMj" hidden="1">#REF!</definedName>
    <definedName name="bb_NUQ1NkI1RDY2NkEyNDk0QU" hidden="1">#REF!</definedName>
    <definedName name="bb_NUQyMzkwN0RCMjNFNDBFMz" hidden="1">#REF!</definedName>
    <definedName name="bb_NUQzRDYxNDZDNTdBNEUwN0" hidden="1">#REF!</definedName>
    <definedName name="bb_NUU4QzA4RDEzMjI1NDgxQk" hidden="1">#REF!</definedName>
    <definedName name="bb_NUUwMzYwQ0JBQjIxNEUxRU" hidden="1">#REF!</definedName>
    <definedName name="bb_NUUxODcyREZFMkQxNEJFMD" localSheetId="22" hidden="1">#REF!</definedName>
    <definedName name="bb_NUUxODcyREZFMkQxNEJFMD" hidden="1">#REF!</definedName>
    <definedName name="bb_NUZBOEIxRDVBRjgxNDgxRE" localSheetId="22" hidden="1">#REF!</definedName>
    <definedName name="bb_NUZBOEIxRDVBRjgxNDgxRE" hidden="1">#REF!</definedName>
    <definedName name="bb_NUZBRUU2QUE1QzQ3NEMyMz" localSheetId="22" hidden="1">#REF!</definedName>
    <definedName name="bb_NUZBRUU2QUE1QzQ3NEMyMz" hidden="1">#REF!</definedName>
    <definedName name="bb_Nzc0NEZGRDYyOUZDNDkyMz" hidden="1">#REF!</definedName>
    <definedName name="bb_Nzc4RUU0QkQ0ODFDNEFGQU" hidden="1">#REF!</definedName>
    <definedName name="bb_NzdBNDQyRTcwOTMxNDg2OU" hidden="1">#REF!</definedName>
    <definedName name="bb_NzE3OTM2M0MyMkU1NDJGNj" hidden="1">#REF!</definedName>
    <definedName name="bb_NzE5NzFBMjlGNzVGNDM5M0" hidden="1">#REF!</definedName>
    <definedName name="bb_NzExQTlFRDYzNTA5NDJBNE" hidden="1">#REF!</definedName>
    <definedName name="bb_NzEyM0VCMjk4MzgwNDJFMT" hidden="1">#REF!</definedName>
    <definedName name="bb_NzFEN0FDOTY5N0U2NDE0Q0" hidden="1">#REF!</definedName>
    <definedName name="bb_NzgyNTE1RkQ2NEU5NDgxNj" hidden="1">#REF!</definedName>
    <definedName name="bb_NzgzQTRCNTkwMTBDNEExRj" localSheetId="22" hidden="1">#REF!</definedName>
    <definedName name="bb_NzgzQTRCNTkwMTBDNEExRj" hidden="1">#REF!</definedName>
    <definedName name="bb_NzhCQjI3Qzg0MDI5NEYwNj" localSheetId="22" hidden="1">#REF!</definedName>
    <definedName name="bb_NzhCQjI3Qzg0MDI5NEYwNj" hidden="1">#REF!</definedName>
    <definedName name="bb_Nzk0RDA2OThGNThFNDBFME" localSheetId="22" hidden="1">#REF!</definedName>
    <definedName name="bb_Nzk0RDA2OThGNThFNDBFME" hidden="1">#REF!</definedName>
    <definedName name="bb_NzkxNTUwRDdEQ0NGNENGNk" localSheetId="22" hidden="1">'Revenue Requir (old)'!#REF!</definedName>
    <definedName name="bb_NzkxNTUwRDdEQ0NGNENGNk" hidden="1">#REF!</definedName>
    <definedName name="bb_NzNENENDMEM5MUU1NDg1MU" localSheetId="22" hidden="1">#REF!</definedName>
    <definedName name="bb_NzNENENDMEM5MUU1NDg1MU" hidden="1">#REF!</definedName>
    <definedName name="bb_NzVBRDIzODIyMjU0NDA5RT" localSheetId="22" hidden="1">#REF!</definedName>
    <definedName name="bb_NzVBRDIzODIyMjU0NDA5RT" hidden="1">#REF!</definedName>
    <definedName name="bb_NzYzMjRBNEI5QTk0NEE2OD" localSheetId="22" hidden="1">#REF!</definedName>
    <definedName name="bb_NzYzMjRBNEI5QTk0NEE2OD" hidden="1">#REF!</definedName>
    <definedName name="bb_NzZGNDdERkUzM0YyNDdEMz" hidden="1">#REF!</definedName>
    <definedName name="bb_ODA5NENCNEY0QUYzNDFBMk" hidden="1">#REF!</definedName>
    <definedName name="bb_ODAzQzYzRjY4MjY1NDJBQT" hidden="1">#REF!</definedName>
    <definedName name="bb_ODc1OTBBQzQ2NzgwNEM3RU" hidden="1">#REF!</definedName>
    <definedName name="bb_ODc3MUI3Q0UyQTAwNDRFQz" hidden="1">#REF!</definedName>
    <definedName name="bb_ODc5Qjc0QzZEMDczNDQwOE" hidden="1">#REF!</definedName>
    <definedName name="bb_ODczNTE0NEFFRTc5NEExM0" hidden="1">#REF!</definedName>
    <definedName name="bb_ODEwNjRCRTgwMDI4NEQwOE" hidden="1">#REF!</definedName>
    <definedName name="bb_ODFDOEMxMUJBNkNBNDY4Mj" hidden="1">#REF!</definedName>
    <definedName name="bb_ODg2QTUyNzRDQkYyNDMwMk" hidden="1">#REF!</definedName>
    <definedName name="bb_ODJBRDBDMUY3MTNDNDQzMT" hidden="1">#REF!</definedName>
    <definedName name="bb_ODJDOUE4RkYxMkY1NDNGQj" hidden="1">#REF!</definedName>
    <definedName name="bb_ODJFNUQxNEM0MzI2NDlCQj" hidden="1">#REF!</definedName>
    <definedName name="bb_ODJGRTk2M0FCREM3NDI1RE" hidden="1">#REF!</definedName>
    <definedName name="bb_ODk0MDg0MUJFNjExNDE1Nz" hidden="1">#REF!</definedName>
    <definedName name="bb_ODM4MThGMjc1RDdFNEQ5MU" hidden="1">#REF!</definedName>
    <definedName name="bb_ODNBMUVFQTA2MjFCNDRDMU" hidden="1">#REF!</definedName>
    <definedName name="bb_ODQ4QTNBN0NFOUUwNEIwOE" hidden="1">#REF!</definedName>
    <definedName name="bb_ODQxQTFFQkE0Q0Y3NDU0RT" hidden="1">#REF!</definedName>
    <definedName name="bb_ODRFMjkwQ0Q3QzFFNDNERT" hidden="1">#REF!</definedName>
    <definedName name="bb_ODU4MzcyRUQyNjk2NDY2OU" hidden="1">#REF!</definedName>
    <definedName name="bb_ODU4OUY2NDVFQzBGNDVCNk" hidden="1">#REF!</definedName>
    <definedName name="bb_ODU5Qjc5NTEzNDVDNEQ1Mz" hidden="1">#REF!</definedName>
    <definedName name="bb_ODVCNTI5QTA1MDlDNEMxQz" hidden="1">#REF!</definedName>
    <definedName name="bb_ODVFMENERDFEQzNENDRDNE" hidden="1">#REF!</definedName>
    <definedName name="bb_OEE1ODQ5NEIzODc0NEU0MT" hidden="1">#REF!</definedName>
    <definedName name="bb_OEM4NkIyOUQ5RDQ1NDhGQj" localSheetId="22" hidden="1">#REF!</definedName>
    <definedName name="bb_OEM4NkIyOUQ5RDQ1NDhGQj" hidden="1">#REF!</definedName>
    <definedName name="bb_OENDN0UzQTE4QzVGNDU2Mz" hidden="1">#REF!</definedName>
    <definedName name="bb_OENERDBDMTMyQUVENDMxQT" localSheetId="22" hidden="1">#REF!</definedName>
    <definedName name="bb_OENERDBDMTMyQUVENDMxQT" hidden="1">#REF!</definedName>
    <definedName name="bb_OENERTQzQkFEQkQ4NDdFMk" localSheetId="22" hidden="1">#REF!</definedName>
    <definedName name="bb_OENERTQzQkFEQkQ4NDdFMk" hidden="1">#REF!</definedName>
    <definedName name="bb_OEQ5MERERkEzOUMyNEQ0RU" localSheetId="22" hidden="1">#REF!</definedName>
    <definedName name="bb_OEQ5MERERkEzOUMyNEQ0RU" hidden="1">#REF!</definedName>
    <definedName name="bb_OEQyRDEwQUNEMUVBNEUyQk" hidden="1">#REF!</definedName>
    <definedName name="bb_OERGOEMzNDgyNUJENDk2N0" hidden="1">#REF!</definedName>
    <definedName name="bb_OEUwQ0U3OEMxMTk0NDlBQz" hidden="1">#REF!</definedName>
    <definedName name="bb_OEVDQTY5MjhGNERENDlCMT" hidden="1">#REF!</definedName>
    <definedName name="bb_OEVERjU0RTFBQzAyNDYzQ0" hidden="1">#REF!</definedName>
    <definedName name="bb_OTA0MkE5NTAyQzY0NEY1Mj" hidden="1">#REF!</definedName>
    <definedName name="bb_OTA2NzQzNTNFODg1NEE0MD" hidden="1">#REF!</definedName>
    <definedName name="bb_OTA4QzIxREFBQjI5NDE5Nk" hidden="1">#REF!</definedName>
    <definedName name="bb_OTAwNUYzQzM4RTZFNDEwQT" hidden="1">#REF!</definedName>
    <definedName name="bb_OTc3MUREMjY2Qjc1NDI4Nj" hidden="1">#REF!</definedName>
    <definedName name="bb_OTdFRkM3Q0UwNDg0NDBEOE" hidden="1">#REF!</definedName>
    <definedName name="bb_OTFCMjAwRjk4QzQ1NENERU" hidden="1">#REF!</definedName>
    <definedName name="bb_OTI2QkM2M0E0Njc5NEMwQU" hidden="1">#REF!</definedName>
    <definedName name="bb_OTI4OEM3RkY4QTQzNDY5QU" hidden="1">#REF!</definedName>
    <definedName name="bb_OTJDNzNCQkQyQzZCNEVDMD" hidden="1">#REF!</definedName>
    <definedName name="bb_OTkxMTE1NTY5N0I4NDQzNE" hidden="1">#REF!</definedName>
    <definedName name="bb_OTM2QTI2QjhCNDc4NDNFMU" hidden="1">#REF!</definedName>
    <definedName name="bb_OTNBMkZCRDdFMjk3NDc2Nk" hidden="1">#REF!</definedName>
    <definedName name="bb_OTQ3MDEwMkE2M0Y0NDgyM0" hidden="1">#REF!</definedName>
    <definedName name="bb_OTRGOUY3NDI3MTQ2NDMzOD" hidden="1">#REF!</definedName>
    <definedName name="bb_OTU3MTcxMjhBMDcxNDUyOE" hidden="1">#REF!</definedName>
    <definedName name="bb_OTVCNEY2RjNEMkRENEI3OT" hidden="1">#REF!</definedName>
    <definedName name="bb_OTVGQUQ0REJGQjJCNEE2RE" hidden="1">#REF!</definedName>
    <definedName name="bb_OTY3MjQ2NTJGRDdGNDBFOU" hidden="1">#REF!</definedName>
    <definedName name="bb_OTYwM0E0QzEzRDRFNEE5Q0" hidden="1">#REF!</definedName>
    <definedName name="bb_OTZFRjRENjg4RTBBNDAyNk" hidden="1">#REF!</definedName>
    <definedName name="bb_OUE0MjMxRjRCQzVDNEQ2RT" hidden="1">#REF!</definedName>
    <definedName name="bb_OUE2MUI1NTQ5RjNBNENBMj" hidden="1">#REF!</definedName>
    <definedName name="bb_OUFDMTREMzIzREQ5NDQ2ME" hidden="1">#REF!</definedName>
    <definedName name="bb_OUIxOTM4Q0M4NDExNEU3M0" localSheetId="22" hidden="1">#REF!</definedName>
    <definedName name="bb_OUIxOTM4Q0M4NDExNEU3M0" hidden="1">#REF!</definedName>
    <definedName name="bb_OUJDMjg0NzYwMUVFNEMyMk" localSheetId="22" hidden="1">#REF!</definedName>
    <definedName name="bb_OUJDMjg0NzYwMUVFNEMyMk" hidden="1">#REF!</definedName>
    <definedName name="bb_OUM5RUEyQUI0OTQ0NDQ2ND" localSheetId="22" hidden="1">#REF!</definedName>
    <definedName name="bb_OUM5RUEyQUI0OTQ0NDQ2ND" hidden="1">#REF!</definedName>
    <definedName name="bb_OURCNDJGOUU1RkFENDNCMU" hidden="1">#REF!</definedName>
    <definedName name="bb_OURGMUUxMTcxRTQzNDc3Qk" hidden="1">#REF!</definedName>
    <definedName name="bb_OUU0Q0VDN0M1MDJGNDk2QT" hidden="1">#REF!</definedName>
    <definedName name="bb_OUVCNDVFMjA3QzVFNDM3Mz" hidden="1">#REF!</definedName>
    <definedName name="bb_OUVDQ0JEQTVCNUE1NEMwNj" localSheetId="22" hidden="1">'Revenue Requir (old)'!#REF!</definedName>
    <definedName name="bb_OUVDQ0JEQTVCNUE1NEMwNj" hidden="1">#REF!</definedName>
    <definedName name="bb_OUY3NjI2REU4MTEwNDNENT" localSheetId="22" hidden="1">#REF!</definedName>
    <definedName name="bb_OUY3NjI2REU4MTEwNDNENT" hidden="1">#REF!</definedName>
    <definedName name="bb_Q0E1MzE3MDczMTNGNEU3RU" localSheetId="22" hidden="1">#REF!</definedName>
    <definedName name="bb_Q0E1MzE3MDczMTNGNEU3RU" hidden="1">#REF!</definedName>
    <definedName name="bb_Q0E1RjlEMURCRTBCNEFBMk" localSheetId="22" hidden="1">#REF!</definedName>
    <definedName name="bb_Q0E1RjlEMURCRTBCNEFBMk" hidden="1">#REF!</definedName>
    <definedName name="bb_Q0E2RTkxMzFGOEQ4NEZEOU" hidden="1">#REF!</definedName>
    <definedName name="bb_Q0E3MDc2NzcwQTM4NDA4QT" hidden="1">#REF!</definedName>
    <definedName name="bb_Q0JBMThGMkM2QzQ4NDY4Mj" hidden="1">#REF!</definedName>
    <definedName name="bb_Q0Q0QzRCQTcxQzQwNDBBMk" hidden="1">#REF!</definedName>
    <definedName name="bb_Q0QzMDhBOTQwQUU2NEQ2OD" hidden="1">#REF!</definedName>
    <definedName name="bb_Q0RCRTA5NjBFN0EyNDZDRk" hidden="1">#REF!</definedName>
    <definedName name="bb_Q0U0RTlDRjE1NjI1NEU1RD" hidden="1">#REF!</definedName>
    <definedName name="bb_Q0ZENDk1MzY3RjEyNDQwMz" hidden="1">#REF!</definedName>
    <definedName name="bb_Q0ZFMkQwOTZCOUZCNEY0RT" hidden="1">#REF!</definedName>
    <definedName name="bb_QjA1Qzg2NDQ2MEE2NDEwOE" hidden="1">#REF!</definedName>
    <definedName name="bb_QjA4NEExMTA4MEYwNDBCMz" hidden="1">#REF!</definedName>
    <definedName name="bb_QjBFRjU2NjA3MkM3NDQ4Rj" hidden="1">#REF!</definedName>
    <definedName name="bb_Qjc2QTkxMDczNjE4NDgwRk" hidden="1">#REF!</definedName>
    <definedName name="bb_QjcxRkNEOEM5REM3NDkyN0" hidden="1">#REF!</definedName>
    <definedName name="bb_Qjg3RDhEN0E4NkY5NDJBNk" hidden="1">#REF!</definedName>
    <definedName name="bb_QjgxRTM0NEY0QjRENDRGRk" hidden="1">#REF!</definedName>
    <definedName name="bb_QjhFQjIwMURFNzgwNEY1RE" hidden="1">#REF!</definedName>
    <definedName name="bb_QjhGNURCNTVFNjIwNEJDRU" hidden="1">#REF!</definedName>
    <definedName name="bb_QjIxRkQ5Q0FGMEMwNDJDRT" hidden="1">#REF!</definedName>
    <definedName name="bb_QjIzMzRCNURGMEIxNDgxOE" hidden="1">#REF!</definedName>
    <definedName name="bb_QjIzMzYzOEMxMEYxNDI4Qj" hidden="1">#REF!</definedName>
    <definedName name="bb_Qjk0NEI0QTUxRDVGNEZFND" hidden="1">#REF!</definedName>
    <definedName name="bb_Qjk2NkM0QzlBMUNGNDhEQj" hidden="1">#REF!</definedName>
    <definedName name="bb_Qjk3QzYwNUM0RDI2NDhBOE" hidden="1">#REF!</definedName>
    <definedName name="bb_QjlFNDgzQjNFMzk4NDhDM0" hidden="1">#REF!</definedName>
    <definedName name="bb_QjM0NUFBMDNCQjc5NDU5Qk" hidden="1">#REF!</definedName>
    <definedName name="bb_QjNBRUZDNzExMjI3NEZGNz" hidden="1">#REF!</definedName>
    <definedName name="bb_QjQ1MzMyMzE1OEUwNERGOD" hidden="1">#REF!</definedName>
    <definedName name="bb_QjRGMjhENTE4Rjg5NDkyQ0" hidden="1">#REF!</definedName>
    <definedName name="bb_QjVENTY1QTI4MEE2NEFGQT" hidden="1">#REF!</definedName>
    <definedName name="bb_QjYzRjM5MkYxRERENDhBRE" hidden="1">#REF!</definedName>
    <definedName name="bb_QjZBNUJCNDI5NTY2NDExQj" hidden="1">#REF!</definedName>
    <definedName name="bb_QjZCNkIzMzY0MDhFNDc4Mj" localSheetId="22" hidden="1">#REF!</definedName>
    <definedName name="bb_QjZCNkIzMzY0MDhFNDc4Mj" hidden="1">#REF!</definedName>
    <definedName name="bb_QjZCQUIzRUFCQjVGNDEzME" localSheetId="22" hidden="1">#REF!</definedName>
    <definedName name="bb_QjZCQUIzRUFCQjVGNDEzME" hidden="1">#REF!</definedName>
    <definedName name="bb_QkE5MjE0MUJCQkVFNDAwQ0" localSheetId="22" hidden="1">#REF!</definedName>
    <definedName name="bb_QkE5MjE0MUJCQkVFNDAwQ0" hidden="1">#REF!</definedName>
    <definedName name="bb_QkFCRjI1RUU2MUIyNDNFNT" hidden="1">#REF!</definedName>
    <definedName name="bb_QkFDNkZEQ0YwNEMxNEVCMD" hidden="1">#REF!</definedName>
    <definedName name="bb_QkFDQTRCN0E4MjIxNDc4Rj" hidden="1">#REF!</definedName>
    <definedName name="bb_QkFDQUE1MkQyNjNGNDFGOE" hidden="1">#REF!</definedName>
    <definedName name="bb_QkFGQzFDMjhGN0MyNDVCNE" hidden="1">#REF!</definedName>
    <definedName name="bb_QkI0MTNERUNFMURBNDkwMj" hidden="1">#REF!</definedName>
    <definedName name="bb_QkI3RUEwNEE4QkNBNDUzMz" hidden="1">#REF!</definedName>
    <definedName name="bb_QkIwOUM0NDhBNkNFNDI3M0" hidden="1">#REF!</definedName>
    <definedName name="bb_QkIyRDE5NTNCNTIyNENBMz" hidden="1">#REF!</definedName>
    <definedName name="bb_QkJFMEE0MkVCNDgyNEFEQk" hidden="1">#REF!</definedName>
    <definedName name="bb_QkM5OTkzQTdBQjk0NEMyQU" hidden="1">#REF!</definedName>
    <definedName name="bb_QkMwMTM3QkU5MERFNEE3Rk" hidden="1">#REF!</definedName>
    <definedName name="bb_QkMwOTgxNDhDOUEwNDZDRj" hidden="1">#REF!</definedName>
    <definedName name="bb_QkNFRjlBRUM0MkFDNEU0OT" hidden="1">#REF!</definedName>
    <definedName name="bb_QkQ1QTM0NkY3MTU4NEQyMj" localSheetId="22" hidden="1">#REF!</definedName>
    <definedName name="bb_QkQ1QTM0NkY3MTU4NEQyMj" hidden="1">#REF!</definedName>
    <definedName name="bb_QkQ5MzQxMkVDMTQ0NDU5RT" localSheetId="22" hidden="1">#REF!</definedName>
    <definedName name="bb_QkQ5MzQxMkVDMTQ0NDU5RT" hidden="1">#REF!</definedName>
    <definedName name="bb_QkU3OEU3N0Y1OUQxNEU1QU" localSheetId="22" hidden="1">#REF!</definedName>
    <definedName name="bb_QkU3OEU3N0Y1OUQxNEU1QU" hidden="1">#REF!</definedName>
    <definedName name="bb_QkU3QTYwQjgwNjM4NEY4MD" hidden="1">#REF!</definedName>
    <definedName name="bb_QkUyQjUzOEU2M0E3NDAxQz" hidden="1">#REF!</definedName>
    <definedName name="bb_QkY1NUMzOTVEQjc1NERBNk" hidden="1">#REF!</definedName>
    <definedName name="bb_QkYxNDIzRUZFMDIzNDA5NT" hidden="1">#REF!</definedName>
    <definedName name="bb_QkYzNzdBNTUxRjI5NDlDND" hidden="1">#REF!</definedName>
    <definedName name="bb_QTA1REFERUMxOEU0NEZDMz" localSheetId="22" hidden="1">#REF!</definedName>
    <definedName name="bb_QTA1REFERUMxOEU0NEZDMz" hidden="1">#REF!</definedName>
    <definedName name="bb_QTA2Mzg5MUUwQkRBNDJENz" localSheetId="22" hidden="1">#REF!</definedName>
    <definedName name="bb_QTA2Mzg5MUUwQkRBNDJENz" hidden="1">#REF!</definedName>
    <definedName name="bb_QTA5RTI4ODEyMkQ1NDA0Q0" localSheetId="22" hidden="1">#REF!</definedName>
    <definedName name="bb_QTA5RTI4ODEyMkQ1NDA0Q0" hidden="1">#REF!</definedName>
    <definedName name="bb_QTBDNjg2OTY0NEUzNDY0OU" hidden="1">#REF!</definedName>
    <definedName name="bb_QTc1MDIwM0Q0NDMxNEI1ND" hidden="1">#REF!</definedName>
    <definedName name="bb_QTdFQURFNjEwNjg4NEU4NT" hidden="1">#REF!</definedName>
    <definedName name="bb_QTE3NThCQjVGMjBENDlDNz" hidden="1">#REF!</definedName>
    <definedName name="bb_QTE4MTI0MDgxRjRCNDREMj" hidden="1">#REF!</definedName>
    <definedName name="bb_QTEyQTg4QkVDMURDNDI1MT" hidden="1">#REF!</definedName>
    <definedName name="bb_QTFGQUU4MjQ3RjRENDZFOE" hidden="1">#REF!</definedName>
    <definedName name="bb_QThEQjA1MDFDMDk1NEJGNk" hidden="1">#REF!</definedName>
    <definedName name="bb_QTIyQzgzNzFCM0U5NDhDQU" hidden="1">#REF!</definedName>
    <definedName name="bb_QTk5NUQ5MkY4MjJGNEI2OE" hidden="1">#REF!</definedName>
    <definedName name="bb_QTkyRTg5QTA1QTFENDJBOE" hidden="1">#REF!</definedName>
    <definedName name="bb_QTRFRDY5OEEyQzA5NEIwQj" hidden="1">#REF!</definedName>
    <definedName name="bb_QTU2RDIzRkFGQTJBNDQzNU" hidden="1">#REF!</definedName>
    <definedName name="bb_QTZGMzFCNTAzNEU3NDgwQT" hidden="1">#REF!</definedName>
    <definedName name="bb_QUE2MDZDMDA4NUJENDAxMk" localSheetId="22" hidden="1">#REF!</definedName>
    <definedName name="bb_QUE2MDZDMDA4NUJENDAxMk" hidden="1">#REF!</definedName>
    <definedName name="bb_QUEwMUJGRjAwM0ExNEUzNz" localSheetId="22" hidden="1">#REF!</definedName>
    <definedName name="bb_QUEwMUJGRjAwM0ExNEUzNz" hidden="1">#REF!</definedName>
    <definedName name="bb_QUEyQTdFRjE0QzA3NDZBNz" localSheetId="22" hidden="1">#REF!</definedName>
    <definedName name="bb_QUEyQTdFRjE0QzA3NDZBNz" hidden="1">#REF!</definedName>
    <definedName name="bb_QUEyQzI3RDFERTA2NDBBMU" hidden="1">#REF!</definedName>
    <definedName name="bb_QUJBNUNCQjI0Q0NENDVDMj" hidden="1">#REF!</definedName>
    <definedName name="bb_QUJEMTYyNzlEQUNBNEMwM0" hidden="1">#REF!</definedName>
    <definedName name="bb_QUM2MEU3NzMyRDI5NDUyNE" hidden="1">#REF!</definedName>
    <definedName name="bb_QUNEOEI2MDg5N0U5NEMzOD" hidden="1">#REF!</definedName>
    <definedName name="bb_QUQ2RkZDOUQ0MTkyNDQ3NE" hidden="1">#REF!</definedName>
    <definedName name="bb_QUQxMTEzQ0MxNkE1NDE2Mk" hidden="1">#REF!</definedName>
    <definedName name="bb_QURFQkUwNTcwMDMzNDA3QT" hidden="1">#REF!</definedName>
    <definedName name="bb_QUU4MzJFMzM4MUM4NDA5ME" hidden="1">#REF!</definedName>
    <definedName name="bb_QUY2ODVDQTIxRTUzNDNDMU" hidden="1">#REF!</definedName>
    <definedName name="bb_QUY5QTk2MkMwQTc5NEQ3Q0" hidden="1">#REF!</definedName>
    <definedName name="bb_QzA0NTRFODFCNEVFNDFGRj" hidden="1">#REF!</definedName>
    <definedName name="bb_QzAzODhBMjQyMkUzNEYwN0" hidden="1">#REF!</definedName>
    <definedName name="bb_QzBCQTU0M0U2MDM2NDlGND" hidden="1">#REF!</definedName>
    <definedName name="bb_Qzc1MjZFQ0VCNTRCNDI1OD" hidden="1">#REF!</definedName>
    <definedName name="bb_QzFENUI3MUM5NENENEZGQj" localSheetId="22" hidden="1">#REF!</definedName>
    <definedName name="bb_QzFENUI3MUM5NENENEZGQj" hidden="1">#REF!</definedName>
    <definedName name="bb_Qzg4ODhDQzlDQTkwNEE2Qj" localSheetId="22" hidden="1">#REF!</definedName>
    <definedName name="bb_Qzg4ODhDQzlDQTkwNEE2Qj" hidden="1">#REF!</definedName>
    <definedName name="bb_QzgwOTdDODczRkQ5NEQ1Mz" localSheetId="22" hidden="1">#REF!</definedName>
    <definedName name="bb_QzgwOTdDODczRkQ5NEQ1Mz" hidden="1">#REF!</definedName>
    <definedName name="bb_QzI4NkZGRjBDRjNGNEQwOD" hidden="1">#REF!</definedName>
    <definedName name="bb_QzJBRDVBNzhCMjM0NENCQz" hidden="1">#REF!</definedName>
    <definedName name="bb_Qzk4QkM5QkYxRTQxNEYzNk" hidden="1">#REF!</definedName>
    <definedName name="bb_QzkzQjhCNUQ0OUFGNEQ4NT" hidden="1">#REF!</definedName>
    <definedName name="bb_QzMyMUJCQTMxQTBGNDBGQT" hidden="1">#REF!</definedName>
    <definedName name="bb_QzRFMDUzNUIxQkZGNDExNk" hidden="1">#REF!</definedName>
    <definedName name="bb_QzRFNTEyODZEQUExNDlEQk" hidden="1">#REF!</definedName>
    <definedName name="bb_QzY3NkZCNTdCNjQ2NDkzND" hidden="1">#REF!</definedName>
    <definedName name="bb_QzY4MTBBM0FCN0YwNDY4Mz" hidden="1">#REF!</definedName>
    <definedName name="bb_QzY4NDlGRURDQ0RENEI4M0" hidden="1">#REF!</definedName>
    <definedName name="bb_QzYzMUVEMTRBRTkwNDNBRE" hidden="1">#REF!</definedName>
    <definedName name="bb_QzZENzNERjMyOEUyNDhBM0" hidden="1">#REF!</definedName>
    <definedName name="bb_QzZEQ0NEMkFEODRFNDVENz" hidden="1">#REF!</definedName>
    <definedName name="bb_RDA3N0FFMUJEQjY5NDYyQU" hidden="1">#REF!</definedName>
    <definedName name="bb_RDc1Mjg3ODYxNDFENEIzNz" hidden="1">#REF!</definedName>
    <definedName name="bb_RDc1NUNEQTg3MzNBNDJBRD" hidden="1">#REF!</definedName>
    <definedName name="bb_RDc3NTBEOEI2NTM4NDMyNk" hidden="1">#REF!</definedName>
    <definedName name="bb_RDFBRjUyQ0I3RkFBNDA3Rk" hidden="1">#REF!</definedName>
    <definedName name="bb_RDgzNzgzRkFEQjM0NDAzMD" hidden="1">#REF!</definedName>
    <definedName name="bb_RDhDQTRGNzkwMDAyNEEzOU" hidden="1">#REF!</definedName>
    <definedName name="bb_RDI2RTM3NzMwOTE0NEUxQk" hidden="1">#REF!</definedName>
    <definedName name="bb_RDJGRTU4RUY0M0U0NEFGMk" hidden="1">#REF!</definedName>
    <definedName name="bb_RDk2MkI3MDc5MEI2NDlBRj" hidden="1">#REF!</definedName>
    <definedName name="bb_RDk3QjZFQ0M1MkFFNDFDQk" hidden="1">#REF!</definedName>
    <definedName name="bb_RDk4MzI2MDE1N0NENEQxN0" localSheetId="22" hidden="1">#REF!</definedName>
    <definedName name="bb_RDk4MzI2MDE1N0NENEQxN0" hidden="1">#REF!</definedName>
    <definedName name="bb_RDk5NTdGNDQzRkMxNDYzNE" localSheetId="22" hidden="1">#REF!</definedName>
    <definedName name="bb_RDk5NTdGNDQzRkMxNDYzNE" hidden="1">#REF!</definedName>
    <definedName name="bb_RDlFMTI0Q0I1ODJFNEY5NE" localSheetId="22" hidden="1">#REF!</definedName>
    <definedName name="bb_RDlFMTI0Q0I1ODJFNEY5NE" hidden="1">#REF!</definedName>
    <definedName name="bb_RDMyRjg4N0MyODNGNDBGNT" hidden="1">#REF!</definedName>
    <definedName name="bb_RDNFNTc4RDZFRDUzNDg5NU" hidden="1">#REF!</definedName>
    <definedName name="bb_RDQ1MkM1RDQxOEUyNENEMU" hidden="1">#REF!</definedName>
    <definedName name="bb_RDQ4MDQ5REYyOTRDNDREMU" hidden="1">#REF!</definedName>
    <definedName name="bb_RDQ4MDUxRTg0RTMzNEFGQk" hidden="1">#REF!</definedName>
    <definedName name="bb_RDQyMTcxMDkzM0RCNDA1Qk" hidden="1">#REF!</definedName>
    <definedName name="bb_RDQyNzgxQ0FGNjc1NDVFOE" hidden="1">#REF!</definedName>
    <definedName name="bb_RDRDNzM4NTZFN0E5NDRFRU" hidden="1">#REF!</definedName>
    <definedName name="bb_RDUwNDI3OUY2OTFDNDgwNj" hidden="1">#REF!</definedName>
    <definedName name="bb_RDUxNzVBRkU1OEQ1NDE3Nz" hidden="1">#REF!</definedName>
    <definedName name="bb_RDY1QkVFNDREN0E4NDMwOT" hidden="1">#REF!</definedName>
    <definedName name="bb_RDZBREU4RjQ3RDg3NDU2Qk" hidden="1">#REF!</definedName>
    <definedName name="bb_RDZFMzk0QUVCQTlCNEY3Q0" hidden="1">#REF!</definedName>
    <definedName name="bb_RDZGNkRGNTA3NjdENEVEMT" hidden="1">#REF!</definedName>
    <definedName name="bb_REE1RTU3RUREMjY5NDZEQT" hidden="1">#REF!</definedName>
    <definedName name="bb_REFBQkMyNDI2Mzc1NDI3M0" hidden="1">#REF!</definedName>
    <definedName name="bb_REI1OURDRUUyQkFENDUwOD" hidden="1">#REF!</definedName>
    <definedName name="bb_REMxMjVCMUNBMzFDNDdEQj" hidden="1">#REF!</definedName>
    <definedName name="bb_REMzMUE5RjM1RjU2NDIxMD" hidden="1">#REF!</definedName>
    <definedName name="bb_RENFMEY4N0YyRjczNDE2QU" hidden="1">#REF!</definedName>
    <definedName name="bb_REQzN0RGQzdGODlGNDEzNE" hidden="1">#REF!</definedName>
    <definedName name="bb_REQzQzMzMEQzRjQ0NDZENU" hidden="1">#REF!</definedName>
    <definedName name="bb_REU1RkJGNzFDNEQ5NEMzRD" hidden="1">#REF!</definedName>
    <definedName name="bb_REU3NzU0NjVFRUQ2NDQ4RE" hidden="1">#REF!</definedName>
    <definedName name="bb_REUyRTgyMUREMTkxNEExQz" hidden="1">#REF!</definedName>
    <definedName name="bb_REY3NTlFQkIwOTkxNDA0ND" hidden="1">#REF!</definedName>
    <definedName name="bb_REZCNUYyQUJDQUQ2NEVERE" hidden="1">#REF!</definedName>
    <definedName name="bb_RjA1MzJERjcyQUMwNDFFQz" hidden="1">#REF!</definedName>
    <definedName name="bb_RjE0RDk3Q0MyMDZCNDRENj" hidden="1">#REF!</definedName>
    <definedName name="bb_RjE2Qjc0M0RCRjQ3NDkzRE" hidden="1">#REF!</definedName>
    <definedName name="bb_RjFBRjkzQTE3ODgzNDgwMk" hidden="1">#REF!</definedName>
    <definedName name="bb_Rjg3Njc2MzFDMDBBNDVBQ0" hidden="1">#REF!</definedName>
    <definedName name="bb_RjJEODI3MjBDNzFFNDdFNj" hidden="1">#REF!</definedName>
    <definedName name="bb_Rjk4MTYyNzczRkU1NDJFRT" hidden="1">#REF!</definedName>
    <definedName name="bb_RjlBMDY2OTU0NDU0NEU2Mj" hidden="1">#REF!</definedName>
    <definedName name="bb_RjlBMTQzNDBEM0ZGNEQxOT" hidden="1">#REF!</definedName>
    <definedName name="bb_RjlCNTBGNUY1OUNENDI3Mj" hidden="1">#REF!</definedName>
    <definedName name="bb_RjlDQ0EzN0Y0NDk5NDk1Q0" hidden="1">#REF!</definedName>
    <definedName name="bb_RjNCRTEwMzI2NUEzNDIzRU" hidden="1">#REF!</definedName>
    <definedName name="bb_RjNENjE5MkRFMEYwNDIyQU" hidden="1">#REF!</definedName>
    <definedName name="bb_RjNERjc1NUU0N0IxNEJBND" hidden="1">#REF!</definedName>
    <definedName name="bb_RjQ2QTU3RDkzRDJENEQ5Qk" localSheetId="22" hidden="1">'Revenue Requir (old)'!#REF!</definedName>
    <definedName name="bb_RjQ2QTU3RDkzRDJENEQ5Qk" hidden="1">#REF!</definedName>
    <definedName name="bb_RjRGRURGNkU0MDhENDc2OT" localSheetId="22" hidden="1">#REF!</definedName>
    <definedName name="bb_RjRGRURGNkU0MDhENDc2OT" hidden="1">#REF!</definedName>
    <definedName name="bb_RjUxQzEyOEZDMkYyNDhDQU" hidden="1">#REF!</definedName>
    <definedName name="bb_RjY4MjI4NkQ5NTdENDA1MU" localSheetId="22" hidden="1">#REF!</definedName>
    <definedName name="bb_RjY4MjI4NkQ5NTdENDA1MU" hidden="1">#REF!</definedName>
    <definedName name="bb_RjY4NjkyMEZEOTg2NDZBMz" localSheetId="22" hidden="1">#REF!</definedName>
    <definedName name="bb_RjY4NjkyMEZEOTg2NDZBMz" hidden="1">#REF!</definedName>
    <definedName name="bb_RjYwNkE0M0E3ODQ5NDhBMj" localSheetId="22" hidden="1">#REF!</definedName>
    <definedName name="bb_RjYwNkE0M0E3ODQ5NDhBMj" hidden="1">#REF!</definedName>
    <definedName name="bb_RjYzQjk2OUUwMzgyNEUyQU" hidden="1">#REF!</definedName>
    <definedName name="bb_RjZDQTFCMEJCQzkxNDE4OD" hidden="1">#REF!</definedName>
    <definedName name="bb_RkE3MkY0RjZFNTAyNDA3Nz" hidden="1">#REF!</definedName>
    <definedName name="bb_RkE3MUUwNENCQzRCNDY1Qk" hidden="1">#REF!</definedName>
    <definedName name="bb_RkI0NDhFQzI4RDkzNEEyRT" hidden="1">#REF!</definedName>
    <definedName name="bb_RkI4QkI0QjkwOThBNDlBNU" hidden="1">#REF!</definedName>
    <definedName name="bb_RkI5MkUzMzdCNTA2NDE3Rk" hidden="1">#REF!</definedName>
    <definedName name="bb_RkIyN0ExNTZEMzZDNDYyRU" hidden="1">#REF!</definedName>
    <definedName name="bb_RkNGNTA3NUQ3MEU2NDhDME" hidden="1">#REF!</definedName>
    <definedName name="bb_RkQyRkU1Q0NDMzQ1NDkzMT" localSheetId="22" hidden="1">#REF!</definedName>
    <definedName name="bb_RkQyRkU1Q0NDMzQ1NDkzMT" hidden="1">#REF!</definedName>
    <definedName name="bb_RkQzQzRBOTI3MDQ3NEYzRT" localSheetId="22" hidden="1">#REF!</definedName>
    <definedName name="bb_RkQzQzRBOTI3MDQ3NEYzRT" hidden="1">#REF!</definedName>
    <definedName name="bb_RkRBMjcxRjY1NkM4NDExRU" localSheetId="22" hidden="1">#REF!</definedName>
    <definedName name="bb_RkRBMjcxRjY1NkM4NDExRU" hidden="1">#REF!</definedName>
    <definedName name="bb_RkU4MjMzRjhDNEQwNEYyM0" localSheetId="22" hidden="1">'Revenue Requir (old)'!#REF!</definedName>
    <definedName name="bb_RkU4MjMzRjhDNEQwNEYyM0" hidden="1">#REF!</definedName>
    <definedName name="bb_RkVFNjJGQTY3NjI4NEIyRD" localSheetId="22" hidden="1">#REF!</definedName>
    <definedName name="bb_RkVFNjJGQTY3NjI4NEIyRD" hidden="1">#REF!</definedName>
    <definedName name="bb_RkVGOTEyRDg3QTk1NEMwQT" localSheetId="22" hidden="1">#REF!</definedName>
    <definedName name="bb_RkVGOTEyRDg3QTk1NEMwQT" hidden="1">#REF!</definedName>
    <definedName name="bb_RkY3QUE0NDU4MDhGNENGNk" localSheetId="22" hidden="1">#REF!</definedName>
    <definedName name="bb_RkY3QUE0NDU4MDhGNENGNk" hidden="1">#REF!</definedName>
    <definedName name="bb_RTA3MkJBOTU5MEFGNDFCRT" hidden="1">#REF!</definedName>
    <definedName name="bb_RTA4Q0E5NzdCNjIwNDVGRE" hidden="1">#REF!</definedName>
    <definedName name="bb_RTA4Qzc0QzQ5REQyNEIwRU" hidden="1">#REF!</definedName>
    <definedName name="bb_RTA4RjNEQTk3MDRGNEQzRT" hidden="1">#REF!</definedName>
    <definedName name="bb_RTAxMEQzREI3NDMwNEZGNj" hidden="1">#REF!</definedName>
    <definedName name="bb_RTAyMzE3MENCMjAxNEY1RT" hidden="1">#REF!</definedName>
    <definedName name="bb_RTBEN0ZERDRFOEQ0NEFBQU" hidden="1">#REF!</definedName>
    <definedName name="bb_RTc4RENGODdEMEMyNDVDQ0" hidden="1">#REF!</definedName>
    <definedName name="bb_RTcxMkMzMTQ4OTUzNDBFRk" localSheetId="22" hidden="1">#REF!</definedName>
    <definedName name="bb_RTcxMkMzMTQ4OTUzNDBFRk" hidden="1">#REF!</definedName>
    <definedName name="bb_RTcxOTE3RjUyQzhCNDBCQ0" localSheetId="22" hidden="1">#REF!</definedName>
    <definedName name="bb_RTcxOTE3RjUyQzhCNDBCQ0" hidden="1">#REF!</definedName>
    <definedName name="bb_RTdBRUQ2MzdBODM4NENGMT" localSheetId="22" hidden="1">'Revenue Requir (old)'!#REF!</definedName>
    <definedName name="bb_RTdBRUQ2MzdBODM4NENGMT" hidden="1">#REF!</definedName>
    <definedName name="bb_RTdEMzZDQzdCQzVDNDlDNT" localSheetId="22" hidden="1">#REF!</definedName>
    <definedName name="bb_RTdEMzZDQzdCQzVDNDlDNT" hidden="1">#REF!</definedName>
    <definedName name="bb_RTE2OEI1NTM0M0QwNDQ5Rk" localSheetId="22" hidden="1">#REF!</definedName>
    <definedName name="bb_RTE2OEI1NTM0M0QwNDQ5Rk" hidden="1">#REF!</definedName>
    <definedName name="bb_RTE5QzFDNTE2MjgxNDBCRD" localSheetId="22" hidden="1">#REF!</definedName>
    <definedName name="bb_RTE5QzFDNTE2MjgxNDBCRD" hidden="1">#REF!</definedName>
    <definedName name="bb_RTFBODcxOUMwQzNFNDlDRT" hidden="1">#REF!</definedName>
    <definedName name="bb_RTFCNDdFQTI4QjU1NDAzRj" hidden="1">#REF!</definedName>
    <definedName name="bb_RTFGRTAxOUI1NjQxNEYwOU" hidden="1">#REF!</definedName>
    <definedName name="bb_RTg0MzA0NUYxODMxNDQ3Mj" hidden="1">#REF!</definedName>
    <definedName name="bb_RTg0RDNGQ0Y5N0JENDhENk" hidden="1">#REF!</definedName>
    <definedName name="bb_RTgyMDEyMjE2MUY1NDJDRE" hidden="1">#REF!</definedName>
    <definedName name="bb_RThCREFBOEZBQ0ZENDM4Rk" hidden="1">#REF!</definedName>
    <definedName name="bb_RThENzAxNjAwMTg3NDc1MT" hidden="1">#REF!</definedName>
    <definedName name="bb_RTI1NzREQTFEQ0ZCNEVGMT" hidden="1">#REF!</definedName>
    <definedName name="bb_RTIxMURBNzUyMjJENDExQU" hidden="1">#REF!</definedName>
    <definedName name="bb_RTIyQThBRTg0NUMwNEM2OT" hidden="1">#REF!</definedName>
    <definedName name="bb_RTIzMDdGOEQzMTRGNEJEQT" hidden="1">#REF!</definedName>
    <definedName name="bb_RTJEMUEzRTNFRTY3NENGQj" hidden="1">#REF!</definedName>
    <definedName name="bb_RTk0REZBQTUwMUQ5NDA1NU" hidden="1">#REF!</definedName>
    <definedName name="bb_RTk1Q0MwQ0M4NjUxNEJCND" hidden="1">#REF!</definedName>
    <definedName name="bb_RTk5N0FCQzYyRUFCNDJFRE" localSheetId="22" hidden="1">#REF!</definedName>
    <definedName name="bb_RTk5N0FCQzYyRUFCNDJFRE" hidden="1">#REF!</definedName>
    <definedName name="bb_RTk5RkVBRDVBQjQ5NDNGN0" localSheetId="22" hidden="1">#REF!</definedName>
    <definedName name="bb_RTk5RkVBRDVBQjQ5NDNGN0" hidden="1">#REF!</definedName>
    <definedName name="bb_RTkxOEU4MTk4RUQzNDQ5OE" localSheetId="22" hidden="1">#REF!</definedName>
    <definedName name="bb_RTkxOEU4MTk4RUQzNDQ5OE" hidden="1">#REF!</definedName>
    <definedName name="bb_RTRDODdFNDU2MTg2NDYxQj" hidden="1">#REF!</definedName>
    <definedName name="bb_RTRGQUMxMjIwM0Y5NEQyNU" hidden="1">#REF!</definedName>
    <definedName name="bb_RTUwM0JDQUY0RkYzNERBRk" hidden="1">#REF!</definedName>
    <definedName name="bb_RUE1RTYzQkRGOTE0NDNFRj" hidden="1">#REF!</definedName>
    <definedName name="bb_RUE2ODVDNTUxMjcwNDI4OD" hidden="1">#REF!</definedName>
    <definedName name="bb_RUEyNTFBRjA4REQ3NDQyOE" hidden="1">#REF!</definedName>
    <definedName name="bb_RUI2QUI2REY0NTczNDhGNj" hidden="1">#REF!</definedName>
    <definedName name="bb_RUM3MTIxRkI3N0MzNEY1MT" hidden="1">#REF!</definedName>
    <definedName name="bb_RUNDM0VBMTM0MjhFNDgwRj" hidden="1">#REF!</definedName>
    <definedName name="bb_RURENEIzODQ0QjNCNEQ4Rj" hidden="1">#REF!</definedName>
    <definedName name="bb_RURFRUE2MDg1Rjk2NDZFQz" hidden="1">#REF!</definedName>
    <definedName name="bb_RUU4RTFENjQwRDRFNDdBRk" hidden="1">#REF!</definedName>
    <definedName name="bb_RUUwRjBEN0IzQkMzNDEwOD" hidden="1">#REF!</definedName>
    <definedName name="bb_RUYwNzhGNTQ5QTQxNDM1RE" hidden="1">#REF!</definedName>
    <definedName name="BBBBBBBB" hidden="1">#REF!</definedName>
    <definedName name="BLPH1" hidden="1">#REF!</definedName>
    <definedName name="BLPH10" hidden="1">#REF!</definedName>
    <definedName name="BLPH100"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87" hidden="1">#REF!</definedName>
    <definedName name="BLPH29" hidden="1">#REF!</definedName>
    <definedName name="BLPH3" hidden="1">#REF!</definedName>
    <definedName name="BLPH30" hidden="1">#REF!</definedName>
    <definedName name="BLPH301"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7" hidden="1">#REF!</definedName>
    <definedName name="BLPH5" hidden="1">#REF!</definedName>
    <definedName name="BLPH53" hidden="1">#REF!</definedName>
    <definedName name="BLPH54"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3" hidden="1">#REF!</definedName>
    <definedName name="BLPH99" hidden="1">#REF!</definedName>
    <definedName name="BLPR120040130170512210" hidden="1">#REF!</definedName>
    <definedName name="BLPR120040130170512210_1_8" hidden="1">#REF!</definedName>
    <definedName name="BLPR120040130170512210_2_8" hidden="1">#REF!</definedName>
    <definedName name="BLPR120040130170512210_3_8" hidden="1">#REF!</definedName>
    <definedName name="BLPR120040130170512210_4_8" hidden="1">#REF!</definedName>
    <definedName name="BLPR120040130170512210_5_8" hidden="1">#REF!</definedName>
    <definedName name="BLPR120040130170512210_6_8" hidden="1">#REF!</definedName>
    <definedName name="BLPR120040130170512210_7_8" hidden="1">#REF!</definedName>
    <definedName name="BLPR120040130170512210_8_8" hidden="1">#REF!</definedName>
    <definedName name="BLPR120040205162235653" hidden="1">#REF!</definedName>
    <definedName name="BLPR120040205162235653_1_8" hidden="1">#REF!</definedName>
    <definedName name="BLPR120040205162235653_2_8" hidden="1">#REF!</definedName>
    <definedName name="BLPR120040205162235653_3_8" hidden="1">#REF!</definedName>
    <definedName name="BLPR120040205162235653_4_8" hidden="1">#REF!</definedName>
    <definedName name="BLPR120040205162235653_5_8" hidden="1">#REF!</definedName>
    <definedName name="BLPR120040205162235653_6_8" hidden="1">#REF!</definedName>
    <definedName name="BLPR120040205162235653_7_8" hidden="1">#REF!</definedName>
    <definedName name="BLPR120040205162235653_8_8" hidden="1">#REF!</definedName>
    <definedName name="BLPR1520040130171441887" hidden="1">#REF!</definedName>
    <definedName name="BLPR1520040130171441887_1_8" hidden="1">#REF!</definedName>
    <definedName name="BLPR1520040130171441887_2_8" hidden="1">#REF!</definedName>
    <definedName name="BLPR1520040130171441887_3_8" hidden="1">#REF!</definedName>
    <definedName name="BLPR1520040130171441887_4_8" hidden="1">#REF!</definedName>
    <definedName name="BLPR1520040130171441887_5_8" hidden="1">#REF!</definedName>
    <definedName name="BLPR1520040130171441887_6_8" hidden="1">#REF!</definedName>
    <definedName name="BLPR1520040130171441887_7_8" hidden="1">#REF!</definedName>
    <definedName name="BLPR1520040130171441887_8_8" hidden="1">#REF!</definedName>
    <definedName name="BLPR1820040205165037169" hidden="1">#REF!</definedName>
    <definedName name="BLPR1820040205165037169_1_8" hidden="1">#REF!</definedName>
    <definedName name="BLPR1820040205165037169_2_8" hidden="1">#REF!</definedName>
    <definedName name="BLPR1820040205165037169_3_8" hidden="1">#REF!</definedName>
    <definedName name="BLPR1820040205165037169_4_8" hidden="1">#REF!</definedName>
    <definedName name="BLPR1820040205165037169_5_8" hidden="1">#REF!</definedName>
    <definedName name="BLPR1820040205165037169_6_8" hidden="1">#REF!</definedName>
    <definedName name="BLPR1820040205165037169_7_8" hidden="1">#REF!</definedName>
    <definedName name="BLPR1820040205165037169_8_8" hidden="1">#REF!</definedName>
    <definedName name="BLPR1920040130171513072" hidden="1">#REF!</definedName>
    <definedName name="BLPR1920040130171513072_1_8" hidden="1">#REF!</definedName>
    <definedName name="BLPR1920040130171513072_2_8" hidden="1">#REF!</definedName>
    <definedName name="BLPR1920040130171513072_3_8" hidden="1">#REF!</definedName>
    <definedName name="BLPR1920040130171513072_4_8" hidden="1">#REF!</definedName>
    <definedName name="BLPR1920040130171513072_5_8" hidden="1">#REF!</definedName>
    <definedName name="BLPR1920040130171513072_6_8" hidden="1">#REF!</definedName>
    <definedName name="BLPR1920040130171513072_7_8" hidden="1">#REF!</definedName>
    <definedName name="BLPR1920040130171513072_8_8" hidden="1">#REF!</definedName>
    <definedName name="BLPR220040204201237693" hidden="1">#REF!</definedName>
    <definedName name="BLPR220040204201237693_1_8" hidden="1">#REF!</definedName>
    <definedName name="BLPR220040204201237693_2_8" hidden="1">#REF!</definedName>
    <definedName name="BLPR220040204201237693_3_8" hidden="1">#REF!</definedName>
    <definedName name="BLPR220040204201237693_4_8" hidden="1">#REF!</definedName>
    <definedName name="BLPR220040204201237693_5_8" hidden="1">#REF!</definedName>
    <definedName name="BLPR220040204201237693_6_8" hidden="1">#REF!</definedName>
    <definedName name="BLPR220040204201237693_7_8" hidden="1">#REF!</definedName>
    <definedName name="BLPR220040204201237693_8_8" hidden="1">#REF!</definedName>
    <definedName name="BLPR2220040130171524561" hidden="1">#REF!</definedName>
    <definedName name="BLPR2220040130171524561_1_8" hidden="1">#REF!</definedName>
    <definedName name="BLPR2220040130171524561_2_8" hidden="1">#REF!</definedName>
    <definedName name="BLPR2220040130171524561_3_8" hidden="1">#REF!</definedName>
    <definedName name="BLPR2220040130171524561_4_8" hidden="1">#REF!</definedName>
    <definedName name="BLPR2220040130171524561_5_8" hidden="1">#REF!</definedName>
    <definedName name="BLPR2220040130171524561_6_8" hidden="1">#REF!</definedName>
    <definedName name="BLPR2220040130171524561_7_8" hidden="1">#REF!</definedName>
    <definedName name="BLPR2220040130171524561_8_8" hidden="1">#REF!</definedName>
    <definedName name="BLPR2420040130171533284" hidden="1">#REF!</definedName>
    <definedName name="BLPR2420040130171533284_1_8" hidden="1">#REF!</definedName>
    <definedName name="BLPR2420040130171533284_2_8" hidden="1">#REF!</definedName>
    <definedName name="BLPR2420040130171533284_3_8" hidden="1">#REF!</definedName>
    <definedName name="BLPR2420040130171533284_4_8" hidden="1">#REF!</definedName>
    <definedName name="BLPR2420040130171533284_5_8" hidden="1">#REF!</definedName>
    <definedName name="BLPR2420040130171533284_6_8" hidden="1">#REF!</definedName>
    <definedName name="BLPR2420040130171533284_7_8" hidden="1">#REF!</definedName>
    <definedName name="BLPR2420040130171533284_8_8" hidden="1">#REF!</definedName>
    <definedName name="BLPR2520040130171541287" hidden="1">#REF!</definedName>
    <definedName name="BLPR2520040130171541287_1_8" hidden="1">#REF!</definedName>
    <definedName name="BLPR2520040130171541287_2_8" hidden="1">#REF!</definedName>
    <definedName name="BLPR2520040130171541287_3_8" hidden="1">#REF!</definedName>
    <definedName name="BLPR2520040130171541287_4_8" hidden="1">#REF!</definedName>
    <definedName name="BLPR2520040130171541287_5_8" hidden="1">#REF!</definedName>
    <definedName name="BLPR2520040130171541287_6_8" hidden="1">#REF!</definedName>
    <definedName name="BLPR2520040130171541287_7_8" hidden="1">#REF!</definedName>
    <definedName name="BLPR2520040130171541287_8_8" hidden="1">#REF!</definedName>
    <definedName name="BLPR2620040130171544867" hidden="1">#REF!</definedName>
    <definedName name="BLPR2620040130171544867_1_8" hidden="1">#REF!</definedName>
    <definedName name="BLPR2620040130171544867_2_8" hidden="1">#REF!</definedName>
    <definedName name="BLPR2620040130171544867_3_8" hidden="1">#REF!</definedName>
    <definedName name="BLPR2620040130171544867_4_8" hidden="1">#REF!</definedName>
    <definedName name="BLPR2620040130171544867_5_8" hidden="1">#REF!</definedName>
    <definedName name="BLPR2620040130171544867_6_8" hidden="1">#REF!</definedName>
    <definedName name="BLPR2620040130171544867_7_8" hidden="1">#REF!</definedName>
    <definedName name="BLPR2620040130171544867_8_8" hidden="1">#REF!</definedName>
    <definedName name="BLPR2720040130171547962" hidden="1">#REF!</definedName>
    <definedName name="BLPR2720040130171547962_1_8" hidden="1">#REF!</definedName>
    <definedName name="BLPR2720040130171547962_2_8" hidden="1">#REF!</definedName>
    <definedName name="BLPR2720040130171547962_3_8" hidden="1">#REF!</definedName>
    <definedName name="BLPR2720040130171547962_4_8" hidden="1">#REF!</definedName>
    <definedName name="BLPR2720040130171547962_5_8" hidden="1">#REF!</definedName>
    <definedName name="BLPR2720040130171547962_6_8" hidden="1">#REF!</definedName>
    <definedName name="BLPR2720040130171547962_7_8" hidden="1">#REF!</definedName>
    <definedName name="BLPR2720040130171547962_8_8" hidden="1">#REF!</definedName>
    <definedName name="BLPR2920040130171555449" hidden="1">#REF!</definedName>
    <definedName name="BLPR2920040130171555449_1_8" hidden="1">#REF!</definedName>
    <definedName name="BLPR2920040130171555449_2_8" hidden="1">#REF!</definedName>
    <definedName name="BLPR2920040130171555449_3_8" hidden="1">#REF!</definedName>
    <definedName name="BLPR2920040130171555449_4_8" hidden="1">#REF!</definedName>
    <definedName name="BLPR2920040130171555449_5_8" hidden="1">#REF!</definedName>
    <definedName name="BLPR2920040130171555449_6_8" hidden="1">#REF!</definedName>
    <definedName name="BLPR2920040130171555449_7_8" hidden="1">#REF!</definedName>
    <definedName name="BLPR2920040130171555449_8_8" hidden="1">#REF!</definedName>
    <definedName name="BLPR3020040130171601577" hidden="1">#REF!</definedName>
    <definedName name="BLPR3020040130171601577_1_8" hidden="1">#REF!</definedName>
    <definedName name="BLPR3020040130171601577_2_8" hidden="1">#REF!</definedName>
    <definedName name="BLPR3020040130171601577_3_8" hidden="1">#REF!</definedName>
    <definedName name="BLPR3020040130171601577_4_8" hidden="1">#REF!</definedName>
    <definedName name="BLPR3020040130171601577_5_8" hidden="1">#REF!</definedName>
    <definedName name="BLPR3020040130171601577_6_8" hidden="1">#REF!</definedName>
    <definedName name="BLPR3020040130171601577_7_8" hidden="1">#REF!</definedName>
    <definedName name="BLPR3020040130171601577_8_8" hidden="1">#REF!</definedName>
    <definedName name="BLPR320040204201544761" hidden="1">#REF!</definedName>
    <definedName name="BLPR320040204201544761_1_1" hidden="1">#REF!</definedName>
    <definedName name="BLPR3220040130171610424" hidden="1">#REF!</definedName>
    <definedName name="BLPR3220040130171610424_1_8" hidden="1">#REF!</definedName>
    <definedName name="BLPR3220040130171610424_2_8" hidden="1">#REF!</definedName>
    <definedName name="BLPR3220040130171610424_3_8" hidden="1">#REF!</definedName>
    <definedName name="BLPR3220040130171610424_4_8" hidden="1">#REF!</definedName>
    <definedName name="BLPR3220040130171610424_5_8" hidden="1">#REF!</definedName>
    <definedName name="BLPR3220040130171610424_6_8" hidden="1">#REF!</definedName>
    <definedName name="BLPR3220040130171610424_7_8" hidden="1">#REF!</definedName>
    <definedName name="BLPR3220040130171610424_8_8" hidden="1">#REF!</definedName>
    <definedName name="BLPR3320040130171738961" hidden="1">#REF!</definedName>
    <definedName name="BLPR3320040130171738961_1_8" hidden="1">#REF!</definedName>
    <definedName name="BLPR3320040130171738961_2_8" hidden="1">#REF!</definedName>
    <definedName name="BLPR3320040130171738961_3_8" hidden="1">#REF!</definedName>
    <definedName name="BLPR3320040130171738961_4_8" hidden="1">#REF!</definedName>
    <definedName name="BLPR3320040130171738961_5_8" hidden="1">#REF!</definedName>
    <definedName name="BLPR3320040130171738961_6_8" hidden="1">#REF!</definedName>
    <definedName name="BLPR3320040130171738961_7_8" hidden="1">#REF!</definedName>
    <definedName name="BLPR3320040130171738961_8_8" hidden="1">#REF!</definedName>
    <definedName name="BLPR3420040130171750184" hidden="1">#REF!</definedName>
    <definedName name="BLPR3420040130171750184_1_8" hidden="1">#REF!</definedName>
    <definedName name="BLPR3420040130171750184_2_8" hidden="1">#REF!</definedName>
    <definedName name="BLPR3420040130171750184_3_8" hidden="1">#REF!</definedName>
    <definedName name="BLPR3420040130171750184_4_8" hidden="1">#REF!</definedName>
    <definedName name="BLPR3420040130171750184_5_8" hidden="1">#REF!</definedName>
    <definedName name="BLPR3420040130171750184_6_8" hidden="1">#REF!</definedName>
    <definedName name="BLPR3420040130171750184_7_8" hidden="1">#REF!</definedName>
    <definedName name="BLPR3420040130171750184_8_8" hidden="1">#REF!</definedName>
    <definedName name="BLPR3520040130171814679" hidden="1">#REF!</definedName>
    <definedName name="BLPR3520040130171814679_1_8" hidden="1">#REF!</definedName>
    <definedName name="BLPR3520040130171814679_2_8" hidden="1">#REF!</definedName>
    <definedName name="BLPR3520040130171814679_3_8" hidden="1">#REF!</definedName>
    <definedName name="BLPR3520040130171814679_4_8" hidden="1">#REF!</definedName>
    <definedName name="BLPR3520040130171814679_5_8" hidden="1">#REF!</definedName>
    <definedName name="BLPR3520040130171814679_6_8" hidden="1">#REF!</definedName>
    <definedName name="BLPR3520040130171814679_7_8" hidden="1">#REF!</definedName>
    <definedName name="BLPR3520040130171814679_8_8" hidden="1">#REF!</definedName>
    <definedName name="BLPR3620040130171814679" hidden="1">#REF!</definedName>
    <definedName name="BLPR3620040130171814679_1_8" hidden="1">#REF!</definedName>
    <definedName name="BLPR3620040130171814679_2_8" hidden="1">#REF!</definedName>
    <definedName name="BLPR3620040130171814679_3_8" hidden="1">#REF!</definedName>
    <definedName name="BLPR3620040130171814679_4_8" hidden="1">#REF!</definedName>
    <definedName name="BLPR3620040130171814679_5_8" hidden="1">#REF!</definedName>
    <definedName name="BLPR3620040130171814679_6_8" hidden="1">#REF!</definedName>
    <definedName name="BLPR3620040130171814679_7_8" hidden="1">#REF!</definedName>
    <definedName name="BLPR3620040130171814679_8_8" hidden="1">#REF!</definedName>
    <definedName name="BLPR3720040130171901073" hidden="1">#REF!</definedName>
    <definedName name="BLPR3720040130171901073_1_8" hidden="1">#REF!</definedName>
    <definedName name="BLPR3720040130171901073_2_8" hidden="1">#REF!</definedName>
    <definedName name="BLPR3720040130171901073_3_8" hidden="1">#REF!</definedName>
    <definedName name="BLPR3720040130171901073_4_8" hidden="1">#REF!</definedName>
    <definedName name="BLPR3720040130171901073_5_8" hidden="1">'[5]Download Sheet'!#REF!</definedName>
    <definedName name="BLPR3720040130171901073_6_8" hidden="1">#REF!</definedName>
    <definedName name="BLPR3720040130171901073_7_8" hidden="1">#REF!</definedName>
    <definedName name="BLPR3720040130171901073_8_8" hidden="1">#REF!</definedName>
    <definedName name="BLPR3820040130171905294" hidden="1">#REF!</definedName>
    <definedName name="BLPR3820040130171905294_1_8" hidden="1">#REF!</definedName>
    <definedName name="BLPR3820040130171905294_2_8" hidden="1">#REF!</definedName>
    <definedName name="BLPR3820040130171905294_3_8" hidden="1">#REF!</definedName>
    <definedName name="BLPR3820040130171905294_4_8" hidden="1">#REF!</definedName>
    <definedName name="BLPR3820040130171905294_5_8" hidden="1">#REF!</definedName>
    <definedName name="BLPR3820040130171905294_6_8" hidden="1">#REF!</definedName>
    <definedName name="BLPR3820040130171905294_7_8" hidden="1">#REF!</definedName>
    <definedName name="BLPR3820040130171905294_8_8" hidden="1">#REF!</definedName>
    <definedName name="BLPR3920040130171914282" hidden="1">#REF!</definedName>
    <definedName name="BLPR3920040130171914282_1_8" hidden="1">#REF!</definedName>
    <definedName name="BLPR3920040130171914282_2_8" hidden="1">#REF!</definedName>
    <definedName name="BLPR3920040130171914282_3_8" hidden="1">#REF!</definedName>
    <definedName name="BLPR3920040130171914282_4_8" hidden="1">#REF!</definedName>
    <definedName name="BLPR3920040130171914282_5_8" hidden="1">'[5]Download Sheet'!#REF!</definedName>
    <definedName name="BLPR3920040130171914282_6_8" hidden="1">#REF!</definedName>
    <definedName name="BLPR3920040130171914282_7_8" hidden="1">#REF!</definedName>
    <definedName name="BLPR3920040130171914282_8_8" hidden="1">#REF!</definedName>
    <definedName name="BLPR4020040130171936619" hidden="1">#REF!</definedName>
    <definedName name="BLPR4020040130171936619_1_8" hidden="1">#REF!</definedName>
    <definedName name="BLPR4020040130171936619_2_8" hidden="1">#REF!</definedName>
    <definedName name="BLPR4020040130171936619_3_8" hidden="1">#REF!</definedName>
    <definedName name="BLPR4020040130171936619_4_8" hidden="1">#REF!</definedName>
    <definedName name="BLPR4020040130171936619_5_8" hidden="1">#REF!</definedName>
    <definedName name="BLPR4020040130171936619_6_8" hidden="1">#REF!</definedName>
    <definedName name="BLPR4020040130171936619_7_8" hidden="1">#REF!</definedName>
    <definedName name="BLPR4020040130171936619_8_8" hidden="1">#REF!</definedName>
    <definedName name="BLPR4120040130171947968" hidden="1">#REF!</definedName>
    <definedName name="BLPR4120040130171947968_1_8" hidden="1">#REF!</definedName>
    <definedName name="BLPR4120040130171947968_2_8" hidden="1">#REF!</definedName>
    <definedName name="BLPR4120040130171947968_3_8" hidden="1">#REF!</definedName>
    <definedName name="BLPR4120040130171947968_4_8" hidden="1">#REF!</definedName>
    <definedName name="BLPR4120040130171947968_5_8" hidden="1">#REF!</definedName>
    <definedName name="BLPR4120040130171947968_6_8" hidden="1">#REF!</definedName>
    <definedName name="BLPR4120040130171947968_7_8" hidden="1">#REF!</definedName>
    <definedName name="BLPR4120040130171947968_8_8" hidden="1">#REF!</definedName>
    <definedName name="BLPR420040204201601667" hidden="1">#REF!</definedName>
    <definedName name="BLPR420040204201601667_1_1" hidden="1">#REF!</definedName>
    <definedName name="BLPR420040205162630481" hidden="1">#REF!</definedName>
    <definedName name="BLPR420040205162630481_1_8" hidden="1">#REF!</definedName>
    <definedName name="BLPR420040205162630481_2_8" hidden="1">#REF!</definedName>
    <definedName name="BLPR420040205162630481_3_8" hidden="1">#REF!</definedName>
    <definedName name="BLPR420040205162630481_4_8" hidden="1">#REF!</definedName>
    <definedName name="BLPR420040205162630481_5_8" hidden="1">#REF!</definedName>
    <definedName name="BLPR420040205162630481_6_8" hidden="1">#REF!</definedName>
    <definedName name="BLPR420040205162630481_7_8" hidden="1">#REF!</definedName>
    <definedName name="BLPR420040205162630481_8_8" hidden="1">#REF!</definedName>
    <definedName name="BLPR4220040130171953095" hidden="1">#REF!</definedName>
    <definedName name="BLPR4220040130171953095_1_8" hidden="1">#REF!</definedName>
    <definedName name="BLPR4220040130171953095_2_8" hidden="1">#REF!</definedName>
    <definedName name="BLPR4220040130171953095_3_8" hidden="1">#REF!</definedName>
    <definedName name="BLPR4220040130171953095_4_8" hidden="1">#REF!</definedName>
    <definedName name="BLPR4220040130171953095_5_8" hidden="1">#REF!</definedName>
    <definedName name="BLPR4220040130171953095_6_8" hidden="1">#REF!</definedName>
    <definedName name="BLPR4220040130171953095_7_8" hidden="1">#REF!</definedName>
    <definedName name="BLPR4220040130171953095_8_8" hidden="1">#REF!</definedName>
    <definedName name="BLPR4320040130171958660" hidden="1">#REF!</definedName>
    <definedName name="BLPR4320040130171958660_1_8" hidden="1">#REF!</definedName>
    <definedName name="BLPR4320040130171958660_2_8" hidden="1">#REF!</definedName>
    <definedName name="BLPR4320040130171958660_3_8" hidden="1">#REF!</definedName>
    <definedName name="BLPR4320040130171958660_4_8" hidden="1">#REF!</definedName>
    <definedName name="BLPR4320040130171958660_5_8" hidden="1">#REF!</definedName>
    <definedName name="BLPR4320040130171958660_6_8" hidden="1">#REF!</definedName>
    <definedName name="BLPR4320040130171958660_7_8" hidden="1">#REF!</definedName>
    <definedName name="BLPR4320040130171958660_8_8" hidden="1">#REF!</definedName>
    <definedName name="BLPR4420040130172003115" hidden="1">#REF!</definedName>
    <definedName name="BLPR4420040130172003115_1_8" hidden="1">#REF!</definedName>
    <definedName name="BLPR4420040130172003115_2_8" hidden="1">#REF!</definedName>
    <definedName name="BLPR4420040130172003115_3_8" hidden="1">#REF!</definedName>
    <definedName name="BLPR4420040130172003115_4_8" hidden="1">#REF!</definedName>
    <definedName name="BLPR4420040130172003115_5_8" hidden="1">#REF!</definedName>
    <definedName name="BLPR4420040130172003115_6_8" hidden="1">#REF!</definedName>
    <definedName name="BLPR4420040130172003115_7_8" hidden="1">#REF!</definedName>
    <definedName name="BLPR4420040130172003115_8_8" hidden="1">#REF!</definedName>
    <definedName name="BLPR4520040130172016464" hidden="1">#REF!</definedName>
    <definedName name="BLPR4520040130172016464_1_8" hidden="1">#REF!</definedName>
    <definedName name="BLPR4520040130172016464_2_8" hidden="1">#REF!</definedName>
    <definedName name="BLPR4520040130172016464_3_8" hidden="1">#REF!</definedName>
    <definedName name="BLPR4520040130172016464_4_8" hidden="1">#REF!</definedName>
    <definedName name="BLPR4520040130172016464_5_8" hidden="1">#REF!</definedName>
    <definedName name="BLPR4520040130172016464_6_8" hidden="1">#REF!</definedName>
    <definedName name="BLPR4520040130172016464_7_8" hidden="1">#REF!</definedName>
    <definedName name="BLPR4520040130172016464_8_8" hidden="1">#REF!</definedName>
    <definedName name="BLPR4620040130231314082" hidden="1">#REF!</definedName>
    <definedName name="BLPR4620040130231314082_1_8" hidden="1">#REF!</definedName>
    <definedName name="BLPR4620040130231314082_2_8" hidden="1">#REF!</definedName>
    <definedName name="BLPR4620040130231314082_3_8" hidden="1">#REF!</definedName>
    <definedName name="BLPR4620040130231314082_4_8" hidden="1">#REF!</definedName>
    <definedName name="BLPR4620040130231314082_5_8" hidden="1">#REF!</definedName>
    <definedName name="BLPR4620040130231314082_6_8" hidden="1">#REF!</definedName>
    <definedName name="BLPR4620040130231314082_7_8" hidden="1">#REF!</definedName>
    <definedName name="BLPR4620040130231314082_8_8" hidden="1">#REF!</definedName>
    <definedName name="BLPR520040204201726358" hidden="1">#REF!</definedName>
    <definedName name="BLPR520040204201726358_1_8" hidden="1">#REF!</definedName>
    <definedName name="BLPR520040204201726358_2_8" hidden="1">#REF!</definedName>
    <definedName name="BLPR520040204201726358_3_8" hidden="1">#REF!</definedName>
    <definedName name="BLPR520040204201726358_4_8" hidden="1">#REF!</definedName>
    <definedName name="BLPR520040204201726358_5_8" hidden="1">#REF!</definedName>
    <definedName name="BLPR520040204201726358_6_8" hidden="1">#REF!</definedName>
    <definedName name="BLPR520040204201726358_7_8" hidden="1">#REF!</definedName>
    <definedName name="BLPR520040204201726358_8_8" hidden="1">#REF!</definedName>
    <definedName name="BLPR520040205162639919" hidden="1">#REF!</definedName>
    <definedName name="BLPR520040205162639919_1_8" hidden="1">#REF!</definedName>
    <definedName name="BLPR520040205162639919_2_8" hidden="1">#REF!</definedName>
    <definedName name="BLPR520040205162639919_3_8" hidden="1">#REF!</definedName>
    <definedName name="BLPR520040205162639919_4_8" hidden="1">#REF!</definedName>
    <definedName name="BLPR520040205162639919_5_8" hidden="1">#REF!</definedName>
    <definedName name="BLPR520040205162639919_6_8" hidden="1">#REF!</definedName>
    <definedName name="BLPR520040205162639919_7_8" hidden="1">#REF!</definedName>
    <definedName name="BLPR520040205162639919_8_8" hidden="1">#REF!</definedName>
    <definedName name="BNE_MESSAGES_HIDDEN" localSheetId="22" hidden="1">#REF!</definedName>
    <definedName name="BNE_MESSAGES_HIDDEN" hidden="1">#REF!</definedName>
    <definedName name="case_names">'[4]Library of Cases'!$E$27:$BY$27</definedName>
    <definedName name="CBWorkbookPriority" hidden="1">-1527382509</definedName>
    <definedName name="ccccccccccccccc" hidden="1">#REF!</definedName>
    <definedName name="CIQWBGuid" localSheetId="14" hidden="1">"Draft PREPA Fiscal Plan Model 3.29.2021_v1.xlsx"</definedName>
    <definedName name="CIQWBGuid" localSheetId="15" hidden="1">"Draft PREPA Fiscal Plan Model 3.29.2021_v1.xlsx"</definedName>
    <definedName name="CIQWBGuid" localSheetId="16" hidden="1">"Draft PREPA Fiscal Plan Model 3.29.2021_v1.xlsx"</definedName>
    <definedName name="CIQWBGuid" localSheetId="13" hidden="1">"Draft PREPA Fiscal Plan Model 3.29.2021_v1.xlsx"</definedName>
    <definedName name="CIQWBGuid" localSheetId="22" hidden="1">"fc017ab3-f96c-4688-bf39-8268c8530c8e"</definedName>
    <definedName name="CIQWBGuid" hidden="1">"Table of factors english1.xlsx"</definedName>
    <definedName name="D" localSheetId="22" hidden="1">#REF!</definedName>
    <definedName name="D" hidden="1">#REF!</definedName>
    <definedName name="DATA_02" localSheetId="22" hidden="1">#REF!</definedName>
    <definedName name="DATA_02" hidden="1">#REF!</definedName>
    <definedName name="DATA_08" localSheetId="22" hidden="1">#REF!</definedName>
    <definedName name="DATA_08" hidden="1">#REF!</definedName>
    <definedName name="dd" localSheetId="22" hidden="1">#REF!</definedName>
    <definedName name="dd" hidden="1">#REF!</definedName>
    <definedName name="dddddddddddd" localSheetId="22" hidden="1">'Revenue Requir (old)'!#REF!</definedName>
    <definedName name="dddddddddddd" hidden="1">#REF!</definedName>
    <definedName name="dddddddddddddddddddddddddddddddd" localSheetId="22" hidden="1">'Revenue Requir (old)'!#REF!</definedName>
    <definedName name="dddddddddddddddddddddddddddddddd" hidden="1">#REF!</definedName>
    <definedName name="DistCust">#REF!</definedName>
    <definedName name="DistDem">#REF!</definedName>
    <definedName name="Docket">#REF!</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d" localSheetId="22" hidden="1">#REF!</definedName>
    <definedName name="ed" hidden="1">#REF!</definedName>
    <definedName name="eded" localSheetId="22" hidden="1">#REF!</definedName>
    <definedName name="eded" hidden="1">#REF!</definedName>
    <definedName name="eeee" localSheetId="22" hidden="1">'Revenue Requir (old)'!#REF!</definedName>
    <definedName name="eeee" hidden="1">#REF!</definedName>
    <definedName name="EEEEEEEEEEE" localSheetId="22" hidden="1">#REF!</definedName>
    <definedName name="EEEEEEEEEEE" hidden="1">#REF!</definedName>
    <definedName name="eeeeeeeeeeee" localSheetId="22" hidden="1">'Revenue Requir (old)'!#REF!</definedName>
    <definedName name="eeeeeeeeeeee" hidden="1">#REF!</definedName>
    <definedName name="eeeeeeeeeeeee" localSheetId="22" hidden="1">#REF!</definedName>
    <definedName name="eeeeeeeeeeeee" hidden="1">#REF!</definedName>
    <definedName name="elec"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V__LASTREFTIME__" hidden="1">38579.6373148148</definedName>
    <definedName name="Exh5.2" hidden="1">#REF!</definedName>
    <definedName name="f" localSheetId="21" hidden="1">{#N/A,#N/A,FALSE,"FY97P1";#N/A,#N/A,FALSE,"FY97Z312";#N/A,#N/A,FALSE,"FY97LRBC";#N/A,#N/A,FALSE,"FY97O";#N/A,#N/A,FALSE,"FY97DAM"}</definedName>
    <definedName name="f" localSheetId="22" hidden="1">{#N/A,#N/A,FALSE,"FY97P1";#N/A,#N/A,FALSE,"FY97Z312";#N/A,#N/A,FALSE,"FY97LRBC";#N/A,#N/A,FALSE,"FY97O";#N/A,#N/A,FALSE,"FY97DAM"}</definedName>
    <definedName name="f" hidden="1">{#N/A,#N/A,FALSE,"FY97P1";#N/A,#N/A,FALSE,"FY97Z312";#N/A,#N/A,FALSE,"FY97LRBC";#N/A,#N/A,FALSE,"FY97O";#N/A,#N/A,FALSE,"FY97DAM"}</definedName>
    <definedName name="FDP_0_1_aUrv" hidden="1">#REF!</definedName>
    <definedName name="FDP_1_1_aUrv" hidden="1">#REF!</definedName>
    <definedName name="FDP_10_1_aDrv" hidden="1">#REF!</definedName>
    <definedName name="FDP_100_1_aUrv" hidden="1">#REF!</definedName>
    <definedName name="FDP_101_1_aUrv" hidden="1">#REF!</definedName>
    <definedName name="FDP_102_1_aUrv" hidden="1">#REF!</definedName>
    <definedName name="FDP_103_1_aUrv" hidden="1">#REF!</definedName>
    <definedName name="FDP_104_1_aUrv" hidden="1">#REF!</definedName>
    <definedName name="FDP_105_1_aUrv" hidden="1">#REF!</definedName>
    <definedName name="FDP_106_1_aUrv" hidden="1">#REF!</definedName>
    <definedName name="FDP_107_1_aUrv" hidden="1">#REF!</definedName>
    <definedName name="FDP_108_1_aUrv" hidden="1">#REF!</definedName>
    <definedName name="FDP_109_1_aUrv" hidden="1">#REF!</definedName>
    <definedName name="FDP_11_1_aDrv" hidden="1">#REF!</definedName>
    <definedName name="FDP_110_1_aUrv" hidden="1">#REF!</definedName>
    <definedName name="FDP_111_1_aUrv" hidden="1">#REF!</definedName>
    <definedName name="FDP_112_1_aUrv" hidden="1">#REF!</definedName>
    <definedName name="FDP_113_1_aUrv" hidden="1">#REF!</definedName>
    <definedName name="FDP_114_1_aUrv" hidden="1">#REF!</definedName>
    <definedName name="FDP_115_1_aUrv" hidden="1">#REF!</definedName>
    <definedName name="FDP_116_1_aUrv" hidden="1">#REF!</definedName>
    <definedName name="FDP_117_1_aUrv" hidden="1">#REF!</definedName>
    <definedName name="FDP_118_1_aUrv" hidden="1">#REF!</definedName>
    <definedName name="FDP_119_1_aUrv" hidden="1">#REF!</definedName>
    <definedName name="FDP_12_1_aDrv" hidden="1">#REF!</definedName>
    <definedName name="FDP_120_1_aUrv" hidden="1">#REF!</definedName>
    <definedName name="FDP_121_1_aUrv" hidden="1">#REF!</definedName>
    <definedName name="FDP_122_1_aUrv" hidden="1">#REF!</definedName>
    <definedName name="FDP_123_1_aUrv" hidden="1">#REF!</definedName>
    <definedName name="FDP_124_1_aUrv" hidden="1">#REF!</definedName>
    <definedName name="FDP_125_1_aUrv" hidden="1">#REF!</definedName>
    <definedName name="FDP_126_1_aUrv" hidden="1">#REF!</definedName>
    <definedName name="FDP_127_1_aUrv" hidden="1">#REF!</definedName>
    <definedName name="FDP_128_1_aUrv" hidden="1">#REF!</definedName>
    <definedName name="FDP_129_1_aUrv" hidden="1">#REF!</definedName>
    <definedName name="FDP_13_1_aUrv" hidden="1">#REF!</definedName>
    <definedName name="FDP_130_1_aUrv" hidden="1">#REF!</definedName>
    <definedName name="FDP_131_1_aSrv" hidden="1">#REF!</definedName>
    <definedName name="FDP_132_1_aUrv" hidden="1">#REF!</definedName>
    <definedName name="FDP_133_1_aUrv" hidden="1">#REF!</definedName>
    <definedName name="FDP_134_1_aUrv" hidden="1">#REF!</definedName>
    <definedName name="FDP_135_1_aUrv" hidden="1">#REF!</definedName>
    <definedName name="FDP_136_1_aSrv" hidden="1">#REF!</definedName>
    <definedName name="FDP_137_1_aUrv" hidden="1">#REF!</definedName>
    <definedName name="FDP_138_1_aUrv" hidden="1">#REF!</definedName>
    <definedName name="FDP_139_1_aUrv" hidden="1">#REF!</definedName>
    <definedName name="FDP_14_1_aUrv" hidden="1">#REF!</definedName>
    <definedName name="FDP_140_1_aUrv" hidden="1">#REF!</definedName>
    <definedName name="FDP_141_1_aUrv" hidden="1">#REF!</definedName>
    <definedName name="FDP_142_1_aUrv" hidden="1">#REF!</definedName>
    <definedName name="FDP_143_1_aUrv" hidden="1">#REF!</definedName>
    <definedName name="FDP_144_1_aUrv" hidden="1">#REF!</definedName>
    <definedName name="FDP_145_1_aUrv" hidden="1">#REF!</definedName>
    <definedName name="FDP_146_1_aUrv" hidden="1">#REF!</definedName>
    <definedName name="FDP_147_1_aUrv" hidden="1">#REF!</definedName>
    <definedName name="FDP_148_1_aUrv" hidden="1">#REF!</definedName>
    <definedName name="FDP_149_1_aUrv" hidden="1">#REF!</definedName>
    <definedName name="FDP_15_1_aUrv" hidden="1">#REF!</definedName>
    <definedName name="FDP_150_1_aSrv" hidden="1">#REF!</definedName>
    <definedName name="FDP_151_1_aUrv" hidden="1">#REF!</definedName>
    <definedName name="FDP_152_1_aSrv" hidden="1">#REF!</definedName>
    <definedName name="FDP_153_1_aUrv" hidden="1">#REF!</definedName>
    <definedName name="FDP_154_1_aSrv" hidden="1">#REF!</definedName>
    <definedName name="FDP_155_1_aUrv" hidden="1">#REF!</definedName>
    <definedName name="FDP_156_1_aSrv" hidden="1">#REF!</definedName>
    <definedName name="FDP_157_1_aUrv" hidden="1">#REF!</definedName>
    <definedName name="FDP_158_1_aSrv" hidden="1">#REF!</definedName>
    <definedName name="FDP_159_1_aUrv" hidden="1">#REF!</definedName>
    <definedName name="FDP_16_1_aUrv" hidden="1">#REF!</definedName>
    <definedName name="FDP_160_1_aSrv" hidden="1">#REF!</definedName>
    <definedName name="FDP_161_1_aDrv" hidden="1">#REF!</definedName>
    <definedName name="FDP_162_1_aDrv" hidden="1">#REF!</definedName>
    <definedName name="FDP_163_1_aDrv" hidden="1">#REF!</definedName>
    <definedName name="FDP_164_1_aDrv" hidden="1">#REF!</definedName>
    <definedName name="FDP_165_1_aDrv" hidden="1">#REF!</definedName>
    <definedName name="FDP_166_1_aDrv" hidden="1">#REF!</definedName>
    <definedName name="FDP_167_1_aDrv" hidden="1">#REF!</definedName>
    <definedName name="FDP_168_1_aDrv" hidden="1">#REF!</definedName>
    <definedName name="FDP_169_1_aDrv" hidden="1">#REF!</definedName>
    <definedName name="FDP_17_1_aUrv" hidden="1">#REF!</definedName>
    <definedName name="FDP_170_1_aDrv" hidden="1">#REF!</definedName>
    <definedName name="FDP_171_1_aDrv" hidden="1">#REF!</definedName>
    <definedName name="FDP_172_1_aDrv" hidden="1">#REF!</definedName>
    <definedName name="FDP_173_1_aDrv" hidden="1">#REF!</definedName>
    <definedName name="FDP_174_1_aUrv" hidden="1">#REF!</definedName>
    <definedName name="FDP_175_1_aUrv" hidden="1">#REF!</definedName>
    <definedName name="FDP_176_1_aUrv" hidden="1">#REF!</definedName>
    <definedName name="FDP_177_1_aUrv" hidden="1">#REF!</definedName>
    <definedName name="FDP_178_1_aUrv" hidden="1">#REF!</definedName>
    <definedName name="FDP_179_1_aUrv" hidden="1">#REF!</definedName>
    <definedName name="FDP_18_1_aUrv" hidden="1">#REF!</definedName>
    <definedName name="FDP_180_1_aUdv" hidden="1">#REF!</definedName>
    <definedName name="FDP_181_1_aUdv" hidden="1">#REF!</definedName>
    <definedName name="FDP_182_1_aUdv" hidden="1">#REF!</definedName>
    <definedName name="FDP_183_1_aUdv" hidden="1">#REF!</definedName>
    <definedName name="FDP_184_1_aUdv" hidden="1">#REF!</definedName>
    <definedName name="FDP_185_1_aUdv" hidden="1">#REF!</definedName>
    <definedName name="FDP_186_1_aUdv" hidden="1">#REF!</definedName>
    <definedName name="FDP_187_1_aUdv" hidden="1">#REF!</definedName>
    <definedName name="FDP_188_1_aUdv" hidden="1">#REF!</definedName>
    <definedName name="FDP_189_1_aUdv" hidden="1">#REF!</definedName>
    <definedName name="FDP_19_1_aUrv" hidden="1">#REF!</definedName>
    <definedName name="FDP_190_1_aUdv" hidden="1">#REF!</definedName>
    <definedName name="FDP_191_1_aUdv" hidden="1">#REF!</definedName>
    <definedName name="FDP_192_1_aUdv" hidden="1">#REF!</definedName>
    <definedName name="FDP_193_1_aUdv" hidden="1">#REF!</definedName>
    <definedName name="FDP_194_1_aUdv" hidden="1">#REF!</definedName>
    <definedName name="FDP_195_1_aUdv" hidden="1">#REF!</definedName>
    <definedName name="FDP_196_1_aUdv" hidden="1">#REF!</definedName>
    <definedName name="FDP_196_1aUdv1" hidden="1">#REF!</definedName>
    <definedName name="FDP_197_1_aUdv" hidden="1">#REF!</definedName>
    <definedName name="FDP_198_1_aUdv" hidden="1">#REF!</definedName>
    <definedName name="FDP_199_1_aUdv" hidden="1">#REF!</definedName>
    <definedName name="FDP_2_1_aUrv" hidden="1">#REF!</definedName>
    <definedName name="FDP_20_1_aUrv" hidden="1">#REF!</definedName>
    <definedName name="FDP_21_1_aUrv" hidden="1">#REF!</definedName>
    <definedName name="FDP_22_1_aUrv" hidden="1">#REF!</definedName>
    <definedName name="FDP_23_1_aDrv" hidden="1">#REF!</definedName>
    <definedName name="FDP_24_1_aUrv" hidden="1">#REF!</definedName>
    <definedName name="FDP_25_1_aUrv" hidden="1">#REF!</definedName>
    <definedName name="FDP_26_1_aUrv" hidden="1">#REF!</definedName>
    <definedName name="FDP_27_1_aUrv" hidden="1">#REF!</definedName>
    <definedName name="FDP_28_1_aUrv" hidden="1">#REF!</definedName>
    <definedName name="FDP_29_1_aDrv" hidden="1">#REF!</definedName>
    <definedName name="FDP_3_1_aUrv" hidden="1">#REF!</definedName>
    <definedName name="FDP_30_1_aUrv" hidden="1">#REF!</definedName>
    <definedName name="FDP_31_1_aUrv" hidden="1">#REF!</definedName>
    <definedName name="FDP_32_1_aUrv" hidden="1">#REF!</definedName>
    <definedName name="FDP_33_1_aUrv" hidden="1">#REF!</definedName>
    <definedName name="FDP_34_1_aUrv" hidden="1">#REF!</definedName>
    <definedName name="FDP_35_1_aSrv" hidden="1">#REF!</definedName>
    <definedName name="FDP_36_1_aUrv" hidden="1">#REF!</definedName>
    <definedName name="FDP_37_1_aUrv" hidden="1">#REF!</definedName>
    <definedName name="FDP_38_1_aUrv" hidden="1">#REF!</definedName>
    <definedName name="FDP_39_1_aUrv" hidden="1">#REF!</definedName>
    <definedName name="FDP_4_1_aUrv" hidden="1">#REF!</definedName>
    <definedName name="FDP_40_1_aUrv" hidden="1">#REF!</definedName>
    <definedName name="FDP_41_1_aSrv" hidden="1">#REF!</definedName>
    <definedName name="FDP_42_1_aSrv" hidden="1">#REF!</definedName>
    <definedName name="FDP_43_1_aUrv" hidden="1">#REF!</definedName>
    <definedName name="FDP_44_1_aUrv" hidden="1">#REF!</definedName>
    <definedName name="FDP_45_1_aUrv" hidden="1">#REF!</definedName>
    <definedName name="FDP_46_1_aUrv" hidden="1">#REF!</definedName>
    <definedName name="FDP_47_1_aUrv" hidden="1">#REF!</definedName>
    <definedName name="FDP_48_1_aSrv" hidden="1">#REF!</definedName>
    <definedName name="FDP_49_1_aUrv" hidden="1">#REF!</definedName>
    <definedName name="FDP_5_1_aUrv" hidden="1">#REF!</definedName>
    <definedName name="FDP_50_1_aUrv" hidden="1">#REF!</definedName>
    <definedName name="FDP_51_1_aUrv" hidden="1">#REF!</definedName>
    <definedName name="FDP_52_1_aUrv" hidden="1">#REF!</definedName>
    <definedName name="FDP_53_1_aUrv" hidden="1">#REF!</definedName>
    <definedName name="FDP_54_1_aUrv" hidden="1">#REF!</definedName>
    <definedName name="FDP_55_1_aUrv" hidden="1">#REF!</definedName>
    <definedName name="FDP_56_1_aUrv" hidden="1">#REF!</definedName>
    <definedName name="FDP_57_1_aUrv" hidden="1">#REF!</definedName>
    <definedName name="FDP_58_1_aUrv" hidden="1">#REF!</definedName>
    <definedName name="FDP_59_1_aUrv" hidden="1">#REF!</definedName>
    <definedName name="FDP_6_1_aUrv" hidden="1">#REF!</definedName>
    <definedName name="FDP_60_1_aUrv" hidden="1">#REF!</definedName>
    <definedName name="FDP_61_1_aSrv" hidden="1">#REF!</definedName>
    <definedName name="FDP_62_1_aSrv" hidden="1">#REF!</definedName>
    <definedName name="FDP_63_1_aUrv" hidden="1">#REF!</definedName>
    <definedName name="FDP_64_1_aSrv" hidden="1">#REF!</definedName>
    <definedName name="FDP_65_1_aSrv" hidden="1">#REF!</definedName>
    <definedName name="FDP_66_1_aUrv" hidden="1">#REF!</definedName>
    <definedName name="FDP_67_1_aUrv" hidden="1">#REF!</definedName>
    <definedName name="FDP_68_1_aUrv" hidden="1">#REF!</definedName>
    <definedName name="FDP_69_1_aUrv" hidden="1">#REF!</definedName>
    <definedName name="FDP_7_1_aUrv" hidden="1">#REF!</definedName>
    <definedName name="FDP_70_1_aDrv" hidden="1">#REF!</definedName>
    <definedName name="FDP_71_1_aUrv" hidden="1">#REF!</definedName>
    <definedName name="FDP_72_1_aDrv" hidden="1">#REF!</definedName>
    <definedName name="FDP_73_1_aUrv" hidden="1">#REF!</definedName>
    <definedName name="FDP_74_1_aUrv" hidden="1">#REF!</definedName>
    <definedName name="FDP_75_1_aSrv" hidden="1">#REF!</definedName>
    <definedName name="FDP_76_1_aUrv" hidden="1">#REF!</definedName>
    <definedName name="FDP_77_1_aUrv" hidden="1">#REF!</definedName>
    <definedName name="FDP_78_1_aUrv" hidden="1">#REF!</definedName>
    <definedName name="FDP_79_1_aUrv" hidden="1">#REF!</definedName>
    <definedName name="FDP_8_1_aDrv" hidden="1">#REF!</definedName>
    <definedName name="FDP_80_1_aUrv" hidden="1">#REF!</definedName>
    <definedName name="FDP_81_1_aSrv" hidden="1">#REF!</definedName>
    <definedName name="FDP_82_1_aUrv" hidden="1">#REF!</definedName>
    <definedName name="FDP_83_1_aSrv" hidden="1">#REF!</definedName>
    <definedName name="FDP_84_1_aUrv" hidden="1">#REF!</definedName>
    <definedName name="FDP_85_1_aUrv" hidden="1">#REF!</definedName>
    <definedName name="FDP_86_1_aUrv" hidden="1">#REF!</definedName>
    <definedName name="FDP_87_1_aSrv" hidden="1">#REF!</definedName>
    <definedName name="FDP_88_1_aUrv" hidden="1">#REF!</definedName>
    <definedName name="FDP_89_1_aSrv" hidden="1">#REF!</definedName>
    <definedName name="FDP_9_1_aDrv" hidden="1">#REF!</definedName>
    <definedName name="FDP_90_1_aUrv" hidden="1">#REF!</definedName>
    <definedName name="FDP_91_1_aUrv" hidden="1">#REF!</definedName>
    <definedName name="FDP_92_1_aSrv" hidden="1">#REF!</definedName>
    <definedName name="FDP_93_1_aDrv" hidden="1">#REF!</definedName>
    <definedName name="FDP_94_1_aUrv" hidden="1">#REF!</definedName>
    <definedName name="FDP_95_1_aUrv" hidden="1">#REF!</definedName>
    <definedName name="FDP_96_1_aUrv" hidden="1">#REF!</definedName>
    <definedName name="FDP_97_1_aUrv" hidden="1">#REF!</definedName>
    <definedName name="FDP_98_1_aUrv" hidden="1">#REF!</definedName>
    <definedName name="FDP_99_1_aUrv" hidden="1">#REF!</definedName>
    <definedName name="ffff" localSheetId="22" hidden="1">#REF!</definedName>
    <definedName name="ffff" hidden="1">#REF!</definedName>
    <definedName name="FilingDate">#REF!</definedName>
    <definedName name="G" localSheetId="22" hidden="1">#REF!</definedName>
    <definedName name="G" hidden="1">#REF!</definedName>
    <definedName name="GLDTL" hidden="1">#REF!</definedName>
    <definedName name="H" localSheetId="22" hidden="1">#REF!</definedName>
    <definedName name="H" hidden="1">#REF!</definedName>
    <definedName name="heading_utilityname">[6]Setup!$D$9</definedName>
    <definedName name="hhh" localSheetId="22" hidden="1">#REF!</definedName>
    <definedName name="hhh" hidden="1">#REF!</definedName>
    <definedName name="hhhhhhhhhhhh" localSheetId="22" hidden="1">'Revenue Requir (old)'!#REF!</definedName>
    <definedName name="hhhhhhhhhhhh" hidden="1">#REF!</definedName>
    <definedName name="HTML_CodePage" hidden="1">1252</definedName>
    <definedName name="HTML_Control" localSheetId="0" hidden="1">{"'Summary'!$A$1:$J$24"}</definedName>
    <definedName name="HTML_Control" localSheetId="21" hidden="1">{"'Sheet1'!$A$1:$J$121"}</definedName>
    <definedName name="HTML_Control" localSheetId="22" hidden="1">{"'Sheet1'!$A$1:$J$121"}</definedName>
    <definedName name="HTML_Control" hidden="1">{"'Sheet1'!$A$1:$J$121"}</definedName>
    <definedName name="HTML_Control_1_1" localSheetId="21" hidden="1">{"'Output'!$B$1:$E$30"}</definedName>
    <definedName name="HTML_Control_1_1" hidden="1">{"'Output'!$B$1:$E$30"}</definedName>
    <definedName name="HTML_Control_2" localSheetId="21" hidden="1">{"'Output'!$B$1:$E$30"}</definedName>
    <definedName name="HTML_Control_2" hidden="1">{"'Output'!$B$1:$E$30"}</definedName>
    <definedName name="HTML_Control_2_1" localSheetId="21" hidden="1">{"'Output'!$B$1:$E$30"}</definedName>
    <definedName name="HTML_Control_2_1" hidden="1">{"'Output'!$B$1:$E$30"}</definedName>
    <definedName name="HTML_Control_3" localSheetId="21" hidden="1">{"'Output'!$B$1:$E$30"}</definedName>
    <definedName name="HTML_Control_3" hidden="1">{"'Output'!$B$1:$E$30"}</definedName>
    <definedName name="HTML_Control_4" localSheetId="21" hidden="1">{"'Output'!$B$1:$E$30"}</definedName>
    <definedName name="HTML_Control_4" hidden="1">{"'Output'!$B$1:$E$30"}</definedName>
    <definedName name="HTML_Control_5" localSheetId="21" hidden="1">{"'Output'!$B$1:$E$30"}</definedName>
    <definedName name="HTML_Control_5" hidden="1">{"'Output'!$B$1:$E$30"}</definedName>
    <definedName name="HTML_Description" hidden="1">""</definedName>
    <definedName name="HTML_Email" hidden="1">""</definedName>
    <definedName name="HTML_Header" localSheetId="0" hidden="1">""</definedName>
    <definedName name="HTML_Header" hidden="1">"Sheet1"</definedName>
    <definedName name="HTML_LastUpdate" localSheetId="0" hidden="1">"10/13/1999"</definedName>
    <definedName name="HTML_LastUpdate" hidden="1">"10/21/99"</definedName>
    <definedName name="HTML_LineAfter" hidden="1">FALSE</definedName>
    <definedName name="HTML_LineBefore" hidden="1">FALSE</definedName>
    <definedName name="HTML_Name" localSheetId="0" hidden="1">"Sharim Chaudhury"</definedName>
    <definedName name="HTML_Name" hidden="1">"Paulette Peoples"</definedName>
    <definedName name="HTML_OBDlg2" hidden="1">TRUE</definedName>
    <definedName name="HTML_OBDlg4" hidden="1">TRUE</definedName>
    <definedName name="HTML_OS" hidden="1">0</definedName>
    <definedName name="HTML_PathFile" localSheetId="0" hidden="1">"W:\19991013\default.htm"</definedName>
    <definedName name="HTML_PathFile" hidden="1">"\\Bhincres01\groups\Mkt_Dev\EXECMKTR\RIGS\RigBible\Web NA.htm"</definedName>
    <definedName name="HTML_Title" localSheetId="0" hidden="1">"Daily MTM  Report"</definedName>
    <definedName name="HTML_Title" hidden="1">"Total North America"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FAX" hidden="1">"c2100"</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localSheetId="0" hidden="1">"c116"</definedName>
    <definedName name="IQ_CASH_ACQUIRE_CF" hidden="1">"c1630"</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IN_PROCESS_FDIC" hidden="1">"c6386"</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COVERAGE_NET_CHARGE_OFFS_FDIC" hidden="1">"c6735"</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111</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100000</definedName>
    <definedName name="IQ_FHLB_ADVANCES_FDIC" hidden="1">"c6366"</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LT_DEBT" hidden="1">"c2086"</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localSheetId="22" hidden="1">43326.0086458333</definedName>
    <definedName name="IQ_NAMES_REVISION_DATE_" hidden="1">43959.6753240741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"IQ_NET_INC_GROWTH_1"</definedName>
    <definedName name="IQ_NET_INC_GROWTH_2" hidden="1">"IQ_NET_INC_GROWTH_2"</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localSheetId="0" hidden="1">"c1023"</definedName>
    <definedName name="IQ_OUTSTANDING_FILING_DATE" hidden="1">"c2127"</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FDIC" hidden="1">"c13646"</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EPS_EST" hidden="1">"IQ_PRICE_OVER_EPS_EST"</definedName>
    <definedName name="IQ_PRICE_OVER_EPS_EST_1" hidden="1">"IQ_PRICE_OVER_EPS_EST_1"</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ALUATION_GAINS_FDIC" hidden="1">"c6428"</definedName>
    <definedName name="IQ_REVALUATION_LOSSES_FDIC" hidden="1">"c6429"</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localSheetId="0" hidden="1">"IQ_REVENUE_EST"</definedName>
    <definedName name="IQ_REVENUE_EST" hidden="1">"c1126"</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39146.6970023148</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R" hidden="1">"c5517"</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jjj" hidden="1">#REF!</definedName>
    <definedName name="jjjjjjjjjjj" hidden="1">#REF!</definedName>
    <definedName name="jkjk" hidden="1">#REF!</definedName>
    <definedName name="jskljsljslk" localSheetId="14" hidden="1">TextRefCopy1</definedName>
    <definedName name="jskljsljslk" localSheetId="15" hidden="1">TextRefCopy1</definedName>
    <definedName name="jskljsljslk" localSheetId="16" hidden="1">TextRefCopy1</definedName>
    <definedName name="jskljsljslk" localSheetId="13" hidden="1">TextRefCopy1</definedName>
    <definedName name="jskljsljslk" localSheetId="21" hidden="1">TextRefCopy1</definedName>
    <definedName name="jskljsljslk" localSheetId="22" hidden="1">TextRefCopy1</definedName>
    <definedName name="jskljsljslk" localSheetId="9" hidden="1">TextRefCopy1</definedName>
    <definedName name="jskljsljslk" hidden="1">TextRefCopy1</definedName>
    <definedName name="K2_WBEVMODE" hidden="1">-1</definedName>
    <definedName name="kjdfj" localSheetId="21" hidden="1">{#N/A,#N/A,FALSE,"FY97P1";#N/A,#N/A,FALSE,"FY97Z312";#N/A,#N/A,FALSE,"FY97LRBC";#N/A,#N/A,FALSE,"FY97O";#N/A,#N/A,FALSE,"FY97DAM"}</definedName>
    <definedName name="kjdfj" localSheetId="22" hidden="1">{#N/A,#N/A,FALSE,"FY97P1";#N/A,#N/A,FALSE,"FY97Z312";#N/A,#N/A,FALSE,"FY97LRBC";#N/A,#N/A,FALSE,"FY97O";#N/A,#N/A,FALSE,"FY97DAM"}</definedName>
    <definedName name="kjdfj" hidden="1">{#N/A,#N/A,FALSE,"FY97P1";#N/A,#N/A,FALSE,"FY97Z312";#N/A,#N/A,FALSE,"FY97LRBC";#N/A,#N/A,FALSE,"FY97O";#N/A,#N/A,FALSE,"FY97DAM"}</definedName>
    <definedName name="kjjjjjjjjjjjjj" hidden="1">#REF!</definedName>
    <definedName name="kjkk" localSheetId="22" hidden="1">#REF!</definedName>
    <definedName name="kjkk" hidden="1">#REF!</definedName>
    <definedName name="kkkk" hidden="1">#REF!</definedName>
    <definedName name="kkkkkkkk" localSheetId="21" hidden="1">{#N/A,#N/A,FALSE,"FY97P1";#N/A,#N/A,FALSE,"FY97Z312";#N/A,#N/A,FALSE,"FY97LRBC";#N/A,#N/A,FALSE,"FY97O";#N/A,#N/A,FALSE,"FY97DAM"}</definedName>
    <definedName name="kkkkkkkk" localSheetId="22" hidden="1">{#N/A,#N/A,FALSE,"FY97P1";#N/A,#N/A,FALSE,"FY97Z312";#N/A,#N/A,FALSE,"FY97LRBC";#N/A,#N/A,FALSE,"FY97O";#N/A,#N/A,FALSE,"FY97DAM"}</definedName>
    <definedName name="kkkkkkkk" hidden="1">{#N/A,#N/A,FALSE,"FY97P1";#N/A,#N/A,FALSE,"FY97Z312";#N/A,#N/A,FALSE,"FY97LRBC";#N/A,#N/A,FALSE,"FY97O";#N/A,#N/A,FALSE,"FY97DAM"}</definedName>
    <definedName name="kkkkkkkkkkkk" hidden="1">#REF!</definedName>
    <definedName name="kkkkkkkkkkkkkk" hidden="1">#REF!</definedName>
    <definedName name="kkkkkkkkkkkkkkkll" hidden="1">#REF!</definedName>
    <definedName name="Last_Row" hidden="1">#N/A</definedName>
    <definedName name="limcount" hidden="1">3</definedName>
    <definedName name="lll" localSheetId="22" hidden="1">#REF!</definedName>
    <definedName name="lll" hidden="1">#REF!</definedName>
    <definedName name="LLLLLL" localSheetId="22" hidden="1">'Revenue Requir (old)'!#REF!</definedName>
    <definedName name="LLLLLL" hidden="1">#REF!</definedName>
    <definedName name="lllllllll" localSheetId="22" hidden="1">#REF!</definedName>
    <definedName name="lllllllll" hidden="1">#REF!</definedName>
    <definedName name="lllllllllllllll" localSheetId="22" hidden="1">'Revenue Requir (old)'!#REF!</definedName>
    <definedName name="lllllllllllllll" hidden="1">#REF!</definedName>
    <definedName name="llllllllllllllllllllll" localSheetId="22" hidden="1">#REF!</definedName>
    <definedName name="llllllllllllllllllllll" hidden="1">#REF!</definedName>
    <definedName name="llo" localSheetId="22" hidden="1">#REF!</definedName>
    <definedName name="llo" hidden="1">#REF!</definedName>
    <definedName name="macro_case_num">'[4]Lists and Mapping'!$AD$5</definedName>
    <definedName name="measures">'[4]Lists and Mapping'!$W$5:$W$8</definedName>
    <definedName name="MLNK02347c98abe94ba9b3722615bcea76f2" localSheetId="22" hidden="1">'Revenue Requir (old)'!#REF!</definedName>
    <definedName name="MLNK02347c98abe94ba9b3722615bcea76f2" hidden="1">#REF!</definedName>
    <definedName name="MLNK0262065a669a4e968930c4526b0f05b7" localSheetId="22" hidden="1">#REF!</definedName>
    <definedName name="MLNK0262065a669a4e968930c4526b0f05b7" hidden="1">#REF!</definedName>
    <definedName name="MLNK02b791ed46a444d090833f3ce58fb934" hidden="1">#REF!</definedName>
    <definedName name="MLNK03e2a036ea3842699f83504ad8f7a5e5" hidden="1">#REF!</definedName>
    <definedName name="MLNK03f04ae1071849c79db6439ced8d26c9" hidden="1">#REF!</definedName>
    <definedName name="MLNK043c1e5a207443eb8f069dbd2d6ecc64" hidden="1">#REF!</definedName>
    <definedName name="MLNK045375ee4a4548bfa72023ea2f1316ae" hidden="1">#REF!</definedName>
    <definedName name="MLNK0465b191f0134334bd6cbd9eb298cdb0" hidden="1">#REF!</definedName>
    <definedName name="MLNK04937c37b0f64af18046c31d5cfeff71" hidden="1">#REF!</definedName>
    <definedName name="MLNK049828f2a61e436099b2fb772a17356d" hidden="1">#REF!</definedName>
    <definedName name="MLNK056d8357b79d4eb69caae6809440ae9e" hidden="1">#REF!</definedName>
    <definedName name="MLNK05b5f32848ca4ccdb53f467a4f8fcabf" hidden="1">#REF!</definedName>
    <definedName name="MLNK0624affccd53448b9975d0cd5b3b311c" hidden="1">#REF!</definedName>
    <definedName name="MLNK066d45cd0eaf423f82fea9c28653ace1" hidden="1">#REF!</definedName>
    <definedName name="MLNK06d6f2b802744c6bbacb48586ac5ebe1" hidden="1">#REF!</definedName>
    <definedName name="MLNK06ee92ac18cc4d1cb585ae5a9b158177" hidden="1">#REF!</definedName>
    <definedName name="MLNK070302756cb64499b49c608764cbc7d5" hidden="1">#REF!</definedName>
    <definedName name="MLNK070aa30f79e64056ae744044db8d4c19" hidden="1">#REF!</definedName>
    <definedName name="MLNK07d9cef4c7c74977abff5d0bf2e93c15" hidden="1">#REF!</definedName>
    <definedName name="MLNK097feda4769a4bf6847c682bb102e327" hidden="1">#REF!</definedName>
    <definedName name="MLNK09862c159cb148c4997e666ddcf57115" hidden="1">#REF!</definedName>
    <definedName name="MLNK09cca42754934922a07d3a367f92d435" hidden="1">#REF!</definedName>
    <definedName name="MLNK09d81ba5b40a42c0a9c14c810f1878cc" hidden="1">#REF!</definedName>
    <definedName name="MLNK0b082d276bca40faa8004fcab2601e68" hidden="1">#REF!</definedName>
    <definedName name="MLNK0b092fa231b04e2396db4bf15cecd0c3" hidden="1">#REF!</definedName>
    <definedName name="MLNK0b8bab327c0147d6ba4d9c01bde0c846" hidden="1">#REF!</definedName>
    <definedName name="MLNK0bf2454c25664e64ae8d489f22f02acd" hidden="1">#REF!</definedName>
    <definedName name="MLNK0c20fcebec34462ead6e44515658074e" hidden="1">#REF!</definedName>
    <definedName name="MLNK0c8ba547a1514edc9a147b16e9e57c04" hidden="1">#REF!</definedName>
    <definedName name="MLNK0d09efce5d334adab7eadc8455671d25" hidden="1">#REF!</definedName>
    <definedName name="MLNK0e7d997834d146e59be8c567513dbc73" localSheetId="22" hidden="1">#REF!</definedName>
    <definedName name="MLNK0e7d997834d146e59be8c567513dbc73" hidden="1">#REF!</definedName>
    <definedName name="MLNK0f6a8f93e67b44949558c9c724157855" hidden="1">#REF!</definedName>
    <definedName name="MLNK0f8ee7e3d6684f56b91213ff6e90fe1b" hidden="1">#REF!</definedName>
    <definedName name="MLNK0f9829bf3f2649c2a538fcb2cf8b24fe" hidden="1">#REF!</definedName>
    <definedName name="MLNK11b485f0e80a44ffb9a7deb8be61f099" hidden="1">#REF!</definedName>
    <definedName name="MLNK1391aab276394e21be88e9a90d23fcf2" hidden="1">#REF!</definedName>
    <definedName name="MLNK14e014d9037a49668e199d3784eef1f4" hidden="1">#REF!</definedName>
    <definedName name="MLNK15204dd5e4ec404d90f7eb22f1bad2ed" hidden="1">#REF!</definedName>
    <definedName name="MLNK15ce465ad48849b89dd690a9c51bba8a" hidden="1">#REF!</definedName>
    <definedName name="MLNK1607210ce72346f78bac1856d21ec9ea" hidden="1">#REF!</definedName>
    <definedName name="MLNK1639424883e1435b88a9242b1788d136" hidden="1">#REF!</definedName>
    <definedName name="MLNK165d1a9d7fa04befab5f4c77a2635fe9" hidden="1">#REF!</definedName>
    <definedName name="MLNK177560faf53444eba7c99a855f81b48a" hidden="1">#REF!</definedName>
    <definedName name="MLNK1871dbc761b14af196dd83f16fd31a61" hidden="1">#REF!</definedName>
    <definedName name="MLNK18cee1f17b9844a4a586aeb9361b4ef1" hidden="1">#REF!</definedName>
    <definedName name="MLNK18f36d5e46a242d4975aa2cb418391f5" hidden="1">#REF!</definedName>
    <definedName name="MLNK19e6afb16f4648328debe1c6135c3d10" hidden="1">#REF!</definedName>
    <definedName name="MLNK1a2a7cf1be524d52a31eb8cd96a763cb" hidden="1">#REF!</definedName>
    <definedName name="MLNK1a91886f3c5a4d589a5e6a36f4eec6d3" hidden="1">#REF!</definedName>
    <definedName name="MLNK1b01a1c7503f4e3db843c5ee082376b3" hidden="1">#REF!</definedName>
    <definedName name="MLNK1b9d7dbd02704ed0b18a5b5ee898cbe1" hidden="1">#REF!</definedName>
    <definedName name="MLNK1c65a5e0efd4414fb11830954083af7f" hidden="1">#REF!</definedName>
    <definedName name="MLNK1d4bc7fb67f544eb963ce66e6c87487d" hidden="1">#REF!</definedName>
    <definedName name="MLNK1ecd8ff118b84d0595b49e9cbba23524" hidden="1">#REF!</definedName>
    <definedName name="MLNK1f0c1ce04fd44380a7476d1707ca2bb8" hidden="1">#REF!</definedName>
    <definedName name="MLNK1f68c3d05fc04f47954f056ca0e8849b" hidden="1">#REF!</definedName>
    <definedName name="MLNK1fd69c2d7cb14234bacd3f64e619d2c8" hidden="1">#REF!</definedName>
    <definedName name="MLNK1fef4b2a96144fb694fcbb8d2b0c481a" hidden="1">#REF!</definedName>
    <definedName name="MLNK209443b38cdd4e9cae3c7943483c8070" hidden="1">#REF!</definedName>
    <definedName name="MLNK2184274f3e2d4f0c9ace0067e8f9e2da" hidden="1">#REF!</definedName>
    <definedName name="MLNK21a0d26467c549acb5dbaf5c2234f1b8" hidden="1">#REF!</definedName>
    <definedName name="MLNK21a3f9f85f66464ab19f2b2111d98410" hidden="1">#REF!</definedName>
    <definedName name="MLNK21b54d7030a740a9a542cd222db7c708" hidden="1">#REF!</definedName>
    <definedName name="MLNK22e32a2d70a84fafbb5884fa1ab5b76c" hidden="1">#REF!</definedName>
    <definedName name="MLNK248d9b3e0e934d35964a07c1341e23b6" hidden="1">#REF!</definedName>
    <definedName name="MLNK2658219a56b541ab8153804281cdba79" hidden="1">#REF!</definedName>
    <definedName name="MLNK26c02635a0d74d4088cd433fdea92ca1" hidden="1">#REF!</definedName>
    <definedName name="MLNK27da0f47019e47f79817fef6e398902d" hidden="1">#REF!</definedName>
    <definedName name="MLNK27f323f0e2874762881301b4e840d7f2" hidden="1">#REF!</definedName>
    <definedName name="MLNK2805b44edd0441129f8e11aa4acd41a7" hidden="1">#REF!</definedName>
    <definedName name="MLNK296c940554a54038b436a5a194f390b0" hidden="1">#REF!</definedName>
    <definedName name="MLNK29d6568d77a84ac0840cba8e1d1d6ee3" hidden="1">#REF!</definedName>
    <definedName name="MLNK2a47b22002254067be85e68327a7e813" hidden="1">#REF!</definedName>
    <definedName name="MLNK2a5c79f50aec42c8a2e31d5325c28031" hidden="1">#REF!</definedName>
    <definedName name="MLNK2a5e8554d6d24547af0536956f860375" hidden="1">#REF!</definedName>
    <definedName name="MLNK2aecb38e444a4a40a14b70143f708801" hidden="1">#REF!</definedName>
    <definedName name="MLNK2b8114d7a2d84280a2be0050bd51168b" hidden="1">#REF!</definedName>
    <definedName name="MLNK2be8dd5fafc0478aa9b72035019b5312" hidden="1">#REF!</definedName>
    <definedName name="MLNK2c1ea20a78034d11aad208c8cb37fc57" hidden="1">#REF!</definedName>
    <definedName name="MLNK2c24ddb14bd24af285ffc11304208820" hidden="1">#REF!</definedName>
    <definedName name="MLNK2c7069f1dccc47fcaec327b3c64f7bc6" hidden="1">#REF!</definedName>
    <definedName name="MLNK2db95360c50d4010be00f3b6ddc7792d" hidden="1">#REF!</definedName>
    <definedName name="MLNK2deef52e26fc409fa454323d5247537c" hidden="1">#REF!</definedName>
    <definedName name="MLNK2df7a817a5c246af99027147ede92642" hidden="1">#REF!</definedName>
    <definedName name="MLNK2e2dfb78537e41a6b46ecbf4575afbd1" hidden="1">#REF!</definedName>
    <definedName name="MLNK2f885612a8f944a086299dda361c7ed1" hidden="1">#REF!</definedName>
    <definedName name="MLNK2fe5187b5ef446448070aaf0b454c70c" hidden="1">#REF!</definedName>
    <definedName name="MLNK308ec47b16224f54a3a1ed632cbe0316" localSheetId="22" hidden="1">#REF!</definedName>
    <definedName name="MLNK308ec47b16224f54a3a1ed632cbe0316" hidden="1">#REF!</definedName>
    <definedName name="MLNK31399fdff50142e59cba8c077ad38f91" hidden="1">#REF!</definedName>
    <definedName name="MLNK31c2d578afa84b99a2cd086665213a79" hidden="1">#REF!</definedName>
    <definedName name="MLNK31ff285c72d4439dbe0e2be832dc8679" hidden="1">#REF!</definedName>
    <definedName name="MLNK35e4b6f0156948d1bdf9153b287ae30f" hidden="1">#REF!</definedName>
    <definedName name="MLNK360f3d432fda4ea990599a5f08def911" hidden="1">#REF!</definedName>
    <definedName name="MLNK3648f583af614635b59edb48f94a4130" hidden="1">#REF!</definedName>
    <definedName name="MLNK3658811918af4fd78645ae1c10cfe309" hidden="1">#REF!</definedName>
    <definedName name="MLNK36abbd0d52b04afd9a1aa158ef250528" localSheetId="22" hidden="1">#REF!</definedName>
    <definedName name="MLNK36abbd0d52b04afd9a1aa158ef250528" hidden="1">#REF!</definedName>
    <definedName name="MLNK36e5efc324ea43cabbf6164f660626bf" hidden="1">#REF!</definedName>
    <definedName name="MLNK36eb917cf7d14534b65b7531d6c48f0a" hidden="1">#REF!</definedName>
    <definedName name="MLNK3706e24c887c4bfbbdad6cf2cec81d6c" hidden="1">#REF!</definedName>
    <definedName name="MLNK37a873b0c9d34fb08c46e4acd5991a92" hidden="1">#REF!</definedName>
    <definedName name="MLNK37baddb09f3b4c75a05f2fcf17aedfe6" hidden="1">#REF!</definedName>
    <definedName name="MLNK37f868d4fa2843f0824a0aea3caff875" hidden="1">#REF!</definedName>
    <definedName name="MLNK3828f00d5db24b5cb3f5ea512518e4e1" hidden="1">#REF!</definedName>
    <definedName name="MLNK38d046e8ed49413a95ebb71b6f526008" hidden="1">#REF!</definedName>
    <definedName name="MLNK3aade161feec4705b303c619f23a71c0" hidden="1">#REF!</definedName>
    <definedName name="MLNK3ad0197dea8e471aafedb431ba3d1ad3" hidden="1">#REF!</definedName>
    <definedName name="MLNK3b38a2b0fec4415786f78bdb5f2c5b17" hidden="1">#REF!</definedName>
    <definedName name="MLNK3b7d42c6927a47d3aa8c3b806705192d" hidden="1">#REF!</definedName>
    <definedName name="MLNK3bac5fe737474ee291eda81fc45a936b" hidden="1">#REF!</definedName>
    <definedName name="MLNK3bd9cb0bf4ae46c18f27be91d867f5d0" hidden="1">#REF!</definedName>
    <definedName name="MLNK3c28ecdfc128449bb2e925e5c3bc7f79" hidden="1">#REF!</definedName>
    <definedName name="MLNK3d4c90ddf7624b599035ed156292e6e7" hidden="1">#REF!</definedName>
    <definedName name="MLNK3e1282583c70432bb6e4f5bcf64f6799" hidden="1">#REF!</definedName>
    <definedName name="MLNK3e3e2f3ea73b4ce2b3b55a1ff8863e08" hidden="1">#REF!</definedName>
    <definedName name="MLNK3e5a338d69ad40388d23cbc751d891a4" hidden="1">#REF!</definedName>
    <definedName name="MLNK3e647beb89b24f928aea55bf87a19639" hidden="1">#REF!</definedName>
    <definedName name="MLNK3eee6069b89b44b9857417005784e3ab" hidden="1">#REF!</definedName>
    <definedName name="MLNK403ebfd4f40e43c99784de624c8f354d" hidden="1">#REF!</definedName>
    <definedName name="MLNK413da80677384ac0a79b6ccc1fdb5195" hidden="1">#REF!</definedName>
    <definedName name="MLNK415f334cb91f4b7282c1eeafac78ea43" hidden="1">#REF!</definedName>
    <definedName name="MLNK41e4e79c26a142d59def981d2dd145df" hidden="1">#REF!</definedName>
    <definedName name="MLNK42752d9e1ccc44ce9adb2280645efe9b" hidden="1">#REF!</definedName>
    <definedName name="MLNK42b3bb17631f41b8b3f75f71dd17fa5f" hidden="1">#REF!</definedName>
    <definedName name="MLNK4319580fe7794c4099aedb5cf68a3476" hidden="1">#REF!</definedName>
    <definedName name="MLNK433fb54cacd1435a9c9e560c0cdd8df8" hidden="1">#REF!</definedName>
    <definedName name="MLNK438a2a6e120142498741816ba9579735" hidden="1">#REF!</definedName>
    <definedName name="MLNK43d81e261c8a4297b97427c57a2a0f3d" hidden="1">#REF!</definedName>
    <definedName name="MLNK443d01b130344b52a766fe8ee0d9c39d" hidden="1">#REF!</definedName>
    <definedName name="MLNK458aaa79af9846afb73e41d3c9e2f1ab" hidden="1">#REF!</definedName>
    <definedName name="MLNK45b83cc97481460da2311ad794b247e4" hidden="1">#REF!</definedName>
    <definedName name="MLNK45c76ff10b874741ab77a9634a1feb11" hidden="1">#REF!</definedName>
    <definedName name="MLNK46df31e034a7404583d4c864ba95b54e" hidden="1">#REF!</definedName>
    <definedName name="MLNK47ecd769fb4441469072be216124a69f" hidden="1">#REF!</definedName>
    <definedName name="MLNK482919bd20434765a50a5474233d58dc" hidden="1">#REF!</definedName>
    <definedName name="MLNK48471666c3414f8aa956b5053db71384" hidden="1">#REF!</definedName>
    <definedName name="MLNK484bb76c7e41479cbe4e39303ad6f0d3" hidden="1">#REF!</definedName>
    <definedName name="MLNK4931501a55124a859b558556c9bde21a" hidden="1">#REF!</definedName>
    <definedName name="MLNK498d98cc04654c498b39d53c1522165b" hidden="1">#REF!</definedName>
    <definedName name="MLNK49d3f0c296384b68956588199f80ee48" hidden="1">#REF!</definedName>
    <definedName name="MLNK49e6d6b375eb4898b318fa941c74e98b" hidden="1">#REF!</definedName>
    <definedName name="MLNK4a1a0bcea1014b019e7b811681cb9ba0" hidden="1">#REF!</definedName>
    <definedName name="MLNK4bb76648e81d4bf3804872f4216576c9" hidden="1">#REF!</definedName>
    <definedName name="MLNK4c45991e708e4e0086cff0f3dec04376" hidden="1">#REF!</definedName>
    <definedName name="MLNK4c635a19550a44109070e6130c847b6b" hidden="1">#REF!</definedName>
    <definedName name="MLNK4cde9847bc18436482ab008f59ab9718" hidden="1">#REF!</definedName>
    <definedName name="MLNK4d258d99109745b2be56909102240102" hidden="1">#REF!</definedName>
    <definedName name="MLNK4d7213d61e414411986e7d332e756fc5" hidden="1">#REF!</definedName>
    <definedName name="MLNK4da9c9e6b8c644f380a6ca5d5ab2620f" hidden="1">#REF!</definedName>
    <definedName name="MLNK4e49e49c582e448e9e30a83d9c83a122" localSheetId="22" hidden="1">#REF!</definedName>
    <definedName name="MLNK4e49e49c582e448e9e30a83d9c83a122" hidden="1">#REF!</definedName>
    <definedName name="MLNK4e9053f195424c5898385bfd1c12f6b3" hidden="1">#REF!</definedName>
    <definedName name="MLNK4f98288bba1c4350913b060688bde28e" hidden="1">#REF!</definedName>
    <definedName name="MLNK508ff2ecf28e40cfaa71d75881b6a90a" hidden="1">#REF!</definedName>
    <definedName name="MLNK509f8c4fb6714660a48602426ab100f0" hidden="1">#REF!</definedName>
    <definedName name="MLNK50bae705cc0d41ad9ba07fcaf0b91d98" hidden="1">#REF!</definedName>
    <definedName name="MLNK51a8fd158f3540cd92b538a0e9992c1d" hidden="1">#REF!</definedName>
    <definedName name="MLNK51bea82e02e4429d891d84a27212e619" hidden="1">#REF!</definedName>
    <definedName name="MLNK52cb6911a2a44cb19e70c2ca9b02d38e" hidden="1">#REF!</definedName>
    <definedName name="MLNK52efdd4a84064a8ca4dec1a4ddc32412" localSheetId="22" hidden="1">#REF!</definedName>
    <definedName name="MLNK52efdd4a84064a8ca4dec1a4ddc32412" hidden="1">#REF!</definedName>
    <definedName name="MLNK5347981ee1dd4801af77c60c95ccb8e1" hidden="1">#REF!</definedName>
    <definedName name="MLNK536333f261bd411397bf03627d7c2745" hidden="1">#REF!</definedName>
    <definedName name="MLNK53a9cc6153f347ccb56b1fc51538aa76" hidden="1">#REF!</definedName>
    <definedName name="MLNK53e55a5a145e40329efd59713c9d9c6f" hidden="1">#REF!</definedName>
    <definedName name="MLNK5492763a4dfa4261a804a7a6144d6c5f" hidden="1">#REF!</definedName>
    <definedName name="MLNK55ae9c71f0dd499881deb18bc8d1f2a5" hidden="1">#REF!</definedName>
    <definedName name="MLNK560b6e60e3e0435e8c4d001347bff533" hidden="1">#REF!</definedName>
    <definedName name="MLNK570ef26b10a941acb89178583a814e76" hidden="1">#REF!</definedName>
    <definedName name="MLNK579ef4e1916f46aab301f33adc076bcc" hidden="1">#REF!</definedName>
    <definedName name="MLNK582db0217a614d7ba0e1511524a77e05" hidden="1">#REF!</definedName>
    <definedName name="MLNK5898a6e69caa4597babc57cdf97bd9bf" hidden="1">#REF!</definedName>
    <definedName name="MLNK59f209be2bf3401e9e0607f2f78b4c04" hidden="1">#REF!</definedName>
    <definedName name="MLNK5a83c17b18714ce0becd2b289712c52b" hidden="1">#REF!</definedName>
    <definedName name="MLNK5abb92c89621466b91d5cb1ade855f7f" hidden="1">#REF!</definedName>
    <definedName name="MLNK5ad85d409591497d8dad9509425e0ba2" hidden="1">#REF!</definedName>
    <definedName name="MLNK5ae714f60c1641bb934d97ab30be240e" hidden="1">#REF!</definedName>
    <definedName name="MLNK5b339955694e46b7802896462eee8b3d" hidden="1">#REF!</definedName>
    <definedName name="MLNK5cb4dbe67964435e930dd63eb29896b1" hidden="1">#REF!</definedName>
    <definedName name="MLNK5d5c778196e0436eba8d974251b3bf17" hidden="1">#REF!</definedName>
    <definedName name="MLNK5d68080b038343fa816dada380863ce8" localSheetId="22" hidden="1">#REF!</definedName>
    <definedName name="MLNK5d68080b038343fa816dada380863ce8" hidden="1">#REF!</definedName>
    <definedName name="MLNK5d77c638f3c2404dab35b6e6ac94b9a7" hidden="1">#REF!</definedName>
    <definedName name="MLNK5df9151fd86842b89bcd179e2f0def34" hidden="1">#REF!</definedName>
    <definedName name="MLNK5e5f590bc264463e98d16a114838aa57" hidden="1">#REF!</definedName>
    <definedName name="MLNK5eada16b3c5c487bbc0de01cf74e2173" hidden="1">#REF!</definedName>
    <definedName name="MLNK5f228fd4a59d4db2812d49b0a7754e23" hidden="1">#REF!</definedName>
    <definedName name="MLNK5f848ded84264f5d98bf3e15cbe8c01d" hidden="1">#REF!</definedName>
    <definedName name="MLNK5fa1877d45bd4a9289b48633d5b5072a" hidden="1">#REF!</definedName>
    <definedName name="MLNK610db0b6cc754ef99c73a3cd6f22f571" hidden="1">#REF!</definedName>
    <definedName name="MLNK6226dcd378504a2ca1dbbaa1e632dc0a" hidden="1">#REF!</definedName>
    <definedName name="MLNK63c206df9ed041a9a1121d1257b3f60b" hidden="1">#REF!</definedName>
    <definedName name="MLNK6411ea80b5b440648c6d6066ca29173c" hidden="1">#REF!</definedName>
    <definedName name="MLNK65bc63d0bd984accb696d002904d0f08" hidden="1">#REF!</definedName>
    <definedName name="MLNK6640a089c91645b3a9f3615b7584b729" hidden="1">#REF!</definedName>
    <definedName name="MLNK672e13883a264a4f8e419d942933dd1b" hidden="1">#REF!</definedName>
    <definedName name="MLNK6790d0c9a6224e2d928c158b38604b86" hidden="1">#REF!</definedName>
    <definedName name="MLNK67c184b495fd4955b3cf94cbcedb6638" hidden="1">#REF!</definedName>
    <definedName name="MLNK695bfab210c8400cbd5abb57e71aebe6" hidden="1">#REF!</definedName>
    <definedName name="MLNK69aa328df44848a999824b4b2fa0448b" hidden="1">#REF!</definedName>
    <definedName name="MLNK69d944092bcf489d931862cbfbe1c996" hidden="1">#REF!</definedName>
    <definedName name="MLNK6ab964da169d467bbce24bbafd667728" hidden="1">#REF!</definedName>
    <definedName name="MLNK6b00ddf2e9c04801b29cc98e91eb2dbc" hidden="1">#REF!</definedName>
    <definedName name="MLNK6b423b375ecf4725b5fa25353b990667" hidden="1">#REF!</definedName>
    <definedName name="MLNK6b65ed32ce7640a99fa7442f9889b454" localSheetId="22" hidden="1">#REF!</definedName>
    <definedName name="MLNK6b65ed32ce7640a99fa7442f9889b454" hidden="1">#REF!</definedName>
    <definedName name="MLNK6c16a94d2a0b43b7b8adb5c5950c7890" hidden="1">#REF!</definedName>
    <definedName name="MLNK6c366b5f04d54533bf372b0bebc30c9f" hidden="1">#REF!</definedName>
    <definedName name="MLNK6c949c245d594993a72b43c4e938f5d2" hidden="1">#REF!</definedName>
    <definedName name="MLNK6d480d6ee1b34b10965446268e5e05ed" hidden="1">#REF!</definedName>
    <definedName name="MLNK6d5ef2ae7d494c4983a39cafda858a07" localSheetId="22" hidden="1">#REF!</definedName>
    <definedName name="MLNK6d5ef2ae7d494c4983a39cafda858a07" hidden="1">#REF!</definedName>
    <definedName name="MLNK6e283d9da0464568a5dfc377690f1543" hidden="1">#REF!</definedName>
    <definedName name="MLNK6e6ce24531cb48eaa9d8307f24b6a872" hidden="1">#REF!</definedName>
    <definedName name="MLNK6ea59209ef7a45c9833c1204928341d0" hidden="1">#REF!</definedName>
    <definedName name="MLNK6f98c812586e46718c1e93daade62794" hidden="1">#REF!</definedName>
    <definedName name="MLNK6fae11f939ba4aaa9802df3725e20ebb" hidden="1">#REF!</definedName>
    <definedName name="MLNK6ff06dccb8854c3b939387890f5c8993" hidden="1">#REF!</definedName>
    <definedName name="MLNK7006de1b050c4e36a26d4f3df2768687" hidden="1">#REF!</definedName>
    <definedName name="MLNK70df96ddcf5e421ab12a8c2e2c167bf8" hidden="1">#REF!</definedName>
    <definedName name="MLNK72298a29c71740da88c3fd2965b44709" hidden="1">#REF!</definedName>
    <definedName name="MLNK7320956c55894738a58535007c9313c1" localSheetId="22" hidden="1">#REF!</definedName>
    <definedName name="MLNK7320956c55894738a58535007c9313c1" hidden="1">#REF!</definedName>
    <definedName name="MLNK732c066412c842f39247eaa9b6c6a2b0" hidden="1">#REF!</definedName>
    <definedName name="MLNK73cefd734dde4b4ca833bd52be1fa527" hidden="1">#REF!</definedName>
    <definedName name="MLNK73d7f83c73834c11ace54c3ccdbcac3f" hidden="1">#REF!</definedName>
    <definedName name="MLNK74b6be136557406f93d3fabd488f684b" hidden="1">#REF!</definedName>
    <definedName name="MLNK7586c74528b54c32aec2be58fd578869" hidden="1">#REF!</definedName>
    <definedName name="MLNK75cfff200780462da3dcec6b0350fe13" hidden="1">#REF!</definedName>
    <definedName name="MLNK75fed7b1a5d344618cc0a1d861ff8665" hidden="1">#REF!</definedName>
    <definedName name="MLNK76fea2f65b2c4015983773cce88188ba" hidden="1">#REF!</definedName>
    <definedName name="MLNK7717dbd64b4f4e368a87cd7134213489" hidden="1">#REF!</definedName>
    <definedName name="MLNK776e206f7b34477d9fe2261fc720ce07" hidden="1">#REF!</definedName>
    <definedName name="MLNK78198bd7015f42f599923a8e585086b5" hidden="1">#REF!</definedName>
    <definedName name="MLNK78afc04f88f94fb2a2de1a68e9f170f3" hidden="1">#REF!</definedName>
    <definedName name="MLNK79515637e4784aa7b54851b3bf4ee9d0" hidden="1">#REF!</definedName>
    <definedName name="MLNK79518544eb1e4239bad2c4df986bfcb2" hidden="1">#REF!</definedName>
    <definedName name="MLNK79c185f0a9ff46d49295c3ad86d88745" hidden="1">#REF!</definedName>
    <definedName name="MLNK7ab4431700474b12aad45a0e8e119c10" hidden="1">#REF!</definedName>
    <definedName name="MLNK7b2229d2956847c2bacafaddac3315c0" hidden="1">#REF!</definedName>
    <definedName name="MLNK7bdd4a8943c247d98d9afc0cccf057c7" hidden="1">#REF!</definedName>
    <definedName name="MLNK7d44ae3b8fb748759c025ff240f58bb1" hidden="1">#REF!</definedName>
    <definedName name="MLNK7dc1b60e98604641860cb357980c435e" hidden="1">#REF!</definedName>
    <definedName name="MLNK7dcaa5a87c7247068b76a43a8dd42b7d" localSheetId="22" hidden="1">#REF!</definedName>
    <definedName name="MLNK7dcaa5a87c7247068b76a43a8dd42b7d" hidden="1">#REF!</definedName>
    <definedName name="MLNK7ddf4f9db0324f7ebf9355303eb31c1f" hidden="1">#REF!</definedName>
    <definedName name="MLNK7ebcc979ebd94d74a778743b7667dc5c" hidden="1">#REF!</definedName>
    <definedName name="MLNK7ef2886e3c5b4aef813d8064e0a67da3" hidden="1">#REF!</definedName>
    <definedName name="MLNK7f3b2b5f505341e2953ae07dd22a644d" hidden="1">#REF!</definedName>
    <definedName name="MLNK7fb0284a33ca45b6bc8db27e6722b74e" hidden="1">#REF!</definedName>
    <definedName name="MLNK80e30c2279ce4a1c964731ffa1934673" hidden="1">#REF!</definedName>
    <definedName name="MLNK80e41df743d74118bf3cf2ba320c8cb9" hidden="1">#REF!</definedName>
    <definedName name="MLNK811988d6250a4f708b3574f3f52b2699" hidden="1">#REF!</definedName>
    <definedName name="MLNK819b54474d124f0e9e3fea62de36062a" hidden="1">#REF!</definedName>
    <definedName name="MLNK81a613552b8d452aa971184139314877" hidden="1">#REF!</definedName>
    <definedName name="MLNK820c2a12b47f4a3c985b400c17ec56b5" hidden="1">#REF!</definedName>
    <definedName name="MLNK827bbde68c754473b757a8c8abb0abbb" hidden="1">#REF!</definedName>
    <definedName name="MLNK8396db9410954821841a1bdd1cee3738" hidden="1">#REF!</definedName>
    <definedName name="MLNK84049fb093174bb1b26120e50bd191e8" hidden="1">#REF!</definedName>
    <definedName name="MLNK847e7ca4a4a242e1bb6cf1855fadc504" hidden="1">#REF!</definedName>
    <definedName name="MLNK866cca8ff8ec48cc93e8c250448cdf2a" hidden="1">#REF!</definedName>
    <definedName name="MLNK869e0e4728fa40b78dfa0e2b980196da" hidden="1">#REF!</definedName>
    <definedName name="MLNK86f97346d0a840ad8c439bc1929be8cf" hidden="1">#REF!</definedName>
    <definedName name="MLNK87588a7692c844439f842dd6417e3483" hidden="1">#REF!</definedName>
    <definedName name="MLNK88492eb2e92d43ae8fb3d16da3c4120a" hidden="1">#REF!</definedName>
    <definedName name="MLNK889fe013cd6d444e8eea8a3b3a056bd0" hidden="1">#REF!</definedName>
    <definedName name="MLNK88cc4edfffba4398b4ed2ebeb85d2376" hidden="1">#REF!</definedName>
    <definedName name="MLNK88d90c390dca4e7e82cae88ea2652b89" hidden="1">#REF!</definedName>
    <definedName name="MLNK89abd7b3eeca4827adb9fbfbd9f9af0e" hidden="1">#REF!</definedName>
    <definedName name="MLNK8af6e60d05ef41d79a30dc72856cdbee" hidden="1">#REF!</definedName>
    <definedName name="MLNK8b4b7de34bef406487decb310af2eeb4" hidden="1">#REF!</definedName>
    <definedName name="MLNK8bb79c82040d4484b3816f6f7b72d5d4" hidden="1">#REF!</definedName>
    <definedName name="MLNK8bb8e5a13b0e4054a5aa434d7650ebff" hidden="1">#REF!</definedName>
    <definedName name="MLNK8c9868abe09d492d97763b5181936f82" hidden="1">#REF!</definedName>
    <definedName name="MLNK8cca239a83654e938e539ccbc3626f0d" hidden="1">#REF!</definedName>
    <definedName name="MLNK8d1fec7a101845718ec1b31336d59a8b" hidden="1">#REF!</definedName>
    <definedName name="MLNK8ddf68f182e942319a0a75c5bdfb92a4" hidden="1">#REF!</definedName>
    <definedName name="MLNK8edb8209051f4f798a92546d1b2214e6" hidden="1">#REF!</definedName>
    <definedName name="MLNK8f0fd326f97b402ea1f2b6fb91b79004" hidden="1">#REF!</definedName>
    <definedName name="MLNK91042598dd4d48f9a3a5961b626a97be" hidden="1">#REF!</definedName>
    <definedName name="MLNK91a2c28d4b654ce7807c0ff0e49bc91a" hidden="1">#REF!</definedName>
    <definedName name="MLNK92138ec22c3e458ea27db72e9db740b0" hidden="1">#REF!</definedName>
    <definedName name="MLNK923cc8a94e3c4192b594ed402ccea5c1" hidden="1">#REF!</definedName>
    <definedName name="MLNK92debea704f94bf79b7e748022199504" hidden="1">#REF!</definedName>
    <definedName name="MLNK9369c50d1537418ba144f121a3aa92f4" hidden="1">#REF!</definedName>
    <definedName name="MLNK93b927d86f0143cc99b233ac64d83956" hidden="1">#REF!</definedName>
    <definedName name="MLNK93ee80bdbdd4474888dd3b666916415c" localSheetId="22" hidden="1">#REF!</definedName>
    <definedName name="MLNK93ee80bdbdd4474888dd3b666916415c" hidden="1">#REF!</definedName>
    <definedName name="MLNK9470b29f89cb476ab5ab6454188ec242" hidden="1">#REF!</definedName>
    <definedName name="MLNK94a72e226b1841c69836e117f7d264e0" hidden="1">#REF!</definedName>
    <definedName name="MLNK955edca74ed1456dbc18c5e93f19dc77" hidden="1">#REF!</definedName>
    <definedName name="MLNK9570a7e591704b08a74b41a5d9bae695" hidden="1">#REF!</definedName>
    <definedName name="MLNK97403d2bf29d45c2afdedec484e8b0e1" hidden="1">#REF!</definedName>
    <definedName name="MLNK9872e82cd1a0411eb1db7f06eca5cc98" hidden="1">#REF!</definedName>
    <definedName name="MLNK9960ce205b024d159716c3ce4936c881" hidden="1">#REF!</definedName>
    <definedName name="MLNK999d13581f694d4ba486490b078876f2" hidden="1">#REF!</definedName>
    <definedName name="MLNK9b10c5b6335e4b30a3912ec2b1c576da" hidden="1">#REF!</definedName>
    <definedName name="MLNK9b4c0e419e214f9f9bb282c52f22aa2f" hidden="1">#REF!</definedName>
    <definedName name="MLNK9c080c3c47054527b7506bc65c7449a8" hidden="1">#REF!</definedName>
    <definedName name="MLNK9c536454db82435bbd4c2fe2390cc7e6" hidden="1">#REF!</definedName>
    <definedName name="MLNK9cb237b3ae60460782dd06ffcc94d176" hidden="1">#REF!</definedName>
    <definedName name="MLNK9d5e29c21d444f83a3d5169a1a7c3f6f" hidden="1">#REF!</definedName>
    <definedName name="MLNK9d74016a436444f5ad4a81861f1a6148" hidden="1">#REF!</definedName>
    <definedName name="MLNK9dcf8d6ad50c4be6bb8591c8b7b857c8" hidden="1">#REF!</definedName>
    <definedName name="MLNK9e1a9dda33e14902a6dd0673b256826b" hidden="1">#REF!</definedName>
    <definedName name="MLNK9e8b43e038ae4e2ba9733b86fd90fe71" hidden="1">#REF!</definedName>
    <definedName name="MLNK9ef4dac6e4c84b458fc5f55c61125436" hidden="1">#REF!</definedName>
    <definedName name="MLNK9fd9933cf36142abbf30b1efe021931a" hidden="1">#REF!</definedName>
    <definedName name="MLNKa06fcdbf09ad4b959abcd6096bf0a309" hidden="1">#REF!</definedName>
    <definedName name="MLNKa0b680364bd64b6bb7599d2495f4e278" hidden="1">#REF!</definedName>
    <definedName name="MLNKa0ecde0bfb884f3a8551e84a6a8f60b9" hidden="1">#REF!</definedName>
    <definedName name="MLNKa37684ad5e5c439fba3caf3e931ef589" hidden="1">#REF!</definedName>
    <definedName name="MLNKa39050e76e34480aba1652cfb53b94e0" hidden="1">#REF!</definedName>
    <definedName name="MLNKa3a7625c9eb5408485d4ecbd181f23fc" hidden="1">#REF!</definedName>
    <definedName name="MLNKa4241d13e4bc4b39bad2e35c0e9d7ab6" hidden="1">#REF!</definedName>
    <definedName name="MLNKa45f0b5d58ae4ea698d724401b69a749" hidden="1">#REF!</definedName>
    <definedName name="MLNKa57dbd7b02de435f870166c7bda74f98" hidden="1">#REF!</definedName>
    <definedName name="MLNKa638583f96504e62abdc8491d2248f1b" hidden="1">#REF!</definedName>
    <definedName name="MLNKa641d40d22c24cfca1394053f04d5537" hidden="1">#REF!</definedName>
    <definedName name="MLNKa6a2b4c999754b6fa587294734a84eed" hidden="1">#REF!</definedName>
    <definedName name="MLNKa6ae728097774d5ba9301ffca4f74b11" hidden="1">#REF!</definedName>
    <definedName name="MLNKa6c0e0237cac402cabd6204e6e59d7a5" hidden="1">#REF!</definedName>
    <definedName name="MLNKa7b67ae77b284e35ae2b5f5bb9575b07" hidden="1">#REF!</definedName>
    <definedName name="MLNKa7e24b1e0aa14069b0ba2ebfa0a6bd41" hidden="1">#REF!</definedName>
    <definedName name="MLNKa7f7d52d146745979d9706bffbe6198f" hidden="1">#REF!</definedName>
    <definedName name="MLNKa8003a7005074dd4b91fd919082934b4" hidden="1">#REF!</definedName>
    <definedName name="MLNKa891951608d940f0b5453cea58d1ca19" hidden="1">#REF!</definedName>
    <definedName name="MLNKa9096654227746cba3b1e72d845b84ec" hidden="1">#REF!</definedName>
    <definedName name="MLNKa92d7f7227464481a58fce804523c660" localSheetId="22" hidden="1">#REF!</definedName>
    <definedName name="MLNKa92d7f7227464481a58fce804523c660" hidden="1">#REF!</definedName>
    <definedName name="MLNKa96dfec67e7d42c185eddf571b4a0871" hidden="1">#REF!</definedName>
    <definedName name="MLNKa9b72ee297dc4b6b82fd726e8ceed72e" hidden="1">#REF!</definedName>
    <definedName name="MLNKa9c3041995b9474f9a59fd740ee8ef41" hidden="1">#REF!</definedName>
    <definedName name="MLNKaaa54138778c4ed398d9c92f594c3692" hidden="1">#REF!</definedName>
    <definedName name="MLNKabdb601947de4e1f8d5ee0de13110117" hidden="1">#REF!</definedName>
    <definedName name="MLNKac79cba661f14184a139a93e111d3a40" hidden="1">#REF!</definedName>
    <definedName name="MLNKacaeb68fa0174607b702b054095283f1" hidden="1">#REF!</definedName>
    <definedName name="MLNKad0f0122808f4e6ca564f699b5d4df70" hidden="1">#REF!</definedName>
    <definedName name="MLNKad6f939e009f43f29aea395bcb7ff7da" hidden="1">#REF!</definedName>
    <definedName name="MLNKadae2988d338434fa6c1f93428bbcdba" hidden="1">#REF!</definedName>
    <definedName name="MLNKade14c001b4d484e97e8cb97712c662e" hidden="1">#REF!</definedName>
    <definedName name="MLNKaee04a1f5f4946128bac3cf1750d357e" hidden="1">#REF!</definedName>
    <definedName name="MLNKaee5ba47a48940498129a8b0c327aad7" localSheetId="22" hidden="1">#REF!</definedName>
    <definedName name="MLNKaee5ba47a48940498129a8b0c327aad7" hidden="1">#REF!</definedName>
    <definedName name="MLNKaeef41523bb6461a8ce9e28075b377e4" hidden="1">#REF!</definedName>
    <definedName name="MLNKaf2e362f14b04b17806312aeb7d9faf9" hidden="1">#REF!</definedName>
    <definedName name="MLNKaf77800d7a8e4682894b3769276f31bb" hidden="1">#REF!</definedName>
    <definedName name="MLNKaf94d03758284d08a9bb51221502e5b0" hidden="1">#REF!</definedName>
    <definedName name="MLNKb010cd6e928d416d9e7983be69f79c50" hidden="1">#REF!</definedName>
    <definedName name="MLNKb04447d1db1847e587a3d9aa4f78fe6d" hidden="1">#REF!</definedName>
    <definedName name="MLNKb0473d7dd78c4a649f8526b1e37979d5" hidden="1">#REF!</definedName>
    <definedName name="MLNKb136cf7245024dee886809a08f751993" hidden="1">#REF!</definedName>
    <definedName name="MLNKb1c120e3e05f442caee363901edde9fc" hidden="1">#REF!</definedName>
    <definedName name="MLNKb282340194064624b6cf45ee3a5d8cf3" hidden="1">#REF!</definedName>
    <definedName name="MLNKb2e29bf6bb754010b2035460a63decd5" hidden="1">#REF!</definedName>
    <definedName name="MLNKb349298827dd451ca01eae8d451cbafa" hidden="1">#REF!</definedName>
    <definedName name="MLNKb42d2ffc2880423dbdccee020c46e293" localSheetId="22" hidden="1">#REF!</definedName>
    <definedName name="MLNKb42d2ffc2880423dbdccee020c46e293" hidden="1">#REF!</definedName>
    <definedName name="MLNKb4f70c82a31a47ad83b8b7f15bf345a5" hidden="1">#REF!</definedName>
    <definedName name="MLNKb5508efe7987472ab4f953738785d4b4" localSheetId="22" hidden="1">#REF!</definedName>
    <definedName name="MLNKb5508efe7987472ab4f953738785d4b4" hidden="1">#REF!</definedName>
    <definedName name="MLNKb816d754e3344cc4be89f8ea0f8c9c94" hidden="1">#REF!</definedName>
    <definedName name="MLNKb8583062930e424f8748226949f89f6c" hidden="1">#REF!</definedName>
    <definedName name="MLNKb93d34857bb04fc1a64b9078ec23b406" hidden="1">#REF!</definedName>
    <definedName name="MLNKb9755911bd834082a7d986a6b07d2f82" hidden="1">#REF!</definedName>
    <definedName name="MLNKb979ac6f0cab4975bab3cda822c3b1e3" hidden="1">#REF!</definedName>
    <definedName name="MLNKb994f9a4d891480782542be08cb5cc8d" localSheetId="22" hidden="1">#REF!</definedName>
    <definedName name="MLNKb994f9a4d891480782542be08cb5cc8d" hidden="1">#REF!</definedName>
    <definedName name="MLNKb99b6f56a9e34f35abe68b74e546b1f1" hidden="1">#REF!</definedName>
    <definedName name="MLNKb9d53635a48a403cbdc3032cb2bb5329" hidden="1">#REF!</definedName>
    <definedName name="MLNKbb604d3957e44542bb81978f13919299" localSheetId="22" hidden="1">#REF!</definedName>
    <definedName name="MLNKbb604d3957e44542bb81978f13919299" hidden="1">#REF!</definedName>
    <definedName name="MLNKbcc3d5689b41491a87ad560a88db4968" localSheetId="22" hidden="1">#REF!</definedName>
    <definedName name="MLNKbcc3d5689b41491a87ad560a88db4968" hidden="1">#REF!</definedName>
    <definedName name="MLNKbdb85fa7051540999df91804d0a0b119" localSheetId="22" hidden="1">#REF!</definedName>
    <definedName name="MLNKbdb85fa7051540999df91804d0a0b119" hidden="1">#REF!</definedName>
    <definedName name="MLNKbde3d65e80254dfb87342de54a856d45" hidden="1">#REF!</definedName>
    <definedName name="MLNKbea97a0855cb40a9bbf379974dfc80ef" hidden="1">#REF!</definedName>
    <definedName name="MLNKbeed6724f84944a3bc30e3d939a19213" hidden="1">#REF!</definedName>
    <definedName name="MLNKbeede1d2ef8843e498c74f8e4c0a3652" hidden="1">#REF!</definedName>
    <definedName name="MLNKbf09c822539741f2ad5743da6ba8f515" hidden="1">#REF!</definedName>
    <definedName name="MLNKbfb2535ee8da4dfaadd79b8d0747322e" hidden="1">#REF!</definedName>
    <definedName name="MLNKc090f0f8359f426190a3ea42e5d45556" hidden="1">#REF!</definedName>
    <definedName name="MLNKc0911c223c7c493098e644d1619b59b8" hidden="1">#REF!</definedName>
    <definedName name="MLNKc0e85a2f8d55446c9fc535e85305a73a" hidden="1">#REF!</definedName>
    <definedName name="MLNKc17c01caf48f46be9271967eeaf0d1a7" hidden="1">#REF!</definedName>
    <definedName name="MLNKc1b2d591990d430da2fa806f29cc875d" hidden="1">#REF!</definedName>
    <definedName name="MLNKc22cecafb47244e890ad7ce55a9ceaf9" hidden="1">#REF!</definedName>
    <definedName name="MLNKc23bb7e037854afdbfb318463627a51f" hidden="1">#REF!</definedName>
    <definedName name="MLNKc28702ddf99a41bcb1a9fde89d97ec2a" hidden="1">#REF!</definedName>
    <definedName name="MLNKc3a76ad0a2ea45779efb1a55c38f04a5" hidden="1">#REF!</definedName>
    <definedName name="MLNKc45014c3c67243099c9226300cc0468b" localSheetId="22" hidden="1">#REF!</definedName>
    <definedName name="MLNKc45014c3c67243099c9226300cc0468b" hidden="1">#REF!</definedName>
    <definedName name="MLNKc4b06ba3b51a4ec4b8c276ecb244e1e0" hidden="1">#REF!</definedName>
    <definedName name="MLNKc52dfa536e6247af8b2d4721387e97e3" hidden="1">#REF!</definedName>
    <definedName name="MLNKc5c18166bf51464b911a664a66f2ea64" hidden="1">#REF!</definedName>
    <definedName name="MLNKc774833e88f14f5585a6d1ea20519e72" hidden="1">#REF!</definedName>
    <definedName name="MLNKc842a6653ba84f498592833351bba869" hidden="1">#REF!</definedName>
    <definedName name="MLNKc950751ff212401bb3399138aeb08071" hidden="1">#REF!</definedName>
    <definedName name="MLNKc974773dd9474facb0097b8ba86c9c88" hidden="1">#REF!</definedName>
    <definedName name="MLNKc9e3c53ddd1846e4acc39ec87f03525e" hidden="1">#REF!</definedName>
    <definedName name="MLNKcb0c5612c95149aab0a0b4545a83d83a" hidden="1">#REF!</definedName>
    <definedName name="MLNKcb52cb82696449c4acaccd75559d9533" hidden="1">#REF!</definedName>
    <definedName name="MLNKcca92169cf9044b283c9d1ae5a573598" hidden="1">#REF!</definedName>
    <definedName name="MLNKcd2f59e8aa124177bbf584ac68d410cd" hidden="1">#REF!</definedName>
    <definedName name="MLNKcd4c59a5e6914ade8985355fca18cdd8" hidden="1">#REF!</definedName>
    <definedName name="MLNKcdfd123717954f7282c5a06900bb6d10" hidden="1">#REF!</definedName>
    <definedName name="MLNKce1a9386d4ff469e851d118a2b4216b1" hidden="1">#REF!</definedName>
    <definedName name="MLNKcf2d5c047a684f0a8f8bfc0b5a1d2295" hidden="1">#REF!</definedName>
    <definedName name="MLNKd04f1a930c2a4d0f8e650f7c49428bed" hidden="1">#REF!</definedName>
    <definedName name="MLNKd0dd92e1cef94a4dac9bd06422abbfb0" hidden="1">#REF!</definedName>
    <definedName name="MLNKd30362751fd14500956ac77cd5b6c928" hidden="1">#REF!</definedName>
    <definedName name="MLNKd33b38b9404a489393116a4e3f21e4ba" hidden="1">#REF!</definedName>
    <definedName name="MLNKd3523672e9e64b65a5b09c20b1f0f2c5" hidden="1">#REF!</definedName>
    <definedName name="MLNKd3b085692077475c881219fffa7851a4" hidden="1">#REF!</definedName>
    <definedName name="MLNKd457f50f3db7487aaaf4cbbe1b7b85f0" hidden="1">#REF!</definedName>
    <definedName name="MLNKd500c6f93fc04a9ab91d89f1d26a5bda" hidden="1">#REF!</definedName>
    <definedName name="MLNKd572d1969c5e45a5a651c723b07711e1" hidden="1">#REF!</definedName>
    <definedName name="MLNKd5a9a247d8d94a6abe2159ecd153eb1e" hidden="1">#REF!</definedName>
    <definedName name="MLNKd60f92bab68c4087bb693e7adfc318ae" hidden="1">#REF!</definedName>
    <definedName name="MLNKd6345eea8edd438a86063a19e38525c2" hidden="1">#REF!</definedName>
    <definedName name="MLNKd6757d4fd35f4b5f9c157e11b9be9592" hidden="1">#REF!</definedName>
    <definedName name="MLNKd7638984428141099e5ebdc5433ad1cb" hidden="1">#REF!</definedName>
    <definedName name="MLNKd7dd50d502ff4917b8cef972de06f4b7" hidden="1">#REF!</definedName>
    <definedName name="MLNKd9209ddc786e4182a7f4d866f6bfae70" hidden="1">#REF!</definedName>
    <definedName name="MLNKd94fb142363a4045967b7d07a80abf6e" hidden="1">#REF!</definedName>
    <definedName name="MLNKd96dc4db62c14ffda9b013a931c13d82" hidden="1">#REF!</definedName>
    <definedName name="MLNKda2d915548204ed49edbbfc1645eb5ba" localSheetId="22" hidden="1">#REF!</definedName>
    <definedName name="MLNKda2d915548204ed49edbbfc1645eb5ba" hidden="1">#REF!</definedName>
    <definedName name="MLNKda58f8a2145646239179163c0299793b" hidden="1">#REF!</definedName>
    <definedName name="MLNKda62fae5d3634009bb36d3b099154e68" hidden="1">#REF!</definedName>
    <definedName name="MLNKda715c062c524ca593a6e79787c07cda" hidden="1">#REF!</definedName>
    <definedName name="MLNKda9714ded189452b8d36646278847408" hidden="1">#REF!</definedName>
    <definedName name="MLNKda9ae8c008cd46b0a30a432bd98e2a92" hidden="1">#REF!</definedName>
    <definedName name="MLNKdab0c3fc4fa44f029e9455459c5863cc" hidden="1">#REF!</definedName>
    <definedName name="MLNKdac0a3da1f474bb49bbfe2e104e1a456" hidden="1">#REF!</definedName>
    <definedName name="MLNKdb0b61caa08b42499f7a520d9d9512d5" hidden="1">#REF!</definedName>
    <definedName name="MLNKdbffc65f47524dd8a6970ab5516c54b8" hidden="1">#REF!</definedName>
    <definedName name="MLNKdc3bd7f720274d3985a7ad930d0aec81" hidden="1">#REF!</definedName>
    <definedName name="MLNKdc540b1653014c88a67ce3e63b233581" hidden="1">#REF!</definedName>
    <definedName name="MLNKdd784700188c43aaac0e4bd2d6d21af3" localSheetId="22" hidden="1">#REF!</definedName>
    <definedName name="MLNKdd784700188c43aaac0e4bd2d6d21af3" hidden="1">#REF!</definedName>
    <definedName name="MLNKde028b07903e49a1b07f84b69b0242c3" hidden="1">#REF!</definedName>
    <definedName name="MLNKdf04489994304a3f97d281f9fa73f034" hidden="1">#REF!</definedName>
    <definedName name="MLNKdf5caf4e0e6a4d17831719e6acee4572" hidden="1">#REF!</definedName>
    <definedName name="MLNKdf7b39d34667409c95462c25978584ad" hidden="1">#REF!</definedName>
    <definedName name="MLNKe0a3e82ecea64e02b4d71c2ec52b4a5f" hidden="1">#REF!</definedName>
    <definedName name="MLNKe101f801665548a08e039d3183cc252f" hidden="1">#REF!</definedName>
    <definedName name="MLNKe15d8bfb7c78473ba833a0b8fb531e7a" hidden="1">#REF!</definedName>
    <definedName name="MLNKe20944887eb84e1ba227fdb7c8b68ec5" hidden="1">#REF!</definedName>
    <definedName name="MLNKe367e4256edd4c78ac89b8b89adf6305" hidden="1">#REF!</definedName>
    <definedName name="MLNKe3801a78f88f4bb0af36985252ace683" hidden="1">#REF!</definedName>
    <definedName name="MLNKe38279966f754476be6f361af519f88f" hidden="1">#REF!</definedName>
    <definedName name="MLNKe38b0304c6e14fcdbd573ee8ff096b71" hidden="1">#REF!</definedName>
    <definedName name="MLNKe3de2b25ed2a4fcdb532085f4626be8b" hidden="1">#REF!</definedName>
    <definedName name="MLNKe4957daaf9eb4a1ea6e0ae5b9284ba9a" hidden="1">#REF!</definedName>
    <definedName name="MLNKe49bbe102cbe481c83b982dc5eb99c75" hidden="1">#REF!</definedName>
    <definedName name="MLNKe4c078a0196a49de8d50e8ae6bdcc558" hidden="1">#REF!</definedName>
    <definedName name="MLNKe4df9b0ee93f49bfa3cebb2385be6721" hidden="1">#REF!</definedName>
    <definedName name="MLNKe5b4a1fc432d4c12b49fd9d7aff55457" hidden="1">#REF!</definedName>
    <definedName name="MLNKe681e8ce59ea4ec4a572ebe2141df7d0" hidden="1">#REF!</definedName>
    <definedName name="MLNKe68bc2eae14144b7a1fc43fe2ebfaa65" hidden="1">#REF!</definedName>
    <definedName name="MLNKe6e54db7691a4821a439522821796f8e" hidden="1">#REF!</definedName>
    <definedName name="MLNKe768a3fd5af143beaff39adac7b4fb2e" hidden="1">#REF!</definedName>
    <definedName name="MLNKe7823e83a54944c8a76e160e6a946ff6" hidden="1">#REF!</definedName>
    <definedName name="MLNKe8312b1ac7544f699a6e51353d45ca4d" hidden="1">#REF!</definedName>
    <definedName name="MLNKe96f548d2c5442b8b620df06fb00ea72" hidden="1">#REF!</definedName>
    <definedName name="MLNKea0bd8df58fa47aa8a8cffb2990cbed8" hidden="1">#REF!</definedName>
    <definedName name="MLNKeb1d5e4a4a414d659e3b9fd0d27cd1f0" hidden="1">#REF!</definedName>
    <definedName name="MLNKeb2c235dfd4d445d813aaee85b1c01ea" hidden="1">#REF!</definedName>
    <definedName name="MLNKebd76e8c5e1047d99182ae05fa70403c" hidden="1">#REF!</definedName>
    <definedName name="MLNKec5ae76f6d63450a92cbb4402d7e67aa" hidden="1">#REF!</definedName>
    <definedName name="MLNKec780d6aadd844acab6521c80f8d46dc" hidden="1">#REF!</definedName>
    <definedName name="MLNKed4c712987ed4a26914aacabb3cb5a07" hidden="1">#REF!</definedName>
    <definedName name="MLNKeddc187a60694639a530d9f81932b352" hidden="1">#REF!</definedName>
    <definedName name="MLNKee18904b977444c4a81c4150ab7003f3" hidden="1">#REF!</definedName>
    <definedName name="MLNKee67bd5619e1462d88447b08abd8c0ef" hidden="1">#REF!</definedName>
    <definedName name="MLNKeeb339a109374f9d80115674cfecbde9" hidden="1">#REF!</definedName>
    <definedName name="MLNKef55fa396e3d42d4b6a5646d3529262b" hidden="1">#REF!</definedName>
    <definedName name="MLNKef8a5f8c83064d99b57e8eb88e47942c" hidden="1">#REF!</definedName>
    <definedName name="MLNKf05c855193ca4186968bd3b28a68a3f9" hidden="1">#REF!</definedName>
    <definedName name="MLNKf09745d38e954715b3719bd40068ebcd" hidden="1">#REF!</definedName>
    <definedName name="MLNKf25d690c0c9040969651078a0fd34468" localSheetId="22" hidden="1">#REF!</definedName>
    <definedName name="MLNKf25d690c0c9040969651078a0fd34468" hidden="1">#REF!</definedName>
    <definedName name="MLNKf3d83f5b96e941b0932a1f43f6d6991a" localSheetId="22" hidden="1">#REF!</definedName>
    <definedName name="MLNKf3d83f5b96e941b0932a1f43f6d6991a" hidden="1">#REF!</definedName>
    <definedName name="MLNKf5156a0cee3344af9231fa8b11e9484f" localSheetId="22" hidden="1">#REF!</definedName>
    <definedName name="MLNKf5156a0cee3344af9231fa8b11e9484f" hidden="1">#REF!</definedName>
    <definedName name="MLNKf5ac4fb13bcd468c9dba17c408fb6571" hidden="1">#REF!</definedName>
    <definedName name="MLNKf5c641a89179411482ca8ffb35fdbcd0" hidden="1">#REF!</definedName>
    <definedName name="MLNKf60a89fa14a944ffa81a4b2b2c5a6a65" hidden="1">#REF!</definedName>
    <definedName name="MLNKf69d90895223406595354e1a016a0b55" hidden="1">#REF!</definedName>
    <definedName name="MLNKf6ff47807254415683e2e72ea28f73a6" hidden="1">#REF!</definedName>
    <definedName name="MLNKf7b01b58e55d4d98b18ea36659e07768" hidden="1">#REF!</definedName>
    <definedName name="MLNKf7c6dc0b1f7b4cd79e8e5ea6ab59a1e8" hidden="1">#REF!</definedName>
    <definedName name="MLNKf7dc7c8e02d0429f82eea42d7c131cac" hidden="1">#REF!</definedName>
    <definedName name="MLNKfa0e88ca68f94eb68067d515b17f6739" hidden="1">#REF!</definedName>
    <definedName name="MLNKfa791a191b41434c8e46cb15e1c7aa7c" hidden="1">#REF!</definedName>
    <definedName name="MLNKfaee2e53933a492e98ec8109d03578fe" hidden="1">#REF!</definedName>
    <definedName name="MLNKfbd20e26625a4a6d95d1d5f87a5c06be" hidden="1">#REF!</definedName>
    <definedName name="MLNKfc1eb932feeb44998c31bb3c1c820e41" hidden="1">#REF!</definedName>
    <definedName name="MLNKfc3d4045ac6546bbb96fb436de2a6736" hidden="1">#REF!</definedName>
    <definedName name="MLNKfc73d232647645828ea4844e98b41c9f" hidden="1">#REF!</definedName>
    <definedName name="MLNKfc85833d86264a5abe1e9d21c923318a" hidden="1">#REF!</definedName>
    <definedName name="MLNKfce6e9edb9824a87af81b209f9c5283c" hidden="1">#REF!</definedName>
    <definedName name="MLNKfe57550892dd4400bc1fa56bb0c2bdde" hidden="1">#REF!</definedName>
    <definedName name="MLNKffcae4d64e6644c190307811b03f3c98" hidden="1">#REF!</definedName>
    <definedName name="MMMMMMM" hidden="1">#REF!</definedName>
    <definedName name="model_year" localSheetId="21">[7]Dashboard!$C$2</definedName>
    <definedName name="model_year">'Lists and Mapping'!$C$10</definedName>
    <definedName name="newdata_03" localSheetId="22" hidden="1">'Revenue Requir (old)'!#REF!</definedName>
    <definedName name="newdata_03" hidden="1">#REF!</definedName>
    <definedName name="NNNNNNNN" localSheetId="22" hidden="1">'Revenue Requir (old)'!#REF!</definedName>
    <definedName name="NNNNNNNN" hidden="1">#REF!</definedName>
    <definedName name="NO" localSheetId="21" hidden="1">{"'Sheet1'!$A$1:$J$121"}</definedName>
    <definedName name="NO" localSheetId="22" hidden="1">{"'Sheet1'!$A$1:$J$121"}</definedName>
    <definedName name="NO" hidden="1">{"'Sheet1'!$A$1:$J$121"}</definedName>
    <definedName name="old_1" hidden="1">#REF!</definedName>
    <definedName name="oooo" localSheetId="22" hidden="1">#REF!</definedName>
    <definedName name="oooo" hidden="1">#REF!</definedName>
    <definedName name="Pal_Workbook_GUID" hidden="1">"ZNKQLAX5J3K18YY4TKR1FKU4"</definedName>
    <definedName name="PCAC_Toggle_List" hidden="1">#REF!</definedName>
    <definedName name="Peerless" localSheetId="22" hidden="1">'Revenue Requir (old)'!#REF!</definedName>
    <definedName name="Peerless" hidden="1">#REF!</definedName>
    <definedName name="Peerless_Oil" localSheetId="22" hidden="1">'Revenue Requir (old)'!#REF!</definedName>
    <definedName name="Peerless_Oil" hidden="1">#REF!</definedName>
    <definedName name="plp" localSheetId="22" hidden="1">#REF!</definedName>
    <definedName name="plp" hidden="1">#REF!</definedName>
    <definedName name="pp" localSheetId="22" hidden="1">#REF!</definedName>
    <definedName name="pp" hidden="1">#REF!</definedName>
    <definedName name="_xlnm.Print_Area" localSheetId="6">'Consumer Analysis'!$B$1:$R$162</definedName>
    <definedName name="_xlnm.Print_Area" localSheetId="7">'Consumer Analysis - Lighting'!$B$1:$S$137</definedName>
    <definedName name="_xlnm.Print_Area" localSheetId="21">'Rate Summary'!$A$5:$E$262</definedName>
    <definedName name="_xlnm.Print_Area" localSheetId="9">'Revenue Summary w Riders'!$B$1:$K$38</definedName>
    <definedName name="_xlnm.Print_Titles" localSheetId="6">'Consumer Analysis'!$1:$9</definedName>
    <definedName name="_xlnm.Print_Titles" localSheetId="7">'Consumer Analysis - Lighting'!$1:$9</definedName>
    <definedName name="_xlnm.Print_Titles" localSheetId="21">'Rate Summary'!$5:$9</definedName>
    <definedName name="ProdDemand" localSheetId="21">'[7]Minimum Sys'!$E$45</definedName>
    <definedName name="ProdDemand">#REF!</definedName>
    <definedName name="ProdEnergy" localSheetId="21">'[7]Minimum Sys'!$E$44</definedName>
    <definedName name="ProdEnergy">#REF!</definedName>
    <definedName name="Prolinks" localSheetId="22" hidden="1">#REF!</definedName>
    <definedName name="Prolinks" hidden="1">#REF!</definedName>
    <definedName name="prolinks_01a0c545244d4f229c69e2c67ee9ea9d" localSheetId="22" hidden="1">#REF!</definedName>
    <definedName name="prolinks_01a0c545244d4f229c69e2c67ee9ea9d" hidden="1">#REF!</definedName>
    <definedName name="prolinks_0596fd2adbfc47d9ac3dcd5e1105a21e" localSheetId="22" hidden="1">#REF!</definedName>
    <definedName name="prolinks_0596fd2adbfc47d9ac3dcd5e1105a21e" hidden="1">#REF!</definedName>
    <definedName name="prolinks_05b6403fe6544606bca0a8a09800be0e" hidden="1">#REF!</definedName>
    <definedName name="prolinks_07079316794a4c46b6138c660d6cab03" hidden="1">#REF!</definedName>
    <definedName name="prolinks_084ed1bfada6443a8affa63e32e51247" hidden="1">#REF!</definedName>
    <definedName name="prolinks_0bd622004eaf4b0aa10ea0454f7737d3" hidden="1">#REF!</definedName>
    <definedName name="prolinks_0c39044a3d254a02b33af0ca7ef1260d" hidden="1">#REF!</definedName>
    <definedName name="prolinks_153e906add294d409d3bee7cebfbd3aa" hidden="1">#REF!</definedName>
    <definedName name="prolinks_16c801b6d5414c808dc66f9650a35a32" hidden="1">#REF!</definedName>
    <definedName name="prolinks_1894464ecd844143a98140f3ac4ef19e" hidden="1">#REF!</definedName>
    <definedName name="prolinks_1a1180f1f3e641ed9c22276f0fe7150f" localSheetId="22" hidden="1">'Revenue Requir (old)'!#REF!</definedName>
    <definedName name="prolinks_1a1180f1f3e641ed9c22276f0fe7150f" hidden="1">#REF!</definedName>
    <definedName name="prolinks_1b10443825df43a5bbcde18ad7b18113" localSheetId="22" hidden="1">#REF!</definedName>
    <definedName name="prolinks_1b10443825df43a5bbcde18ad7b18113" hidden="1">#REF!</definedName>
    <definedName name="prolinks_1e840767a25b4ad08fa3dc104c1c19c4" localSheetId="22" hidden="1">#REF!</definedName>
    <definedName name="prolinks_1e840767a25b4ad08fa3dc104c1c19c4" hidden="1">#REF!</definedName>
    <definedName name="prolinks_2315b8bd8bcc4444a08b48b2c77053ca" localSheetId="22" hidden="1">#REF!</definedName>
    <definedName name="prolinks_2315b8bd8bcc4444a08b48b2c77053ca" hidden="1">#REF!</definedName>
    <definedName name="prolinks_251191970339467cab486c77ead21660" hidden="1">#REF!</definedName>
    <definedName name="prolinks_269280657b0c40669ef2af3dbb710223" hidden="1">#REF!</definedName>
    <definedName name="prolinks_297e01ee305549e7a2a9f942c5c52474" hidden="1">#REF!</definedName>
    <definedName name="prolinks_29e19fe27bcc451e950ff0f11bd9a54e" hidden="1">#REF!</definedName>
    <definedName name="prolinks_29ee4a881da745cca1da125d14abce08" hidden="1">#REF!</definedName>
    <definedName name="prolinks_2a30da71db3b42c88741a51b9cb339dd" hidden="1">#REF!</definedName>
    <definedName name="prolinks_2c4caad7f5944f7798d2a625ad989183" hidden="1">#REF!</definedName>
    <definedName name="prolinks_2ce22f1b67544a8b99e88db841a1f1ec" hidden="1">#REF!</definedName>
    <definedName name="prolinks_2f1d7117ff404629bc717793b05a2956" hidden="1">#REF!</definedName>
    <definedName name="prolinks_302f9d26fad04e1bab3f36cdb2618eab" hidden="1">#REF!</definedName>
    <definedName name="prolinks_311d0528edd74c82b9d45d06c98a92cb" hidden="1">#REF!</definedName>
    <definedName name="prolinks_31415462c3fd417db9b0ec9e6d00abdc" hidden="1">#REF!</definedName>
    <definedName name="prolinks_3150f41485d1418491e3fbaa2d4f74cb" hidden="1">#REF!</definedName>
    <definedName name="prolinks_3822661531d4453c834d7ea10d816693" hidden="1">#REF!</definedName>
    <definedName name="prolinks_3913934609ab4afebbafc48782261e35" hidden="1">#REF!</definedName>
    <definedName name="prolinks_396d4479c5554944954a234f1f19a13a" hidden="1">#REF!</definedName>
    <definedName name="prolinks_398ce964af0b4cf6b43d8a3c029305a7" hidden="1">#REF!</definedName>
    <definedName name="prolinks_3cc09d21fe9e4072801fa9d96b3f00cc" localSheetId="22" hidden="1">'Revenue Requir (old)'!#REF!</definedName>
    <definedName name="prolinks_3cc09d21fe9e4072801fa9d96b3f00cc" hidden="1">#REF!</definedName>
    <definedName name="prolinks_3d28d008ebba40b5a64fd754838e4b8e" localSheetId="22" hidden="1">#REF!</definedName>
    <definedName name="prolinks_3d28d008ebba40b5a64fd754838e4b8e" hidden="1">#REF!</definedName>
    <definedName name="prolinks_3e29fd8b9e3e4e2e8770f54e37e423dd" localSheetId="22" hidden="1">#REF!</definedName>
    <definedName name="prolinks_3e29fd8b9e3e4e2e8770f54e37e423dd" hidden="1">#REF!</definedName>
    <definedName name="prolinks_3efcb4254c274b7fb425f1162b75e951" localSheetId="22" hidden="1">#REF!</definedName>
    <definedName name="prolinks_3efcb4254c274b7fb425f1162b75e951" hidden="1">#REF!</definedName>
    <definedName name="prolinks_437bb4220c8e4ebeb6b3d9271afb1aab" hidden="1">#REF!</definedName>
    <definedName name="prolinks_442ddd5473734c6f96b29c85c157aab0" hidden="1">#REF!</definedName>
    <definedName name="prolinks_45dc3460c3f54620838861f7ff097bd7" hidden="1">#REF!</definedName>
    <definedName name="prolinks_47159d94af764027946a892d6281337a" hidden="1">#REF!</definedName>
    <definedName name="prolinks_499ddfb95f9c4e21983d5b4f16720ed8" hidden="1">#REF!</definedName>
    <definedName name="prolinks_4ac541fb65aa4cffa7845318f2487856" hidden="1">#REF!</definedName>
    <definedName name="prolinks_4b76ce19b1764f58a7de0c7badc1a4cc" hidden="1">#REF!</definedName>
    <definedName name="prolinks_4c4ab9c9295844449e6ef6a37eaf4d74" hidden="1">#REF!</definedName>
    <definedName name="prolinks_4f12b91b18f74a1dbe303ad750e877fd" hidden="1">#REF!</definedName>
    <definedName name="prolinks_53c7c8aaf9f04cffbaa87348d9df0245" hidden="1">#REF!</definedName>
    <definedName name="prolinks_57fc0241e78544168405d3c45c0e84d1" hidden="1">#REF!</definedName>
    <definedName name="prolinks_5a55b5157df94ea2b702089c4379a8bd" hidden="1">#REF!</definedName>
    <definedName name="prolinks_62db8ffd9b594b17859bc36f2fe3c672" hidden="1">#REF!</definedName>
    <definedName name="prolinks_63a9bdf02b6c452a9a4c91b0f583bba1" hidden="1">#REF!</definedName>
    <definedName name="prolinks_6536fc9dc9114ad2aab73e674b297019" hidden="1">#REF!</definedName>
    <definedName name="prolinks_6aef5f4cf91d4dbea7b10dfab4dd0b69" hidden="1">#REF!</definedName>
    <definedName name="prolinks_6c9f4dd2b1254dac81169534c956b14a" hidden="1">#REF!</definedName>
    <definedName name="prolinks_6ce43db491284e169954079042de7780" hidden="1">#REF!</definedName>
    <definedName name="prolinks_6e10ebbf83b94914b959794854db3bec" hidden="1">#REF!</definedName>
    <definedName name="prolinks_6e9fd860277a4bc699b9c43d2d7be378" hidden="1">#REF!</definedName>
    <definedName name="prolinks_6fd65cba148d4852a159055e43b7364d" hidden="1">#REF!</definedName>
    <definedName name="prolinks_71091622e8f842c496418537f6f8232b" hidden="1">#REF!</definedName>
    <definedName name="prolinks_729ba1e1244044298e893fa24d15ef5b" hidden="1">#REF!</definedName>
    <definedName name="prolinks_73bdf07f47594a918de2df613892ac5f" localSheetId="22" hidden="1">'Revenue Requir (old)'!#REF!</definedName>
    <definedName name="prolinks_73bdf07f47594a918de2df613892ac5f" hidden="1">#REF!</definedName>
    <definedName name="prolinks_76701a5f97af43c3a899f97fbb841c7d" localSheetId="22" hidden="1">#REF!</definedName>
    <definedName name="prolinks_76701a5f97af43c3a899f97fbb841c7d" hidden="1">#REF!</definedName>
    <definedName name="prolinks_783281649d824e239f361bda3d777126" localSheetId="22" hidden="1">#REF!</definedName>
    <definedName name="prolinks_783281649d824e239f361bda3d777126" hidden="1">#REF!</definedName>
    <definedName name="prolinks_7854b8c2bb6e4275a477329e39458a84" localSheetId="22" hidden="1">#REF!</definedName>
    <definedName name="prolinks_7854b8c2bb6e4275a477329e39458a84" hidden="1">#REF!</definedName>
    <definedName name="prolinks_7ab99053e479431b82ff19df79fe72c8" hidden="1">#REF!</definedName>
    <definedName name="prolinks_7aff1d9dc2c244b8b8495d792eee85de" hidden="1">#REF!</definedName>
    <definedName name="prolinks_7bdcd4efcc1f4fb588dacf81c60bb005" hidden="1">#REF!</definedName>
    <definedName name="prolinks_7d02ebcac34d4e67951b8f51de0a0fe6" hidden="1">#REF!</definedName>
    <definedName name="prolinks_7f58e1b33f1f46cfb9c8bb1c52fe1be0" hidden="1">#REF!</definedName>
    <definedName name="prolinks_813adc2f79724bdda86d936689968484" hidden="1">#REF!</definedName>
    <definedName name="prolinks_81e6479f400441e4a47828e6bcebd1d6" hidden="1">#REF!</definedName>
    <definedName name="prolinks_838aa2644ebb4821875ecbaaa89b884d" hidden="1">#REF!</definedName>
    <definedName name="prolinks_8b07f12b2e8c4eff9e7641d70f4852c9" hidden="1">#REF!</definedName>
    <definedName name="prolinks_8b5ec9efcc3d4ade9099d1de311e88fd" hidden="1">#REF!</definedName>
    <definedName name="prolinks_8e2caed5fcc143818106df72e5202b72" hidden="1">#REF!</definedName>
    <definedName name="prolinks_8e7fffd3287a4277aded18e39b6364bc" hidden="1">#REF!</definedName>
    <definedName name="prolinks_8ed704e218f241be962cd235e57746a1" hidden="1">#REF!</definedName>
    <definedName name="prolinks_8edb616f62c448769e6639f38b6623c5" hidden="1">#REF!</definedName>
    <definedName name="prolinks_8fb6aa628096493aabd317fa95569d10" hidden="1">#REF!</definedName>
    <definedName name="prolinks_8ff61c0212a14f2ab5f3a95ad9c19813" hidden="1">#REF!</definedName>
    <definedName name="prolinks_93235e12b9674060bdd2757692f80852" hidden="1">#REF!</definedName>
    <definedName name="prolinks_94e19c79a940426783b5581f61e1fc8a" hidden="1">#REF!</definedName>
    <definedName name="prolinks_952645b3039845d2bba9e6243317b4c6" hidden="1">#REF!</definedName>
    <definedName name="prolinks_95468763cb394a05ab7bb2e9f10ff0c0" hidden="1">#REF!</definedName>
    <definedName name="prolinks_9927d4e49dd649d590d0169962d2c31b" hidden="1">#REF!</definedName>
    <definedName name="prolinks_9be1b1ff9810477f88a14f4e08ee760f" hidden="1">#REF!</definedName>
    <definedName name="prolinks_9e92dd59b4af44f5b619e1d76b560cef" hidden="1">#REF!</definedName>
    <definedName name="prolinks_9fa1969c91154da0bf75e3de018cf480" hidden="1">#REF!</definedName>
    <definedName name="prolinks_9fe2e41412f344698615a70872c9340c" hidden="1">#REF!</definedName>
    <definedName name="prolinks_a07d81485e6c41f8a48303a8a55020a1" hidden="1">#REF!</definedName>
    <definedName name="prolinks_a0cb65b6c50f4f40901be287c9b5ced5" hidden="1">#REF!</definedName>
    <definedName name="prolinks_a0d7e602572549bd95216e66df19e635" hidden="1">#REF!</definedName>
    <definedName name="prolinks_a5acd4bbba1d4f59b792722ad0897584" hidden="1">#REF!</definedName>
    <definedName name="prolinks_a67c6718e4024c6e907eb6573ff16d20" hidden="1">#REF!</definedName>
    <definedName name="prolinks_a890d3110cae4f1eba92cde4ee8cbc46" hidden="1">#REF!</definedName>
    <definedName name="prolinks_a8e0483ab7734ea4a53606e3c66ba69c" hidden="1">#REF!</definedName>
    <definedName name="prolinks_aa9b7b4e372945c3abb86628166704bf" hidden="1">#REF!</definedName>
    <definedName name="prolinks_ab00ba90adad435da536d9b7b2aaf1b5" hidden="1">#REF!</definedName>
    <definedName name="prolinks_abe8fc64082f417da5eb6a55edaaa7a7" hidden="1">#REF!</definedName>
    <definedName name="prolinks_adaa05af54964bbf9e438c75e7b19832" hidden="1">#REF!</definedName>
    <definedName name="prolinks_addc13bdf90544acacc3cf09f2049ca4" hidden="1">#REF!</definedName>
    <definedName name="prolinks_b13de5ea0d624a40936df80ffe256b44" hidden="1">#REF!</definedName>
    <definedName name="prolinks_b3aa849a2e6c48c48bc8ead0ea0fd810" hidden="1">#REF!</definedName>
    <definedName name="prolinks_b727e5aeabca4ef3abe343f5f98fd62b" hidden="1">#REF!</definedName>
    <definedName name="prolinks_b74fefe7a841427b8812ae235a114981" hidden="1">#REF!</definedName>
    <definedName name="prolinks_b7f1b6a836c44835a590f39240171991" hidden="1">#REF!</definedName>
    <definedName name="prolinks_b8b2f6fecae24f829baebfa74dcdbf9f" hidden="1">#REF!</definedName>
    <definedName name="prolinks_b98361ec1ed04934b23a5a2770c7f995" hidden="1">#REF!</definedName>
    <definedName name="prolinks_b9df031d4d0d4ab29962fd550a1fe868" hidden="1">#REF!</definedName>
    <definedName name="prolinks_ba188ca90a3c4d24bd1c540383fa706c" hidden="1">#REF!</definedName>
    <definedName name="prolinks_bada7301b0d44b99962d1ff009334a68" hidden="1">#REF!</definedName>
    <definedName name="prolinks_bb4f498021a9414eab3c25dedff7544c" hidden="1">#REF!</definedName>
    <definedName name="prolinks_bff2e1febd8541b9b9d69d0a07400b66" hidden="1">#REF!</definedName>
    <definedName name="prolinks_c015d9bc61214160bc4b5a2dbc3f6f45" hidden="1">#REF!</definedName>
    <definedName name="prolinks_c3eda7a1057741118d468193231e1360" hidden="1">#REF!</definedName>
    <definedName name="prolinks_c4d5e33cbbf245a79094e9b81891dd1f" hidden="1">#REF!</definedName>
    <definedName name="prolinks_c4ddd55390664dc0bc933f5d67c8074b" localSheetId="22" hidden="1">'Revenue Requir (old)'!#REF!</definedName>
    <definedName name="prolinks_c4ddd55390664dc0bc933f5d67c8074b" hidden="1">#REF!</definedName>
    <definedName name="prolinks_c6a26505b29b4489b91597649353821a" localSheetId="22" hidden="1">#REF!</definedName>
    <definedName name="prolinks_c6a26505b29b4489b91597649353821a" hidden="1">#REF!</definedName>
    <definedName name="prolinks_c755bd23d4484c1db18de2fe7dd2abc9" localSheetId="22" hidden="1">#REF!</definedName>
    <definedName name="prolinks_c755bd23d4484c1db18de2fe7dd2abc9" hidden="1">#REF!</definedName>
    <definedName name="prolinks_c844d24617204ed9a6dabdc891c08b9e" localSheetId="22" hidden="1">#REF!</definedName>
    <definedName name="prolinks_c844d24617204ed9a6dabdc891c08b9e" hidden="1">#REF!</definedName>
    <definedName name="prolinks_c9c5afd1fc704b7f9390c56c44a096c0" hidden="1">#REF!</definedName>
    <definedName name="prolinks_cad4a14647874b23af7128335a610f24" hidden="1">#REF!</definedName>
    <definedName name="prolinks_cd49ffc9bb7d414b8afe97beac6d90f3" hidden="1">#REF!</definedName>
    <definedName name="prolinks_cd89e02986ba4685aa15520996838f2e" hidden="1">#REF!</definedName>
    <definedName name="prolinks_cee058f8dfee4e839cb7b72760e497b4" hidden="1">#REF!</definedName>
    <definedName name="prolinks_d00d5ff52b3244949647792dd5b29ca2" hidden="1">#REF!</definedName>
    <definedName name="prolinks_d2e2c06e5d3d44269a0d0ea732be255f" hidden="1">#REF!</definedName>
    <definedName name="prolinks_d390b891c44b4ab0904a17accc0afdb2" hidden="1">#REF!</definedName>
    <definedName name="prolinks_db2c5223fe504007a340dffad7e9ed3b" localSheetId="22" hidden="1">'Revenue Requir (old)'!#REF!</definedName>
    <definedName name="prolinks_db2c5223fe504007a340dffad7e9ed3b" hidden="1">#REF!</definedName>
    <definedName name="prolinks_db7147ba65744086bbd2a21e694e947a" localSheetId="22" hidden="1">#REF!</definedName>
    <definedName name="prolinks_db7147ba65744086bbd2a21e694e947a" hidden="1">#REF!</definedName>
    <definedName name="prolinks_dc2940f3a5bc46ed887a485ff901feec" localSheetId="22" hidden="1">#REF!</definedName>
    <definedName name="prolinks_dc2940f3a5bc46ed887a485ff901feec" hidden="1">#REF!</definedName>
    <definedName name="prolinks_e185529d7f034b55812ad248179a5881" localSheetId="22" hidden="1">#REF!</definedName>
    <definedName name="prolinks_e185529d7f034b55812ad248179a5881" hidden="1">#REF!</definedName>
    <definedName name="prolinks_e1ff643da2a849058518187a76d3a803" hidden="1">#REF!</definedName>
    <definedName name="prolinks_e764c635a7704212822e099ce2db4433" hidden="1">#REF!</definedName>
    <definedName name="prolinks_e8c20c59dfa246bdad0a7cb4f14076d8" hidden="1">#REF!</definedName>
    <definedName name="prolinks_e913e66ba78a4b3d9920a66b0675d870" hidden="1">#REF!</definedName>
    <definedName name="prolinks_eaffce5b7d644fc6b54758c18332c670" hidden="1">#REF!</definedName>
    <definedName name="prolinks_edb6bc70250c4ceeac251242e3382fac" hidden="1">#REF!</definedName>
    <definedName name="prolinks_f3044257c4514b20aea865c2c5f817c2" hidden="1">#REF!</definedName>
    <definedName name="prolinks_f6d3bd2ad3554b1d8db15db9dd703f4b" hidden="1">#REF!</definedName>
    <definedName name="prolinks_f70dfef8b9b34dc7addcd6d5473a0d08" hidden="1">#REF!</definedName>
    <definedName name="prolinks_f71062a11e7b40c4b957e58b4dd34d90" hidden="1">#REF!</definedName>
    <definedName name="prolinks_f8e19b003fb243f6988fce57fb584f95" hidden="1">#REF!</definedName>
    <definedName name="prolinks_f9cf7614e4114edab33672654fe96027" hidden="1">#REF!</definedName>
    <definedName name="prolinks_fae53b540a064601ba73d34ad6aac807" hidden="1">#REF!</definedName>
    <definedName name="prolinks_ff92d145439e490c83d6f0393fbd7f74" hidden="1">#REF!</definedName>
    <definedName name="prolinks_ffa0b2ad3c6f448690ca8f789618251f" hidden="1">#REF!</definedName>
    <definedName name="rate_design_proposal" localSheetId="21">[7]Dashboard!$C$6</definedName>
    <definedName name="rate_design_proposal">'Lists and Mapping'!$C$14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6</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TRUE</definedName>
    <definedName name="RiskUseMultipleCPUs" hidden="1">TRUE</definedName>
    <definedName name="rr" localSheetId="22" hidden="1">#REF!</definedName>
    <definedName name="rr" hidden="1">#REF!</definedName>
    <definedName name="RR_allocation" localSheetId="21">[7]Dashboard!$C$5</definedName>
    <definedName name="RR_allocation">'Lists and Mapping'!$C$13</definedName>
    <definedName name="RR_toggle" localSheetId="21">[7]Dashboard!$C$4</definedName>
    <definedName name="RR_toggle">'Lists and Mapping'!$C$12</definedName>
    <definedName name="rrrrrrrrrrrr" localSheetId="22" hidden="1">'Revenue Requir (old)'!#REF!</definedName>
    <definedName name="rrrrrrrrrrrr" hidden="1">#REF!</definedName>
    <definedName name="S" localSheetId="22" hidden="1">#REF!</definedName>
    <definedName name="S" hidden="1">#REF!</definedName>
    <definedName name="sencount" hidden="1">1</definedName>
    <definedName name="SheetType" hidden="1">#REF!</definedName>
    <definedName name="solargraph" hidden="1">#REF!</definedName>
    <definedName name="solver_adj" localSheetId="20" hidden="1">'Rate Inputs'!$H$39</definedName>
    <definedName name="solver_adj" hidden="1">#REF!</definedName>
    <definedName name="solver_cvg" localSheetId="20" hidden="1">0.0001</definedName>
    <definedName name="solver_cvg" hidden="1">0.001</definedName>
    <definedName name="solver_drv" localSheetId="20" hidden="1">2</definedName>
    <definedName name="solver_drv" hidden="1">1</definedName>
    <definedName name="solver_eng" localSheetId="20" hidden="1">1</definedName>
    <definedName name="solver_est" localSheetId="20" hidden="1">1</definedName>
    <definedName name="solver_est" hidden="1">1</definedName>
    <definedName name="solver_itr" localSheetId="20" hidden="1">2147483647</definedName>
    <definedName name="solver_itr" hidden="1">100</definedName>
    <definedName name="solver_lin" hidden="1">0</definedName>
    <definedName name="solver_mip" localSheetId="20" hidden="1">2147483647</definedName>
    <definedName name="solver_mni" localSheetId="20" hidden="1">30</definedName>
    <definedName name="solver_mrt" localSheetId="20" hidden="1">0.075</definedName>
    <definedName name="solver_msl" localSheetId="20" hidden="1">2</definedName>
    <definedName name="solver_neg" localSheetId="20" hidden="1">1</definedName>
    <definedName name="solver_neg" hidden="1">2</definedName>
    <definedName name="solver_nod" localSheetId="20" hidden="1">2147483647</definedName>
    <definedName name="solver_ntri" hidden="1">1000</definedName>
    <definedName name="solver_num" localSheetId="20" hidden="1">0</definedName>
    <definedName name="solver_num" hidden="1">0</definedName>
    <definedName name="solver_nwt" localSheetId="20" hidden="1">1</definedName>
    <definedName name="solver_nwt" hidden="1">1</definedName>
    <definedName name="solver_opt" localSheetId="20" hidden="1">'Rate Inputs'!$R$1</definedName>
    <definedName name="solver_opt" hidden="1">#REF!</definedName>
    <definedName name="solver_pre" localSheetId="20" hidden="1">0.000001</definedName>
    <definedName name="solver_pre" hidden="1">0.000001</definedName>
    <definedName name="solver_rbv" localSheetId="20" hidden="1">2</definedName>
    <definedName name="solver_rlx" localSheetId="20" hidden="1">2</definedName>
    <definedName name="solver_rsd" localSheetId="20" hidden="1">0</definedName>
    <definedName name="solver_rsmp" hidden="1">1</definedName>
    <definedName name="solver_scl" localSheetId="20" hidden="1">2</definedName>
    <definedName name="solver_scl" hidden="1">2</definedName>
    <definedName name="solver_seed" hidden="1">0</definedName>
    <definedName name="solver_sho" localSheetId="20" hidden="1">2</definedName>
    <definedName name="solver_sho" hidden="1">2</definedName>
    <definedName name="solver_ssz" localSheetId="20" hidden="1">100</definedName>
    <definedName name="solver_tim" localSheetId="20" hidden="1">2147483647</definedName>
    <definedName name="solver_tim" hidden="1">100</definedName>
    <definedName name="solver_tol" localSheetId="20" hidden="1">0.01</definedName>
    <definedName name="solver_tol" hidden="1">0.05</definedName>
    <definedName name="solver_typ" localSheetId="0" hidden="1">3</definedName>
    <definedName name="solver_typ" localSheetId="20" hidden="1">3</definedName>
    <definedName name="solver_typ" hidden="1">2</definedName>
    <definedName name="solver_val" localSheetId="20" hidden="1">0</definedName>
    <definedName name="solver_val" hidden="1">0</definedName>
    <definedName name="solver_ver" localSheetId="20" hidden="1">3</definedName>
    <definedName name="table6"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EMPREFERENCE" localSheetId="22" hidden="1">#REF!</definedName>
    <definedName name="TEMPREFERENCE" hidden="1">#REF!</definedName>
    <definedName name="TempReference2" localSheetId="22" hidden="1">#REF!</definedName>
    <definedName name="TempReference2" hidden="1">#REF!</definedName>
    <definedName name="Tempreference3" localSheetId="22" hidden="1">#REF!</definedName>
    <definedName name="Tempreference3" hidden="1">#REF!</definedName>
    <definedName name="TempReference4" hidden="1">#REF!</definedName>
    <definedName name="TempReference5" hidden="1">#REF!</definedName>
    <definedName name="TempReference6" hidden="1">#REF!</definedName>
    <definedName name="TempReference7" hidden="1">#REF!</definedName>
    <definedName name="TempReference8" hidden="1">#REF!</definedName>
    <definedName name="testyear" localSheetId="21">[7]Setup!$D$6</definedName>
    <definedName name="testyear">#REF!</definedName>
    <definedName name="three" localSheetId="21" hidden="1">{"midlpg1",#N/A,FALSE,"MIDEAST LPG";"midlpg2",#N/A,FALSE,"MIDEAST LPG"}</definedName>
    <definedName name="three" localSheetId="22" hidden="1">{"midlpg1",#N/A,FALSE,"MIDEAST LPG";"midlpg2",#N/A,FALSE,"MIDEAST LPG"}</definedName>
    <definedName name="three" hidden="1">{"midlpg1",#N/A,FALSE,"MIDEAST LPG";"midlpg2",#N/A,FALSE,"MIDEAST LPG"}</definedName>
    <definedName name="thththt" hidden="1">#REF!</definedName>
    <definedName name="time" localSheetId="21" hidden="1">{"japcurrent1",#N/A,FALSE,"JAPAN PRODUCTS";"japcurrent2",#N/A,FALSE,"JAPAN PRODUCTS"}</definedName>
    <definedName name="time" localSheetId="22" hidden="1">{"japcurrent1",#N/A,FALSE,"JAPAN PRODUCTS";"japcurrent2",#N/A,FALSE,"JAPAN PRODUCTS"}</definedName>
    <definedName name="time" hidden="1">{"japcurrent1",#N/A,FALSE,"JAPAN PRODUCTS";"japcurrent2",#N/A,FALSE,"JAPAN PRODUCTS"}</definedName>
    <definedName name="trans" hidden="1">#REF!</definedName>
    <definedName name="TRef10" localSheetId="22" hidden="1">#REF!</definedName>
    <definedName name="TRef10" hidden="1">#REF!</definedName>
    <definedName name="Tref11" localSheetId="22" hidden="1">#REF!</definedName>
    <definedName name="Tref11" hidden="1">#REF!</definedName>
    <definedName name="TRef12" localSheetId="22" hidden="1">#REF!</definedName>
    <definedName name="TRef12" hidden="1">#REF!</definedName>
    <definedName name="Tref13" hidden="1">#REF!</definedName>
    <definedName name="TRef14" hidden="1">#REF!</definedName>
    <definedName name="TREF15" hidden="1">#REF!</definedName>
    <definedName name="TREF16" hidden="1">#REF!</definedName>
    <definedName name="TREF17" hidden="1">#REF!</definedName>
    <definedName name="TREF18" localSheetId="22" hidden="1">#REF!</definedName>
    <definedName name="TREF18" hidden="1">#REF!</definedName>
    <definedName name="Tref9" localSheetId="22" hidden="1">#REF!</definedName>
    <definedName name="Tref9" hidden="1">#REF!</definedName>
    <definedName name="tt" localSheetId="22" hidden="1">#REF!</definedName>
    <definedName name="tt" hidden="1">#REF!</definedName>
    <definedName name="tttttr" localSheetId="22" hidden="1">'Revenue Requir (old)'!#REF!</definedName>
    <definedName name="tttttr" hidden="1">#REF!</definedName>
    <definedName name="TTTTTTTTTT" localSheetId="22" hidden="1">#REF!</definedName>
    <definedName name="TTTTTTTTTT" hidden="1">#REF!</definedName>
    <definedName name="ttttttttttt" localSheetId="22" hidden="1">'Revenue Requir (old)'!#REF!</definedName>
    <definedName name="ttttttttttt" hidden="1">#REF!</definedName>
    <definedName name="two" localSheetId="21" hidden="1">{"japlpg1",#N/A,FALSE,"JAPAN LPG ";"japllpg2",#N/A,FALSE,"JAPAN LPG "}</definedName>
    <definedName name="two" localSheetId="22" hidden="1">{"japlpg1",#N/A,FALSE,"JAPAN LPG ";"japllpg2",#N/A,FALSE,"JAPAN LPG "}</definedName>
    <definedName name="two" hidden="1">{"japlpg1",#N/A,FALSE,"JAPAN LPG ";"japllpg2",#N/A,FALSE,"JAPAN LPG "}</definedName>
    <definedName name="U" localSheetId="22" hidden="1">#REF!</definedName>
    <definedName name="U" hidden="1">#REF!</definedName>
    <definedName name="ukuku" localSheetId="22" hidden="1">#REF!</definedName>
    <definedName name="ukuku" hidden="1">#REF!</definedName>
    <definedName name="utilityname" localSheetId="21">[7]Setup!$D$9</definedName>
    <definedName name="utilityname">#REF!</definedName>
    <definedName name="UtilityType_Vector" hidden="1">#REF!</definedName>
    <definedName name="uu" localSheetId="22" hidden="1">#REF!</definedName>
    <definedName name="uu" hidden="1">#REF!</definedName>
    <definedName name="v" hidden="1">#REF!</definedName>
    <definedName name="VVVVVVVV" localSheetId="22" hidden="1">'Revenue Requir (old)'!#REF!</definedName>
    <definedName name="VVVVVVVV" hidden="1">#REF!</definedName>
    <definedName name="wed" localSheetId="22" hidden="1">#REF!</definedName>
    <definedName name="wed" hidden="1">#REF!</definedName>
    <definedName name="wrn.ALL." hidden="1">{#N/A,#N/A,FALSE,"ASSUMPTIONS";#N/A,#N/A,FALSE,"Valuation Summary";"page1",#N/A,FALSE,"PRESENTATION";"page2",#N/A,FALSE,"PRESENTATION";#N/A,#N/A,FALSE,"ORIGINAL_ROLLBACK"}</definedName>
    <definedName name="wrn.Bill._.Comparisons." localSheetId="7" hidden="1">{"General BC (Rg1 &amp; Cg1)",#N/A,FALSE,"Rg1 &amp; Cg1";"BC (Cp1)",#N/A,FALSE,"Cp-1";"Specific BC (Rg1 &amp; Cg1)",#N/A,FALSE,"Rg1 &amp; Cg1"}</definedName>
    <definedName name="wrn.Bill._.Comparisons." localSheetId="21" hidden="1">{"General BC (Rg1 &amp; Cg1)",#N/A,FALSE,"Rg1 &amp; Cg1";"BC (Cp1)",#N/A,FALSE,"Cp-1";"Specific BC (Rg1 &amp; Cg1)",#N/A,FALSE,"Rg1 &amp; Cg1"}</definedName>
    <definedName name="wrn.Bill._.Comparisons." hidden="1">{"General BC (Rg1 &amp; Cg1)",#N/A,FALSE,"Rg1 &amp; Cg1";"BC (Cp1)",#N/A,FALSE,"Cp-1";"Specific BC (Rg1 &amp; Cg1)",#N/A,FALSE,"Rg1 &amp; Cg1"}</definedName>
    <definedName name="wrn.Coal._.Questionnaire." localSheetId="21" hidden="1">{#N/A,#N/A,FALSE,"Explanatory notes";#N/A,#N/A,FALSE,"Table 1A 1999";#N/A,#N/A,FALSE,"Table 2A 1999";#N/A,#N/A,FALSE,"Table 3A 1999";#N/A,#N/A,FALSE,"Table 4A 1999";#N/A,#N/A,FALSE,"Table 5A 1999";#N/A,#N/A,FALSE,"Table 6A 1999";#N/A,#N/A,FALSE,"Table 7A 1999";#N/A,#N/A,FALSE,"Table 8A 1999";#N/A,#N/A,FALSE,"Remarks"}</definedName>
    <definedName name="wrn.Coal._.Questionnaire." localSheetId="22" hidden="1">{#N/A,#N/A,FALSE,"Explanatory notes";#N/A,#N/A,FALSE,"Table 1A 1999";#N/A,#N/A,FALSE,"Table 2A 1999";#N/A,#N/A,FALSE,"Table 3A 1999";#N/A,#N/A,FALSE,"Table 4A 1999";#N/A,#N/A,FALSE,"Table 5A 1999";#N/A,#N/A,FALSE,"Table 6A 1999";#N/A,#N/A,FALSE,"Table 7A 1999";#N/A,#N/A,FALSE,"Table 8A 1999";#N/A,#N/A,FALSE,"Remarks"}</definedName>
    <definedName name="wrn.Coal._.Questionnaire." hidden="1">{#N/A,#N/A,FALSE,"Explanatory notes";#N/A,#N/A,FALSE,"Table 1A 1999";#N/A,#N/A,FALSE,"Table 2A 1999";#N/A,#N/A,FALSE,"Table 3A 1999";#N/A,#N/A,FALSE,"Table 4A 1999";#N/A,#N/A,FALSE,"Table 5A 1999";#N/A,#N/A,FALSE,"Table 6A 1999";#N/A,#N/A,FALSE,"Table 7A 1999";#N/A,#N/A,FALSE,"Table 8A 1999";#N/A,#N/A,FALSE,"Remarks"}</definedName>
    <definedName name="wrn.CPONEREP." localSheetId="7" hidden="1">{"CPONE",#N/A,FALSE,"Sheet1"}</definedName>
    <definedName name="wrn.CPONEREP." localSheetId="21" hidden="1">{"CPONE",#N/A,FALSE,"Sheet1"}</definedName>
    <definedName name="wrn.CPONEREP." hidden="1">{"CPONE",#N/A,FALSE,"Sheet1"}</definedName>
    <definedName name="wrn.CPTWOREP." localSheetId="7" hidden="1">{#N/A,#N/A,FALSE,"Sheet1";#N/A,#N/A,FALSE,"Sheet1";"CPTWO",#N/A,FALSE,"Sheet1"}</definedName>
    <definedName name="wrn.CPTWOREP." localSheetId="21" hidden="1">{#N/A,#N/A,FALSE,"Sheet1";#N/A,#N/A,FALSE,"Sheet1";"CPTWO",#N/A,FALSE,"Sheet1"}</definedName>
    <definedName name="wrn.CPTWOREP." hidden="1">{#N/A,#N/A,FALSE,"Sheet1";#N/A,#N/A,FALSE,"Sheet1";"CPTWO",#N/A,FALSE,"Sheet1"}</definedName>
    <definedName name="wrn.crude." localSheetId="21" hidden="1">{"current1",#N/A,FALSE,"CRUDE";"current2",#N/A,FALSE,"CRUDE";"CONSTANT",#N/A,FALSE,"CRUDE"}</definedName>
    <definedName name="wrn.crude." localSheetId="22" hidden="1">{"current1",#N/A,FALSE,"CRUDE";"current2",#N/A,FALSE,"CRUDE";"CONSTANT",#N/A,FALSE,"CRUDE"}</definedName>
    <definedName name="wrn.crude." hidden="1">{"current1",#N/A,FALSE,"CRUDE";"current2",#N/A,FALSE,"CRUDE";"CONSTANT",#N/A,FALSE,"CRUDE"}</definedName>
    <definedName name="wrn.CRUDE1." localSheetId="21"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22"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lectricity._.Questionnaire."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localSheetId="2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Y97SBP." hidden="1">{#N/A,#N/A,FALSE,"FY97";#N/A,#N/A,FALSE,"FY98";#N/A,#N/A,FALSE,"FY99";#N/A,#N/A,FALSE,"FY00";#N/A,#N/A,FALSE,"FY01"}</definedName>
    <definedName name="wrn.natgastab." localSheetId="21" hidden="1">{"natgas1",#N/A,FALSE,"u.s. Natural Gas";"natgas2",#N/A,FALSE,"u.s. Natural Gas"}</definedName>
    <definedName name="wrn.natgastab." localSheetId="22" hidden="1">{"natgas1",#N/A,FALSE,"u.s. Natural Gas";"natgas2",#N/A,FALSE,"u.s. Natural Gas"}</definedName>
    <definedName name="wrn.natgastab." hidden="1">{"natgas1",#N/A,FALSE,"u.s. Natural Gas";"natgas2",#N/A,FALSE,"u.s. Natural Gas"}</definedName>
    <definedName name="wrn.PRES_OUT." hidden="1">{"page1",#N/A,FALSE,"PRESENTATION";"page2",#N/A,FALSE,"PRESENTATION";#N/A,#N/A,FALSE,"Valuation Summary"}</definedName>
    <definedName name="wrn.Presentation._.Version._.but._.No._.WC._.Slide."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CURRENT._.PAGE." hidden="1">{"CURRENT",#N/A,FALSE,"REGISTER"}</definedName>
    <definedName name="wrn.PRINT_HISTORY." hidden="1">{"HISTORY",#N/A,FALSE,"REGISTER"}</definedName>
    <definedName name="wrn.printall." localSheetId="0" hidden="1">{"page1",#N/A,FALSE,"DCM";"page2",#N/A,FALSE,"DCM";"page3",#N/A,FALSE,"DCM";"page4",#N/A,FALSE,"DCM";"page5",#N/A,FALSE,"DCM";"page6",#N/A,FALSE,"DCM";"page7",#N/A,FALSE,"DCM";"page8",#N/A,FALSE,"DCM"}</definedName>
    <definedName name="wrn.PrintAll." localSheetId="21" hidden="1">{#N/A,#N/A,FALSE,"Notes";#N/A,#N/A,FALSE,"SAVINGS";#N/A,#N/A,FALSE,"BASE Input";#N/A,#N/A,FALSE,"BASE Analysis";#N/A,#N/A,FALSE,"BASE Calibration";#N/A,#N/A,FALSE,"POST Input";#N/A,#N/A,FALSE,"POST Analysis";#N/A,#N/A,FALSE,"POST Calibration"}</definedName>
    <definedName name="wrn.PrintAll." localSheetId="22" hidden="1">{#N/A,#N/A,FALSE,"Notes";#N/A,#N/A,FALSE,"SAVINGS";#N/A,#N/A,FALSE,"BASE Input";#N/A,#N/A,FALSE,"BASE Analysis";#N/A,#N/A,FALSE,"BASE Calibration";#N/A,#N/A,FALSE,"POST Input";#N/A,#N/A,FALSE,"POST Analysis";#N/A,#N/A,FALSE,"POST Calibration"}</definedName>
    <definedName name="wrn.PrintAll." hidden="1">{#N/A,#N/A,FALSE,"Notes";#N/A,#N/A,FALSE,"SAVINGS";#N/A,#N/A,FALSE,"BASE Input";#N/A,#N/A,FALSE,"BASE Analysis";#N/A,#N/A,FALSE,"BASE Calibration";#N/A,#N/A,FALSE,"POST Input";#N/A,#N/A,FALSE,"POST Analysis";#N/A,#N/A,FALSE,"POST Calibration"}</definedName>
    <definedName name="wrn.Rate._.and._.Revenue._.Comparsion." localSheetId="7" hidden="1">{"Consumer Analysis",#N/A,FALSE,"Consumer Analysis";"Comparison to NSP",#N/A,FALSE,"Consumer Analysis"}</definedName>
    <definedName name="wrn.Rate._.and._.Revenue._.Comparsion." localSheetId="21" hidden="1">{"Consumer Analysis",#N/A,FALSE,"Consumer Analysis";"Comparison to NSP",#N/A,FALSE,"Consumer Analysis"}</definedName>
    <definedName name="wrn.Rate._.and._.Revenue._.Comparsion." hidden="1">{"Consumer Analysis",#N/A,FALSE,"Consumer Analysis";"Comparison to NSP",#N/A,FALSE,"Consumer Analysis"}</definedName>
    <definedName name="wrn.savings." localSheetId="21" hidden="1">{#N/A,#N/A,FALSE,"FY97P1";#N/A,#N/A,FALSE,"FY97Z312";#N/A,#N/A,FALSE,"FY97LRBC";#N/A,#N/A,FALSE,"FY97O";#N/A,#N/A,FALSE,"FY97DAM"}</definedName>
    <definedName name="wrn.savings." localSheetId="22" hidden="1">{#N/A,#N/A,FALSE,"FY97P1";#N/A,#N/A,FALSE,"FY97Z312";#N/A,#N/A,FALSE,"FY97LRBC";#N/A,#N/A,FALSE,"FY97O";#N/A,#N/A,FALSE,"FY97DAM"}</definedName>
    <definedName name="wrn.savings." hidden="1">{#N/A,#N/A,FALSE,"FY97P1";#N/A,#N/A,FALSE,"FY97Z312";#N/A,#N/A,FALSE,"FY97LRBC";#N/A,#N/A,FALSE,"FY97O";#N/A,#N/A,FALSE,"FY97DAM"}</definedName>
    <definedName name="wrn.sb._.rpt." localSheetId="21" hidden="1">{#N/A,#N/A,FALSE,"Bldg 75 lean-to T setback";#N/A,#N/A,FALSE,"Bldg 75 hangar T setback";#N/A,#N/A,FALSE,"Bldg 79 lean-to T setback";#N/A,#N/A,FALSE,"Bldg 79 hangar T setback"}</definedName>
    <definedName name="wrn.sb._.rpt." localSheetId="22" hidden="1">{#N/A,#N/A,FALSE,"Bldg 75 lean-to T setback";#N/A,#N/A,FALSE,"Bldg 75 hangar T setback";#N/A,#N/A,FALSE,"Bldg 79 lean-to T setback";#N/A,#N/A,FALSE,"Bldg 79 hangar T setback"}</definedName>
    <definedName name="wrn.sb._.rpt." hidden="1">{#N/A,#N/A,FALSE,"Bldg 75 lean-to T setback";#N/A,#N/A,FALSE,"Bldg 75 hangar T setback";#N/A,#N/A,FALSE,"Bldg 79 lean-to T setback";#N/A,#N/A,FALSE,"Bldg 79 hangar T setback"}</definedName>
    <definedName name="wrn.SINGPROD." localSheetId="21" hidden="1">{"singcurrent1",#N/A,FALSE,"SING MARG";"SINGCURRENT2",#N/A,FALSE,"SING MARG";"SINGCONSTANT",#N/A,FALSE,"SING MARG"}</definedName>
    <definedName name="wrn.SINGPROD." localSheetId="22" hidden="1">{"singcurrent1",#N/A,FALSE,"SING MARG";"SINGCURRENT2",#N/A,FALSE,"SING MARG";"SINGCONSTANT",#N/A,FALSE,"SING MARG"}</definedName>
    <definedName name="wrn.SINGPROD." hidden="1">{"singcurrent1",#N/A,FALSE,"SING MARG";"SINGCURRENT2",#N/A,FALSE,"SING MARG";"SINGCONSTANT",#N/A,FALSE,"SING MARG"}</definedName>
    <definedName name="wrn.Stmlks." localSheetId="21" hidden="1">{#N/A,#N/A,TRUE,"Sheet1";#N/A,#N/A,TRUE,"Sheet2 (2)"}</definedName>
    <definedName name="wrn.Stmlks." localSheetId="22" hidden="1">{#N/A,#N/A,TRUE,"Sheet1";#N/A,#N/A,TRUE,"Sheet2 (2)"}</definedName>
    <definedName name="wrn.Stmlks." hidden="1">{#N/A,#N/A,TRUE,"Sheet1";#N/A,#N/A,TRUE,"Sheet2 (2)"}</definedName>
    <definedName name="wrn.sum1." hidden="1">{"Summary","1",FALSE,"Summary"}</definedName>
    <definedName name="wrn.Summary." hidden="1">{"page1",#N/A,FALSE,"DCM";"page3",#N/A,FALSE,"DCM"}</definedName>
    <definedName name="wrn.tableeurlpg." localSheetId="21" hidden="1">{"eurlpg1",#N/A,FALSE,"europe LPG";"eurlpg2",#N/A,FALSE,"europe LPG"}</definedName>
    <definedName name="wrn.tableeurlpg." localSheetId="22" hidden="1">{"eurlpg1",#N/A,FALSE,"europe LPG";"eurlpg2",#N/A,FALSE,"europe LPG"}</definedName>
    <definedName name="wrn.tableeurlpg." hidden="1">{"eurlpg1",#N/A,FALSE,"europe LPG";"eurlpg2",#N/A,FALSE,"europe LPG"}</definedName>
    <definedName name="wrn.tablejap." localSheetId="21" hidden="1">{"japcurrent1",#N/A,FALSE,"JAPAN PRODUCTS";"japcurrent2",#N/A,FALSE,"JAPAN PRODUCTS"}</definedName>
    <definedName name="wrn.tablejap." localSheetId="22" hidden="1">{"japcurrent1",#N/A,FALSE,"JAPAN PRODUCTS";"japcurrent2",#N/A,FALSE,"JAPAN PRODUCTS"}</definedName>
    <definedName name="wrn.tablejap." hidden="1">{"japcurrent1",#N/A,FALSE,"JAPAN PRODUCTS";"japcurrent2",#N/A,FALSE,"JAPAN PRODUCTS"}</definedName>
    <definedName name="wrn.tablejaplpg." localSheetId="21" hidden="1">{"japlpg1",#N/A,FALSE,"JAPAN LPG ";"japllpg2",#N/A,FALSE,"JAPAN LPG "}</definedName>
    <definedName name="wrn.tablejaplpg." localSheetId="22" hidden="1">{"japlpg1",#N/A,FALSE,"JAPAN LPG ";"japllpg2",#N/A,FALSE,"JAPAN LPG "}</definedName>
    <definedName name="wrn.tablejaplpg." hidden="1">{"japlpg1",#N/A,FALSE,"JAPAN LPG ";"japllpg2",#N/A,FALSE,"JAPAN LPG "}</definedName>
    <definedName name="wrn.tablemeastlpg." localSheetId="21" hidden="1">{"midlpg1",#N/A,FALSE,"MIDEAST LPG";"midlpg2",#N/A,FALSE,"MIDEAST LPG"}</definedName>
    <definedName name="wrn.tablemeastlpg." localSheetId="22" hidden="1">{"midlpg1",#N/A,FALSE,"MIDEAST LPG";"midlpg2",#N/A,FALSE,"MIDEAST LPG"}</definedName>
    <definedName name="wrn.tablemeastlpg." hidden="1">{"midlpg1",#N/A,FALSE,"MIDEAST LPG";"midlpg2",#N/A,FALSE,"MIDEAST LPG"}</definedName>
    <definedName name="wrn.TABLEMED." localSheetId="21" hidden="1">{"medcurrent1",#N/A,FALSE,"MED MARGINS";"medcurrent2",#N/A,FALSE,"MED MARGINS";"medconstant",#N/A,FALSE,"MED MARGINS"}</definedName>
    <definedName name="wrn.TABLEMED." localSheetId="22" hidden="1">{"medcurrent1",#N/A,FALSE,"MED MARGINS";"medcurrent2",#N/A,FALSE,"MED MARGINS";"medconstant",#N/A,FALSE,"MED MARGINS"}</definedName>
    <definedName name="wrn.TABLEMED." hidden="1">{"medcurrent1",#N/A,FALSE,"MED MARGINS";"medcurrent2",#N/A,FALSE,"MED MARGINS";"medconstant",#N/A,FALSE,"MED MARGINS"}</definedName>
    <definedName name="wrn.tablemideast." localSheetId="21" hidden="1">{"midcurrent1",#N/A,FALSE,"ARAB GULF PRODUCTS";"midcurrent2",#N/A,FALSE,"ARAB GULF PRODUCTS"}</definedName>
    <definedName name="wrn.tablemideast." localSheetId="22" hidden="1">{"midcurrent1",#N/A,FALSE,"ARAB GULF PRODUCTS";"midcurrent2",#N/A,FALSE,"ARAB GULF PRODUCTS"}</definedName>
    <definedName name="wrn.tablemideast." hidden="1">{"midcurrent1",#N/A,FALSE,"ARAB GULF PRODUCTS";"midcurrent2",#N/A,FALSE,"ARAB GULF PRODUCTS"}</definedName>
    <definedName name="wrn.tablengl." localSheetId="21" hidden="1">{"ngl1",#N/A,FALSE,"u.s. NGL";"ngl2",#N/A,FALSE,"u.s. NGL"}</definedName>
    <definedName name="wrn.tablengl." localSheetId="22" hidden="1">{"ngl1",#N/A,FALSE,"u.s. NGL";"ngl2",#N/A,FALSE,"u.s. NGL"}</definedName>
    <definedName name="wrn.tablengl." hidden="1">{"ngl1",#N/A,FALSE,"u.s. NGL";"ngl2",#N/A,FALSE,"u.s. NGL"}</definedName>
    <definedName name="wrn.TABLENWE." localSheetId="21" hidden="1">{"nwecurrent1",#N/A,FALSE,"NWE MARGINS";"nwecurrent2",#N/A,FALSE,"NWE MARGINS";"nweconstant",#N/A,FALSE,"NWE MARGINS"}</definedName>
    <definedName name="wrn.TABLENWE." localSheetId="22" hidden="1">{"nwecurrent1",#N/A,FALSE,"NWE MARGINS";"nwecurrent2",#N/A,FALSE,"NWE MARGINS";"nweconstant",#N/A,FALSE,"NWE MARGINS"}</definedName>
    <definedName name="wrn.TABLENWE." hidden="1">{"nwecurrent1",#N/A,FALSE,"NWE MARGINS";"nwecurrent2",#N/A,FALSE,"NWE MARGINS";"nweconstant",#N/A,FALSE,"NWE MARGINS"}</definedName>
    <definedName name="wrn.tableprod." localSheetId="21" hidden="1">{"current1",#N/A,FALSE,"US PRODUCTS";"current2",#N/A,FALSE,"US PRODUCTS";"constant",#N/A,FALSE,"US PRODUCTS"}</definedName>
    <definedName name="wrn.tableprod." localSheetId="22" hidden="1">{"current1",#N/A,FALSE,"US PRODUCTS";"current2",#N/A,FALSE,"US PRODUCTS";"constant",#N/A,FALSE,"US PRODUCTS"}</definedName>
    <definedName name="wrn.tableprod." hidden="1">{"current1",#N/A,FALSE,"US PRODUCTS";"current2",#N/A,FALSE,"US PRODUCTS";"constant",#N/A,FALSE,"US PRODUCTS"}</definedName>
    <definedName name="wrn.total." localSheetId="21" hidden="1">{#N/A,#N/A,FALSE,"Summary";#N/A,#N/A,FALSE,"Berkeley";#N/A,#N/A,FALSE,"HS";#N/A,#N/A,FALSE,"Brookside";#N/A,#N/A,FALSE,"George";#N/A,#N/A,FALSE,"Ketler";#N/A,#N/A,FALSE,"Washington"}</definedName>
    <definedName name="wrn.total." localSheetId="22" hidden="1">{#N/A,#N/A,FALSE,"Summary";#N/A,#N/A,FALSE,"Berkeley";#N/A,#N/A,FALSE,"HS";#N/A,#N/A,FALSE,"Brookside";#N/A,#N/A,FALSE,"George";#N/A,#N/A,FALSE,"Ketler";#N/A,#N/A,FALSE,"Washington"}</definedName>
    <definedName name="wrn.total." hidden="1">{#N/A,#N/A,FALSE,"Summary";#N/A,#N/A,FALSE,"Berkeley";#N/A,#N/A,FALSE,"HS";#N/A,#N/A,FALSE,"Brookside";#N/A,#N/A,FALSE,"George";#N/A,#N/A,FALSE,"Ketler";#N/A,#N/A,FALSE,"Washington"}</definedName>
    <definedName name="wrn.ttl" localSheetId="21" hidden="1">{#N/A,#N/A,FALSE,"Summary";#N/A,#N/A,FALSE,"Berkeley";#N/A,#N/A,FALSE,"HS";#N/A,#N/A,FALSE,"Brookside";#N/A,#N/A,FALSE,"George";#N/A,#N/A,FALSE,"Ketler";#N/A,#N/A,FALSE,"Washington"}</definedName>
    <definedName name="wrn.ttl" localSheetId="22" hidden="1">{#N/A,#N/A,FALSE,"Summary";#N/A,#N/A,FALSE,"Berkeley";#N/A,#N/A,FALSE,"HS";#N/A,#N/A,FALSE,"Brookside";#N/A,#N/A,FALSE,"George";#N/A,#N/A,FALSE,"Ketler";#N/A,#N/A,FALSE,"Washington"}</definedName>
    <definedName name="wrn.ttl" hidden="1">{#N/A,#N/A,FALSE,"Summary";#N/A,#N/A,FALSE,"Berkeley";#N/A,#N/A,FALSE,"HS";#N/A,#N/A,FALSE,"Brookside";#N/A,#N/A,FALSE,"George";#N/A,#N/A,FALSE,"Ketler";#N/A,#N/A,FALSE,"Washington"}</definedName>
    <definedName name="wrn.Working._.Version."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papers." hidden="1">{#N/A,#N/A,FALSE,"Inputs And Assumptions";#N/A,#N/A,FALSE,"Revenue Allocation";#N/A,#N/A,FALSE,"RSP Surch Allocations";#N/A,#N/A,FALSE,"Generation Calculations";#N/A,#N/A,FALSE,"Test Year 2001 Sales and Revs."}</definedName>
    <definedName name="wrn1.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printall" hidden="1">{"page1",#N/A,FALSE,"DCM";"page2",#N/A,FALSE,"DCM";"page3",#N/A,FALSE,"DCM";"page4",#N/A,FALSE,"DCM";"page5",#N/A,FALSE,"DCM";"page6",#N/A,FALSE,"DCM";"page7",#N/A,FALSE,"DCM";"page8",#N/A,FALSE,"DCM"}</definedName>
    <definedName name="wwwwwwwwwww" hidden="1">#REF!</definedName>
    <definedName name="XReCopy8" hidden="1">#REF!</definedName>
    <definedName name="XREF_COLUMN_1" hidden="1">#REF!</definedName>
    <definedName name="XREF_COLUMN_10" hidden="1">#REF!</definedName>
    <definedName name="XREF_COLUMN_11" hidden="1">#REF!</definedName>
    <definedName name="XREF_COLUMN_12" hidden="1">#REF!</definedName>
    <definedName name="XREF_COLUMN_13"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_COLUMN_8" hidden="1">#REF!</definedName>
    <definedName name="XREF_COLUMN_9" hidden="1">#REF!</definedName>
    <definedName name="XRefActiveRow" hidden="1">#REF!</definedName>
    <definedName name="XRefCopy1" localSheetId="14" hidden="1">TextRefCopy1</definedName>
    <definedName name="XRefCopy1" localSheetId="15" hidden="1">TextRefCopy1</definedName>
    <definedName name="XRefCopy1" localSheetId="16" hidden="1">TextRefCopy1</definedName>
    <definedName name="XRefCopy1" localSheetId="13" hidden="1">TextRefCopy1</definedName>
    <definedName name="XRefCopy1" localSheetId="21" hidden="1">TextRefCopy1</definedName>
    <definedName name="XRefCopy1" localSheetId="22" hidden="1">TextRefCopy1</definedName>
    <definedName name="XRefCopy1" localSheetId="9" hidden="1">TextRefCopy1</definedName>
    <definedName name="XRefCopy1" hidden="1">TextRefCopy1</definedName>
    <definedName name="XRefCopy10" localSheetId="22" hidden="1">#REF!</definedName>
    <definedName name="XRefCopy10" hidden="1">#REF!</definedName>
    <definedName name="XRefCopy10Row" localSheetId="22" hidden="1">#REF!</definedName>
    <definedName name="XRefCopy10Row" hidden="1">#REF!</definedName>
    <definedName name="XRefCopy11" localSheetId="22" hidden="1">#REF!</definedName>
    <definedName name="XRefCopy11" hidden="1">#REF!</definedName>
    <definedName name="XRefCopy11Row" hidden="1">#REF!</definedName>
    <definedName name="XRefCopy12" hidden="1">#REF!</definedName>
    <definedName name="XRefCopy12Row" hidden="1">#REF!</definedName>
    <definedName name="XRefCopy13"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7" hidden="1">#REF!</definedName>
    <definedName name="XRefCopy17Row" hidden="1">#REF!</definedName>
    <definedName name="XRefCopy18" hidden="1">#REF!</definedName>
    <definedName name="XRefCopy19" hidden="1">#REF!</definedName>
    <definedName name="XRefCopy19Row"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3" hidden="1">#REF!</definedName>
    <definedName name="XRefCopy23Row" hidden="1">#REF!</definedName>
    <definedName name="XRefCopy24" hidden="1">#REF!</definedName>
    <definedName name="XRefCopy24Row" hidden="1">#REF!</definedName>
    <definedName name="XRefCopy25" hidden="1">#REF!</definedName>
    <definedName name="XRefCopy25Row" hidden="1">#REF!</definedName>
    <definedName name="XRefCopy26" hidden="1">#REF!</definedName>
    <definedName name="XRefCopy26Row" hidden="1">#REF!</definedName>
    <definedName name="XRefCopy27" hidden="1">#REF!</definedName>
    <definedName name="XRefCopy28" hidden="1">#REF!</definedName>
    <definedName name="XRefCopy29" hidden="1">#REF!</definedName>
    <definedName name="XRefCopy29Row" hidden="1">#REF!</definedName>
    <definedName name="XRefCopy3" hidden="1">#REF!</definedName>
    <definedName name="XRefCopy30" hidden="1">#REF!</definedName>
    <definedName name="XRefCopy30Row" hidden="1">#REF!</definedName>
    <definedName name="XRefCopy31" hidden="1">#REF!</definedName>
    <definedName name="XRefCopy31Row" hidden="1">#REF!</definedName>
    <definedName name="XRefCopy32" hidden="1">#REF!</definedName>
    <definedName name="XRefCopy33" hidden="1">#REF!</definedName>
    <definedName name="XRefCopy33Row" hidden="1">#REF!</definedName>
    <definedName name="XRefCopy34" hidden="1">#REF!</definedName>
    <definedName name="XRefCopy34Row" hidden="1">#REF!</definedName>
    <definedName name="XRefCopy35" hidden="1">#REF!</definedName>
    <definedName name="XRefCopy35Row" hidden="1">#REF!</definedName>
    <definedName name="XRefCopy36" hidden="1">#REF!</definedName>
    <definedName name="XRefCopy36Row" hidden="1">#REF!</definedName>
    <definedName name="XRefCopy37" hidden="1">#REF!</definedName>
    <definedName name="XRefCopy37Row" hidden="1">#REF!</definedName>
    <definedName name="XRefCopy38" hidden="1">#REF!</definedName>
    <definedName name="XRefCopy38Row" hidden="1">#REF!</definedName>
    <definedName name="XRefCopy39" hidden="1">#REF!</definedName>
    <definedName name="XRefCopy39Row" hidden="1">#REF!</definedName>
    <definedName name="XRefCopy3Row" hidden="1">#REF!</definedName>
    <definedName name="XRefCopy4" hidden="1">#REF!</definedName>
    <definedName name="XRefCopy40" hidden="1">#REF!</definedName>
    <definedName name="XRefCopy40Row" hidden="1">#REF!</definedName>
    <definedName name="XRefCopy41" hidden="1">#REF!</definedName>
    <definedName name="XRefCopy41Row" hidden="1">#REF!</definedName>
    <definedName name="XRefCopy4Row" hidden="1">#REF!</definedName>
    <definedName name="XRefCopy5" hidden="1">#REF!</definedName>
    <definedName name="XRefCopy5Row" hidden="1">#REF!</definedName>
    <definedName name="XRefCopy6" hidden="1">#REF!</definedName>
    <definedName name="XRefCopy64"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Paste1"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 hidden="1">#REF!</definedName>
    <definedName name="XRefPaste15Row" hidden="1">#REF!</definedName>
    <definedName name="XRefPaste16" hidden="1">#REF!</definedName>
    <definedName name="XRefPaste16Row" hidden="1">#REF!</definedName>
    <definedName name="XRefPaste17" hidden="1">#REF!</definedName>
    <definedName name="XRefPaste17Row" hidden="1">#REF!</definedName>
    <definedName name="XRefPaste18" hidden="1">#REF!</definedName>
    <definedName name="XRefPaste18Row" hidden="1">#REF!</definedName>
    <definedName name="XRefPaste19" hidden="1">#REF!</definedName>
    <definedName name="XRefPaste19Row" hidden="1">#REF!</definedName>
    <definedName name="XRefPaste2" hidden="1">#REF!</definedName>
    <definedName name="XRefPaste20" hidden="1">#REF!</definedName>
    <definedName name="XRefPaste20Row" hidden="1">#REF!</definedName>
    <definedName name="XRefPaste21" hidden="1">#REF!</definedName>
    <definedName name="XRefPaste21Row" hidden="1">#REF!</definedName>
    <definedName name="XRefPaste22" hidden="1">#REF!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 hidden="1">#REF!</definedName>
    <definedName name="XRefPaste25Row" hidden="1">#REF!</definedName>
    <definedName name="XRefPaste26" hidden="1">#REF!</definedName>
    <definedName name="XRefPaste26Row" hidden="1">#REF!</definedName>
    <definedName name="XRefPaste27" hidden="1">#REF!</definedName>
    <definedName name="XRefPaste27Row" hidden="1">#REF!</definedName>
    <definedName name="XRefPaste28" hidden="1">#REF!</definedName>
    <definedName name="XRefPaste28Row" hidden="1">#REF!</definedName>
    <definedName name="XRefPaste29" hidden="1">#REF!</definedName>
    <definedName name="XRefPaste29Row" hidden="1">#REF!</definedName>
    <definedName name="XRefPaste2Row" hidden="1">#REF!</definedName>
    <definedName name="XRefPaste30" hidden="1">#REF!</definedName>
    <definedName name="XRefPaste30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4" hidden="1">#REF!</definedName>
    <definedName name="XRefPaste34Row" hidden="1">#REF!</definedName>
    <definedName name="XRefPaste4" hidden="1">#REF!</definedName>
    <definedName name="XRefPaste41Row" hidden="1">#REF!</definedName>
    <definedName name="XRefPaste4Row" hidden="1">#REF!</definedName>
    <definedName name="XRefPaste5" hidden="1">#REF!</definedName>
    <definedName name="XRefPaste5Row" hidden="1">#REF!</definedName>
    <definedName name="XRefPaste6" hidden="1">#REF!</definedName>
    <definedName name="XRefPaste6Row" hidden="1">#REF!</definedName>
    <definedName name="XRefPaste7Row" hidden="1">#REF!</definedName>
    <definedName name="XRefPaste8Row" hidden="1">#REF!</definedName>
    <definedName name="XRefPaste9Row" hidden="1">#REF!</definedName>
    <definedName name="Y" hidden="1">#REF!</definedName>
    <definedName name="yjyjy" localSheetId="22" hidden="1">#REF!</definedName>
    <definedName name="yjyjy" hidden="1">#REF!</definedName>
    <definedName name="yy" localSheetId="22" hidden="1">#REF!</definedName>
    <definedName name="yy" hidden="1">#REF!</definedName>
    <definedName name="YYYYYYYY" localSheetId="22" hidden="1">#REF!</definedName>
    <definedName name="YYYYYYYY" hidden="1">#REF!</definedName>
    <definedName name="Z_28888BE0_7404_4A31_96EF_A64083D64E89_.wvu.Cols" localSheetId="7" hidden="1">'Consumer Analysis - Lighting'!$I:$J</definedName>
    <definedName name="Z_28888BE0_7404_4A31_96EF_A64083D64E89_.wvu.PrintArea" localSheetId="7" hidden="1">'Consumer Analysis - Lighting'!$B$1:$R$138</definedName>
    <definedName name="Z_28888BE0_7404_4A31_96EF_A64083D64E89_.wvu.PrintTitles" localSheetId="7" hidden="1">'Consumer Analysis - Lighting'!$1:$18</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2" i="17" l="1"/>
  <c r="Y22" i="17"/>
  <c r="Z10" i="18"/>
  <c r="L88" i="18"/>
  <c r="L89" i="18"/>
  <c r="L90" i="18"/>
  <c r="L91" i="18"/>
  <c r="L92" i="18"/>
  <c r="L87" i="18"/>
  <c r="Z27" i="18" l="1"/>
  <c r="H193" i="18"/>
  <c r="H194" i="18" s="1"/>
  <c r="H191" i="18"/>
  <c r="U40" i="16"/>
  <c r="V40" i="16"/>
  <c r="T40" i="16"/>
  <c r="B4" i="75"/>
  <c r="D4" i="75" l="1"/>
  <c r="D4" i="70"/>
  <c r="D3" i="70"/>
  <c r="D3" i="75"/>
  <c r="T93" i="22"/>
  <c r="T90" i="22"/>
  <c r="T87" i="22"/>
  <c r="T84" i="22"/>
  <c r="T82" i="22"/>
  <c r="T79" i="22"/>
  <c r="T76" i="22"/>
  <c r="T74" i="22"/>
  <c r="T71" i="22"/>
  <c r="T69" i="22"/>
  <c r="T68" i="22"/>
  <c r="T67" i="22"/>
  <c r="T66" i="22"/>
  <c r="T65" i="22"/>
  <c r="T64" i="22"/>
  <c r="T59" i="22"/>
  <c r="T58" i="22"/>
  <c r="T57" i="22"/>
  <c r="T56" i="22"/>
  <c r="T55" i="22"/>
  <c r="T54" i="22"/>
  <c r="T53" i="22"/>
  <c r="T52" i="22"/>
  <c r="T49" i="22"/>
  <c r="T47" i="22"/>
  <c r="T44" i="22"/>
  <c r="T43" i="22"/>
  <c r="T42" i="22"/>
  <c r="T41" i="22"/>
  <c r="T39" i="22"/>
  <c r="T38" i="22"/>
  <c r="T37" i="22"/>
  <c r="T36" i="22"/>
  <c r="N36" i="22"/>
  <c r="M36" i="22"/>
  <c r="H36" i="22"/>
  <c r="D36" i="22"/>
  <c r="T35" i="22"/>
  <c r="H34" i="22"/>
  <c r="D34" i="22"/>
  <c r="H32" i="22"/>
  <c r="F32" i="22"/>
  <c r="E32" i="22"/>
  <c r="D32" i="22"/>
  <c r="T31" i="22"/>
  <c r="T30" i="22"/>
  <c r="H30" i="22"/>
  <c r="D30" i="22"/>
  <c r="T29" i="22"/>
  <c r="T28" i="22"/>
  <c r="N28" i="22"/>
  <c r="M28" i="22"/>
  <c r="I28" i="22"/>
  <c r="H28" i="22"/>
  <c r="D28" i="22"/>
  <c r="T27" i="22"/>
  <c r="T26" i="22"/>
  <c r="N24" i="22"/>
  <c r="M24" i="22"/>
  <c r="I24" i="22"/>
  <c r="H24" i="22"/>
  <c r="D24" i="22"/>
  <c r="T22" i="22"/>
  <c r="N22" i="22"/>
  <c r="M22" i="22"/>
  <c r="I22" i="22"/>
  <c r="H22" i="22"/>
  <c r="D22" i="22"/>
  <c r="T21" i="22"/>
  <c r="T20" i="22"/>
  <c r="N20" i="22"/>
  <c r="M20" i="22"/>
  <c r="I20" i="22"/>
  <c r="H20" i="22"/>
  <c r="D20" i="22"/>
  <c r="T19" i="22"/>
  <c r="T18" i="22"/>
  <c r="N18" i="22"/>
  <c r="M18" i="22"/>
  <c r="I18" i="22"/>
  <c r="H18" i="22"/>
  <c r="D18" i="22"/>
  <c r="T17" i="22"/>
  <c r="T16" i="22"/>
  <c r="H16" i="22"/>
  <c r="D16" i="22"/>
  <c r="J14" i="22"/>
  <c r="I14" i="22"/>
  <c r="H14" i="22"/>
  <c r="F14" i="22"/>
  <c r="E14" i="22"/>
  <c r="D14" i="22"/>
  <c r="I12" i="22"/>
  <c r="H12" i="22"/>
  <c r="D12" i="22"/>
  <c r="I10" i="22"/>
  <c r="H10" i="22"/>
  <c r="D10" i="22"/>
  <c r="T6" i="22"/>
  <c r="I6" i="22"/>
  <c r="H6" i="22"/>
  <c r="D6" i="22"/>
  <c r="T5" i="22"/>
  <c r="Z158" i="17"/>
  <c r="Z157" i="17"/>
  <c r="Z154" i="17"/>
  <c r="Z146" i="17"/>
  <c r="Z140" i="17"/>
  <c r="Z139" i="17"/>
  <c r="Z136" i="17"/>
  <c r="Z128" i="17"/>
  <c r="Z119" i="17"/>
  <c r="Z118" i="17"/>
  <c r="Z115" i="17"/>
  <c r="Z106" i="17"/>
  <c r="Z105" i="17"/>
  <c r="Z102" i="17"/>
  <c r="Z93" i="17"/>
  <c r="Z92" i="17"/>
  <c r="Z89" i="17"/>
  <c r="Z80" i="17"/>
  <c r="Z79" i="17"/>
  <c r="Z76" i="17"/>
  <c r="Z67" i="17"/>
  <c r="Z66" i="17"/>
  <c r="Z63" i="17"/>
  <c r="Z31" i="17"/>
  <c r="BN158" i="17"/>
  <c r="BM158" i="17"/>
  <c r="BL158" i="17"/>
  <c r="BN157" i="17"/>
  <c r="BM157" i="17"/>
  <c r="BL157" i="17"/>
  <c r="BN154" i="17"/>
  <c r="BM154" i="17"/>
  <c r="BL154" i="17"/>
  <c r="BN146" i="17"/>
  <c r="BM146" i="17"/>
  <c r="BL146" i="17"/>
  <c r="BN140" i="17"/>
  <c r="BM140" i="17"/>
  <c r="BL140" i="17"/>
  <c r="BN139" i="17"/>
  <c r="BM139" i="17"/>
  <c r="BL139" i="17"/>
  <c r="BN136" i="17"/>
  <c r="BM136" i="17"/>
  <c r="BL136" i="17"/>
  <c r="BN128" i="17"/>
  <c r="BM128" i="17"/>
  <c r="BL128" i="17"/>
  <c r="BN119" i="17"/>
  <c r="BM119" i="17"/>
  <c r="BL119" i="17"/>
  <c r="BN118" i="17"/>
  <c r="BM118" i="17"/>
  <c r="BL118" i="17"/>
  <c r="BN115" i="17"/>
  <c r="BM115" i="17"/>
  <c r="BL115" i="17"/>
  <c r="BN106" i="17"/>
  <c r="BM106" i="17"/>
  <c r="BL106" i="17"/>
  <c r="BN105" i="17"/>
  <c r="BM105" i="17"/>
  <c r="BL105" i="17"/>
  <c r="BN102" i="17"/>
  <c r="BM102" i="17"/>
  <c r="BL102" i="17"/>
  <c r="BN93" i="17"/>
  <c r="BM93" i="17"/>
  <c r="BL93" i="17"/>
  <c r="BN92" i="17"/>
  <c r="BM92" i="17"/>
  <c r="BL92" i="17"/>
  <c r="BN89" i="17"/>
  <c r="BM89" i="17"/>
  <c r="BL89" i="17"/>
  <c r="BN80" i="17"/>
  <c r="BM80" i="17"/>
  <c r="BL80" i="17"/>
  <c r="BN79" i="17"/>
  <c r="BM79" i="17"/>
  <c r="BL79" i="17"/>
  <c r="BN76" i="17"/>
  <c r="BM76" i="17"/>
  <c r="BL76" i="17"/>
  <c r="BN67" i="17"/>
  <c r="BM67" i="17"/>
  <c r="BL67" i="17"/>
  <c r="BN66" i="17"/>
  <c r="BM66" i="17"/>
  <c r="BL66" i="17"/>
  <c r="BN63" i="17"/>
  <c r="BM63" i="17"/>
  <c r="BL63" i="17"/>
  <c r="BN55" i="17"/>
  <c r="BM55" i="17"/>
  <c r="BL55" i="17"/>
  <c r="BN43" i="17"/>
  <c r="BM43" i="17"/>
  <c r="BL43" i="17"/>
  <c r="BN42" i="17"/>
  <c r="BM42" i="17"/>
  <c r="BL42" i="17"/>
  <c r="BN41" i="17"/>
  <c r="BM41" i="17"/>
  <c r="BL41" i="17"/>
  <c r="BN31" i="17"/>
  <c r="BM31" i="17"/>
  <c r="BL31" i="17"/>
  <c r="BN22" i="17"/>
  <c r="BM22" i="17"/>
  <c r="BL22" i="17"/>
  <c r="BN13" i="17"/>
  <c r="BM13" i="17"/>
  <c r="BL13" i="17"/>
  <c r="X10" i="18" l="1"/>
  <c r="C9" i="52"/>
  <c r="C8" i="52" s="1"/>
  <c r="C11" i="52" l="1" a="1"/>
  <c r="C11" i="52" s="1"/>
  <c r="C14" i="52" a="1"/>
  <c r="C14" i="52" s="1"/>
  <c r="C12" i="52" a="1"/>
  <c r="C12" i="52" s="1"/>
  <c r="C10" i="52" a="1"/>
  <c r="C10" i="52" s="1"/>
  <c r="E11" i="29" s="1"/>
  <c r="C13" i="52" a="1"/>
  <c r="C13" i="52" s="1"/>
  <c r="Z46" i="18"/>
  <c r="Z47" i="18"/>
  <c r="Z48" i="18"/>
  <c r="AI39" i="16" l="1"/>
  <c r="AD39" i="16"/>
  <c r="Y39" i="16"/>
  <c r="AJ16" i="16" l="1"/>
  <c r="AE16" i="16"/>
  <c r="U38" i="16"/>
  <c r="V38" i="16"/>
  <c r="Z16" i="16"/>
  <c r="Z133" i="18" l="1"/>
  <c r="Z128" i="18"/>
  <c r="Z123" i="18"/>
  <c r="Z115" i="18"/>
  <c r="Z101" i="18"/>
  <c r="Z96" i="18"/>
  <c r="Z92" i="18"/>
  <c r="Z91" i="18"/>
  <c r="Z90" i="18"/>
  <c r="Z89" i="18"/>
  <c r="Z88" i="18"/>
  <c r="Z87" i="18"/>
  <c r="Z79" i="18"/>
  <c r="Z78" i="18"/>
  <c r="Z77" i="18"/>
  <c r="Z76" i="18"/>
  <c r="Z75" i="18"/>
  <c r="Z74" i="18"/>
  <c r="Z73" i="18"/>
  <c r="Z67" i="18"/>
  <c r="C19" i="59" l="1"/>
  <c r="E12" i="59"/>
  <c r="C17" i="59"/>
  <c r="C20" i="59" l="1"/>
  <c r="C11" i="59" s="1"/>
  <c r="E11" i="59" s="1"/>
  <c r="E13" i="59" s="1"/>
  <c r="D3" i="59"/>
  <c r="E3" i="59"/>
  <c r="C3" i="59"/>
  <c r="AB48" i="18" l="1"/>
  <c r="AA48" i="18"/>
  <c r="AB47" i="18"/>
  <c r="AA47" i="18"/>
  <c r="AB46" i="18"/>
  <c r="AA46" i="18"/>
  <c r="AK142" i="18"/>
  <c r="AL142" i="18" s="1"/>
  <c r="AK143" i="18"/>
  <c r="AL143" i="18" s="1"/>
  <c r="AK141" i="18"/>
  <c r="AL141" i="18" s="1"/>
  <c r="AL144" i="18" s="1"/>
  <c r="AJ142" i="18"/>
  <c r="AJ143" i="18"/>
  <c r="AJ141" i="18"/>
  <c r="AH134" i="18"/>
  <c r="AH132" i="18"/>
  <c r="AM132" i="18" s="1"/>
  <c r="AG132" i="18"/>
  <c r="AH131" i="18"/>
  <c r="AM131" i="18" s="1"/>
  <c r="AG131" i="18"/>
  <c r="AH130" i="18"/>
  <c r="AM130" i="18" s="1"/>
  <c r="AG130" i="18"/>
  <c r="AH129" i="18"/>
  <c r="AM129" i="18" s="1"/>
  <c r="AH127" i="18"/>
  <c r="AM127" i="18" s="1"/>
  <c r="AG127" i="18"/>
  <c r="AH126" i="18"/>
  <c r="AM126" i="18" s="1"/>
  <c r="AG126" i="18"/>
  <c r="AH125" i="18"/>
  <c r="AM125" i="18" s="1"/>
  <c r="AG125" i="18"/>
  <c r="AH124" i="18"/>
  <c r="AM124" i="18" s="1"/>
  <c r="AH122" i="18"/>
  <c r="AM122" i="18" s="1"/>
  <c r="AG122" i="18"/>
  <c r="AH121" i="18"/>
  <c r="AM121" i="18" s="1"/>
  <c r="AG121" i="18"/>
  <c r="AJ121" i="18" s="1"/>
  <c r="AH120" i="18"/>
  <c r="AM120" i="18" s="1"/>
  <c r="AG120" i="18"/>
  <c r="AH119" i="18"/>
  <c r="AM119" i="18" s="1"/>
  <c r="AH117" i="18"/>
  <c r="AM117" i="18" s="1"/>
  <c r="AG117" i="18"/>
  <c r="AH116" i="18"/>
  <c r="AM116" i="18" s="1"/>
  <c r="AG116" i="18"/>
  <c r="AJ116" i="18" s="1"/>
  <c r="AH114" i="18"/>
  <c r="AM114" i="18" s="1"/>
  <c r="AG114" i="18"/>
  <c r="AH113" i="18"/>
  <c r="AM113" i="18" s="1"/>
  <c r="AG113" i="18"/>
  <c r="AH112" i="18"/>
  <c r="AM112" i="18" s="1"/>
  <c r="AG112" i="18"/>
  <c r="AH111" i="18"/>
  <c r="AM111" i="18" s="1"/>
  <c r="AH109" i="18"/>
  <c r="AM109" i="18" s="1"/>
  <c r="AG109" i="18"/>
  <c r="AH108" i="18"/>
  <c r="AM108" i="18" s="1"/>
  <c r="AG108" i="18"/>
  <c r="AH107" i="18"/>
  <c r="AM107" i="18" s="1"/>
  <c r="AG107" i="18"/>
  <c r="AH106" i="18"/>
  <c r="AM106" i="18" s="1"/>
  <c r="AG106" i="18"/>
  <c r="AJ106" i="18" s="1"/>
  <c r="AH105" i="18"/>
  <c r="AM105" i="18" s="1"/>
  <c r="AH103" i="18"/>
  <c r="AM103" i="18" s="1"/>
  <c r="AG103" i="18"/>
  <c r="AJ103" i="18" s="1"/>
  <c r="AH102" i="18"/>
  <c r="AM102" i="18" s="1"/>
  <c r="AG102" i="18"/>
  <c r="AH100" i="18"/>
  <c r="AM100" i="18" s="1"/>
  <c r="AG100" i="18"/>
  <c r="AJ100" i="18" s="1"/>
  <c r="AH99" i="18"/>
  <c r="AM99" i="18" s="1"/>
  <c r="AG99" i="18"/>
  <c r="AH98" i="18"/>
  <c r="AM98" i="18" s="1"/>
  <c r="AG98" i="18"/>
  <c r="AH97" i="18"/>
  <c r="AM97" i="18" s="1"/>
  <c r="AH95" i="18"/>
  <c r="AM95" i="18" s="1"/>
  <c r="AG95" i="18"/>
  <c r="AH94" i="18"/>
  <c r="AM94" i="18" s="1"/>
  <c r="AG94" i="18"/>
  <c r="AH93" i="18"/>
  <c r="AM93" i="18" s="1"/>
  <c r="AG93" i="18"/>
  <c r="AJ93" i="18" s="1"/>
  <c r="AH86" i="18"/>
  <c r="AM86" i="18" s="1"/>
  <c r="AG86" i="18"/>
  <c r="AH85" i="18"/>
  <c r="AM85" i="18" s="1"/>
  <c r="AG85" i="18"/>
  <c r="AJ85" i="18" s="1"/>
  <c r="AH84" i="18"/>
  <c r="AM84" i="18" s="1"/>
  <c r="AG84" i="18"/>
  <c r="AH83" i="18"/>
  <c r="AM83" i="18" s="1"/>
  <c r="AG83" i="18"/>
  <c r="AJ83" i="18" s="1"/>
  <c r="AH82" i="18"/>
  <c r="AM82" i="18" s="1"/>
  <c r="AG82" i="18"/>
  <c r="AH81" i="18"/>
  <c r="AM81" i="18" s="1"/>
  <c r="AH72" i="18"/>
  <c r="AM72" i="18" s="1"/>
  <c r="AG72" i="18"/>
  <c r="AH71" i="18"/>
  <c r="AM71" i="18" s="1"/>
  <c r="AG71" i="18"/>
  <c r="AH69" i="18"/>
  <c r="AM69" i="18" s="1"/>
  <c r="AG69" i="18"/>
  <c r="AH68" i="18"/>
  <c r="AM68" i="18" s="1"/>
  <c r="AG68" i="18"/>
  <c r="AH66" i="18"/>
  <c r="AM66" i="18" s="1"/>
  <c r="AG66" i="18"/>
  <c r="AH65" i="18"/>
  <c r="AM65" i="18" s="1"/>
  <c r="AG65" i="18"/>
  <c r="AH64" i="18"/>
  <c r="AM64" i="18" s="1"/>
  <c r="AG64" i="18"/>
  <c r="AH63" i="18"/>
  <c r="AM63" i="18" s="1"/>
  <c r="AH58" i="18"/>
  <c r="AM58" i="18" s="1"/>
  <c r="AG58" i="18"/>
  <c r="AH57" i="18"/>
  <c r="AM57" i="18" s="1"/>
  <c r="AG57" i="18"/>
  <c r="AH51" i="18"/>
  <c r="AM51" i="18" s="1"/>
  <c r="AG51" i="18"/>
  <c r="AH50" i="18"/>
  <c r="AM50" i="18" s="1"/>
  <c r="AG50" i="18"/>
  <c r="AH49" i="18"/>
  <c r="AM49" i="18" s="1"/>
  <c r="AG49" i="18"/>
  <c r="AH45" i="18"/>
  <c r="AM45" i="18" s="1"/>
  <c r="AG45" i="18"/>
  <c r="AH44" i="18"/>
  <c r="AM44" i="18" s="1"/>
  <c r="AG44" i="18"/>
  <c r="AH43" i="18"/>
  <c r="AM43" i="18" s="1"/>
  <c r="AG43" i="18"/>
  <c r="AH36" i="18"/>
  <c r="AM36" i="18" s="1"/>
  <c r="AG36" i="18"/>
  <c r="AH35" i="18"/>
  <c r="AM35" i="18" s="1"/>
  <c r="AG35" i="18"/>
  <c r="AH34" i="18"/>
  <c r="AM34" i="18" s="1"/>
  <c r="AG34" i="18"/>
  <c r="AJ34" i="18" s="1"/>
  <c r="AH26" i="18"/>
  <c r="AG26" i="18"/>
  <c r="AN26" i="18" s="1"/>
  <c r="AH25" i="18"/>
  <c r="AG25" i="18"/>
  <c r="AJ25" i="18" s="1"/>
  <c r="AH24" i="18"/>
  <c r="AG24" i="18"/>
  <c r="AN24" i="18" s="1"/>
  <c r="AG23" i="18"/>
  <c r="AN23" i="18" s="1"/>
  <c r="AH22" i="18"/>
  <c r="AG22" i="18"/>
  <c r="AH21" i="18"/>
  <c r="AG21" i="18"/>
  <c r="AH20" i="18"/>
  <c r="AG20" i="18"/>
  <c r="AH19" i="18"/>
  <c r="AG19" i="18"/>
  <c r="AH18" i="18"/>
  <c r="AG18" i="18"/>
  <c r="AH17" i="18"/>
  <c r="AG17" i="18"/>
  <c r="AJ17" i="18" s="1"/>
  <c r="AH16" i="18"/>
  <c r="AA10" i="18"/>
  <c r="AB10" i="18"/>
  <c r="AB133" i="18"/>
  <c r="AA133" i="18"/>
  <c r="AB128" i="18"/>
  <c r="AA128" i="18"/>
  <c r="AB123" i="18"/>
  <c r="AA123" i="18"/>
  <c r="AB118" i="18"/>
  <c r="AA118" i="18"/>
  <c r="AB115" i="18"/>
  <c r="AA115" i="18"/>
  <c r="AB110" i="18"/>
  <c r="AA110" i="18"/>
  <c r="AB104" i="18"/>
  <c r="AA104" i="18"/>
  <c r="AB101" i="18"/>
  <c r="AA101" i="18"/>
  <c r="AB96" i="18"/>
  <c r="AA96" i="18"/>
  <c r="AB92" i="18"/>
  <c r="AA92" i="18"/>
  <c r="AB91" i="18"/>
  <c r="AA91" i="18"/>
  <c r="AB90" i="18"/>
  <c r="AA90" i="18"/>
  <c r="AB89" i="18"/>
  <c r="AA89" i="18"/>
  <c r="AB88" i="18"/>
  <c r="AA88" i="18"/>
  <c r="AB87" i="18"/>
  <c r="AA87" i="18"/>
  <c r="AB80" i="18"/>
  <c r="AA80" i="18"/>
  <c r="AB79" i="18"/>
  <c r="AA79" i="18"/>
  <c r="AB78" i="18"/>
  <c r="AA78" i="18"/>
  <c r="AB77" i="18"/>
  <c r="AA77" i="18"/>
  <c r="AB76" i="18"/>
  <c r="AA76" i="18"/>
  <c r="AB75" i="18"/>
  <c r="AA75" i="18"/>
  <c r="AB74" i="18"/>
  <c r="AA74" i="18"/>
  <c r="AB73" i="18"/>
  <c r="AA73" i="18"/>
  <c r="AB70" i="18"/>
  <c r="AA70" i="18"/>
  <c r="AB67" i="18"/>
  <c r="AA67" i="18"/>
  <c r="AB62" i="18"/>
  <c r="AA62" i="18"/>
  <c r="AB61" i="18"/>
  <c r="AA61" i="18"/>
  <c r="AB60" i="18"/>
  <c r="AA60" i="18"/>
  <c r="AB59" i="18"/>
  <c r="AA59" i="18"/>
  <c r="AB56" i="18"/>
  <c r="AA56" i="18"/>
  <c r="AB55" i="18"/>
  <c r="AA55" i="18"/>
  <c r="AB54" i="18"/>
  <c r="AA54" i="18"/>
  <c r="AB53" i="18"/>
  <c r="AA53" i="18"/>
  <c r="AB52" i="18"/>
  <c r="AA52" i="18"/>
  <c r="AB42" i="18"/>
  <c r="AA42" i="18"/>
  <c r="AB41" i="18"/>
  <c r="AA41" i="18"/>
  <c r="AB40" i="18"/>
  <c r="AA40" i="18"/>
  <c r="AB39" i="18"/>
  <c r="AA39" i="18"/>
  <c r="AB38" i="18"/>
  <c r="AA38" i="18"/>
  <c r="AB37" i="18"/>
  <c r="AA37" i="18"/>
  <c r="AB33" i="18"/>
  <c r="AA33" i="18"/>
  <c r="AB32" i="18"/>
  <c r="AA32" i="18"/>
  <c r="AB31" i="18"/>
  <c r="AA31" i="18"/>
  <c r="AB30" i="18"/>
  <c r="AA30" i="18"/>
  <c r="AB29" i="18"/>
  <c r="AA29" i="18"/>
  <c r="AB28" i="18"/>
  <c r="AA28" i="18"/>
  <c r="AB27" i="18"/>
  <c r="AA27" i="18"/>
  <c r="AB15" i="18"/>
  <c r="AA15" i="18"/>
  <c r="AB14" i="18"/>
  <c r="AA14" i="18"/>
  <c r="AN134" i="18"/>
  <c r="AN22" i="18"/>
  <c r="AN21" i="18"/>
  <c r="AN20" i="18"/>
  <c r="AN19" i="18"/>
  <c r="AN18" i="18"/>
  <c r="AN17" i="18"/>
  <c r="AJ49" i="18" l="1"/>
  <c r="AJ130" i="18"/>
  <c r="AJ45" i="18"/>
  <c r="AJ68" i="18"/>
  <c r="AJ126" i="18"/>
  <c r="AJ51" i="18"/>
  <c r="AJ82" i="18"/>
  <c r="AJ132" i="18"/>
  <c r="AN44" i="18"/>
  <c r="AJ36" i="18"/>
  <c r="AJ64" i="18"/>
  <c r="AJ18" i="18"/>
  <c r="AJ86" i="18"/>
  <c r="AJ107" i="18"/>
  <c r="AJ122" i="18"/>
  <c r="AJ109" i="18"/>
  <c r="AJ144" i="18"/>
  <c r="AJ58" i="18"/>
  <c r="AJ84" i="18"/>
  <c r="AJ120" i="18"/>
  <c r="AJ69" i="18"/>
  <c r="AJ112" i="18"/>
  <c r="AJ127" i="18"/>
  <c r="AJ24" i="18"/>
  <c r="AJ99" i="18"/>
  <c r="AJ114" i="18"/>
  <c r="AJ50" i="18"/>
  <c r="AJ131" i="18"/>
  <c r="AJ35" i="18"/>
  <c r="AJ43" i="18"/>
  <c r="AJ65" i="18"/>
  <c r="AN45" i="18"/>
  <c r="AN112" i="18"/>
  <c r="AN116" i="18"/>
  <c r="AJ44" i="18"/>
  <c r="AJ66" i="18"/>
  <c r="AJ125" i="18"/>
  <c r="AN98" i="18"/>
  <c r="AN93" i="18"/>
  <c r="AN66" i="18"/>
  <c r="AN65" i="18"/>
  <c r="AJ21" i="18"/>
  <c r="AJ95" i="18"/>
  <c r="AN83" i="18"/>
  <c r="AN130" i="18"/>
  <c r="AJ26" i="18"/>
  <c r="AN102" i="18"/>
  <c r="AN117" i="18"/>
  <c r="AN34" i="18"/>
  <c r="AN121" i="18"/>
  <c r="AN122" i="18"/>
  <c r="AJ71" i="18"/>
  <c r="AJ98" i="18"/>
  <c r="AJ113" i="18"/>
  <c r="AN57" i="18"/>
  <c r="AN103" i="18"/>
  <c r="AN84" i="18"/>
  <c r="AJ117" i="18"/>
  <c r="AN35" i="18"/>
  <c r="AN86" i="18"/>
  <c r="AN107" i="18"/>
  <c r="AN108" i="18"/>
  <c r="AN94" i="18"/>
  <c r="AN68" i="18"/>
  <c r="AN126" i="18"/>
  <c r="AN95" i="18"/>
  <c r="AN69" i="18"/>
  <c r="AN127" i="18"/>
  <c r="AN113" i="18"/>
  <c r="AN72" i="18"/>
  <c r="AN99" i="18"/>
  <c r="AN131" i="18"/>
  <c r="AN132" i="18"/>
  <c r="AJ57" i="18"/>
  <c r="AN114" i="18"/>
  <c r="AN85" i="18"/>
  <c r="AN58" i="18"/>
  <c r="AJ94" i="18"/>
  <c r="AJ102" i="18"/>
  <c r="AJ108" i="18"/>
  <c r="AN100" i="18"/>
  <c r="AN106" i="18"/>
  <c r="AJ19" i="18"/>
  <c r="AN49" i="18"/>
  <c r="AJ72" i="18"/>
  <c r="AN43" i="18"/>
  <c r="AJ20" i="18"/>
  <c r="AN50" i="18"/>
  <c r="AJ22" i="18"/>
  <c r="AN125" i="18"/>
  <c r="AH46" i="18"/>
  <c r="AN82" i="18"/>
  <c r="AH48" i="18"/>
  <c r="AN36" i="18"/>
  <c r="AH47" i="18"/>
  <c r="AN120" i="18"/>
  <c r="AN71" i="18"/>
  <c r="AN109" i="18"/>
  <c r="AN25" i="18"/>
  <c r="AN51" i="18"/>
  <c r="AN64" i="18"/>
  <c r="Y10" i="18"/>
  <c r="H194" i="17"/>
  <c r="K12" i="57"/>
  <c r="F177" i="17"/>
  <c r="F178" i="17"/>
  <c r="E178" i="17"/>
  <c r="E177" i="17"/>
  <c r="Y33" i="18" l="1"/>
  <c r="Z33" i="18" s="1"/>
  <c r="Y59" i="18"/>
  <c r="Z59" i="18" s="1"/>
  <c r="Y55" i="18"/>
  <c r="Z55" i="18" s="1"/>
  <c r="Y53" i="18"/>
  <c r="Z53" i="18" s="1"/>
  <c r="Y40" i="18"/>
  <c r="Z40" i="18" s="1"/>
  <c r="Y38" i="18"/>
  <c r="Z38" i="18" s="1"/>
  <c r="Y30" i="18"/>
  <c r="Z30" i="18" s="1"/>
  <c r="Y32" i="18"/>
  <c r="Z32" i="18" s="1"/>
  <c r="Y27" i="18"/>
  <c r="Y62" i="18"/>
  <c r="Z62" i="18" s="1"/>
  <c r="Y61" i="18"/>
  <c r="Z61" i="18" s="1"/>
  <c r="Y60" i="18"/>
  <c r="Z60" i="18" s="1"/>
  <c r="Y56" i="18"/>
  <c r="Z56" i="18" s="1"/>
  <c r="Y54" i="18"/>
  <c r="Z54" i="18" s="1"/>
  <c r="Y39" i="18"/>
  <c r="Z39" i="18" s="1"/>
  <c r="Y37" i="18"/>
  <c r="Z37" i="18" s="1"/>
  <c r="Y31" i="18"/>
  <c r="Z31" i="18" s="1"/>
  <c r="Y52" i="18"/>
  <c r="Z52" i="18" s="1"/>
  <c r="Y42" i="18"/>
  <c r="Z42" i="18" s="1"/>
  <c r="Y41" i="18"/>
  <c r="Z41" i="18" s="1"/>
  <c r="Y28" i="18"/>
  <c r="Z28" i="18" s="1"/>
  <c r="Y29" i="18"/>
  <c r="Z29" i="18" s="1"/>
  <c r="AJ13" i="16"/>
  <c r="AJ12" i="16"/>
  <c r="AJ11" i="16"/>
  <c r="AJ10" i="16"/>
  <c r="AI40" i="16"/>
  <c r="AI41" i="16" s="1"/>
  <c r="AD40" i="16"/>
  <c r="AD41" i="16" s="1"/>
  <c r="AE13" i="16"/>
  <c r="AE12" i="16"/>
  <c r="AE11" i="16"/>
  <c r="AE10" i="16"/>
  <c r="AJ35" i="16" l="1"/>
  <c r="AJ31" i="16"/>
  <c r="AJ32" i="16"/>
  <c r="AJ27" i="16"/>
  <c r="AJ28" i="16"/>
  <c r="AJ22" i="16"/>
  <c r="AJ17" i="16"/>
  <c r="AJ25" i="16"/>
  <c r="AJ26" i="16"/>
  <c r="AJ21" i="16"/>
  <c r="AJ18" i="16"/>
  <c r="AE35" i="16"/>
  <c r="AE32" i="16"/>
  <c r="AE31" i="16"/>
  <c r="AE28" i="16"/>
  <c r="AE27" i="16"/>
  <c r="AE26" i="16"/>
  <c r="AE25" i="16"/>
  <c r="AE22" i="16"/>
  <c r="AE21" i="16"/>
  <c r="AE18" i="16"/>
  <c r="AE17" i="16"/>
  <c r="Y40" i="16"/>
  <c r="Y41" i="16" s="1"/>
  <c r="Z35" i="16" l="1"/>
  <c r="Z28" i="16"/>
  <c r="Z22" i="16"/>
  <c r="Z18" i="16"/>
  <c r="Z17" i="16"/>
  <c r="Z32" i="16"/>
  <c r="Z31" i="16"/>
  <c r="Z27" i="16"/>
  <c r="Z26" i="16"/>
  <c r="Z21" i="16"/>
  <c r="Z25" i="16"/>
  <c r="AF107" i="17"/>
  <c r="Z11" i="16" l="1"/>
  <c r="Z12" i="16"/>
  <c r="Z13" i="16"/>
  <c r="Z10" i="16"/>
  <c r="C13" i="59"/>
  <c r="AJ38" i="16" l="1"/>
  <c r="J6" i="17"/>
  <c r="J5" i="17"/>
  <c r="K6" i="18"/>
  <c r="K5" i="18"/>
  <c r="D7" i="18"/>
  <c r="Z38" i="16" l="1"/>
  <c r="AA18" i="16" s="1"/>
  <c r="AE38" i="16"/>
  <c r="AK10" i="16"/>
  <c r="AK11" i="16"/>
  <c r="AK12" i="16"/>
  <c r="AK13" i="16"/>
  <c r="AK16" i="16"/>
  <c r="AK35" i="16"/>
  <c r="AK31" i="16"/>
  <c r="AK28" i="16"/>
  <c r="AK27" i="16"/>
  <c r="AK26" i="16"/>
  <c r="AK25" i="16"/>
  <c r="AK22" i="16"/>
  <c r="AK21" i="16"/>
  <c r="AK18" i="16"/>
  <c r="AK17" i="16"/>
  <c r="AK32" i="16"/>
  <c r="AA21" i="16" l="1"/>
  <c r="AA35" i="16"/>
  <c r="AK38" i="16"/>
  <c r="AA10" i="16"/>
  <c r="AA11" i="16"/>
  <c r="AA12" i="16"/>
  <c r="AA13" i="16"/>
  <c r="AA25" i="16"/>
  <c r="AA26" i="16"/>
  <c r="AA27" i="16"/>
  <c r="AA17" i="16"/>
  <c r="AA16" i="16"/>
  <c r="AA22" i="16"/>
  <c r="AA28" i="16"/>
  <c r="AA31" i="16"/>
  <c r="AA32" i="16"/>
  <c r="AF11" i="16"/>
  <c r="AF12" i="16"/>
  <c r="AF13" i="16"/>
  <c r="AF10" i="16"/>
  <c r="AF17" i="16"/>
  <c r="AF26" i="16"/>
  <c r="AF25" i="16"/>
  <c r="AF27" i="16"/>
  <c r="AF31" i="16"/>
  <c r="AF32" i="16"/>
  <c r="AF35" i="16"/>
  <c r="AF16" i="16"/>
  <c r="AF18" i="16"/>
  <c r="AF21" i="16"/>
  <c r="AF28" i="16"/>
  <c r="AF22" i="16"/>
  <c r="AF38" i="16" l="1"/>
  <c r="AA38" i="16"/>
  <c r="X44" i="51" l="1"/>
  <c r="W44" i="51"/>
  <c r="X10" i="51"/>
  <c r="W10" i="51"/>
  <c r="D7" i="17"/>
  <c r="C4" i="52"/>
  <c r="C3" i="52"/>
  <c r="E50" i="17" l="1"/>
  <c r="K7" i="18"/>
  <c r="E23" i="18" s="1"/>
  <c r="AH23" i="18" s="1"/>
  <c r="AJ23" i="18" s="1"/>
  <c r="J7" i="17"/>
  <c r="D73" i="51"/>
  <c r="F158" i="70" l="1"/>
  <c r="F146" i="70"/>
  <c r="F138" i="70"/>
  <c r="F137" i="70"/>
  <c r="F136" i="70"/>
  <c r="F128" i="70"/>
  <c r="F120" i="70"/>
  <c r="F119" i="70"/>
  <c r="F107" i="70"/>
  <c r="F106" i="70"/>
  <c r="F94" i="70"/>
  <c r="F93" i="70"/>
  <c r="F81" i="70"/>
  <c r="F80" i="70"/>
  <c r="F68" i="70"/>
  <c r="F67" i="70"/>
  <c r="F55" i="70"/>
  <c r="F45" i="70"/>
  <c r="F44" i="70"/>
  <c r="F43" i="70"/>
  <c r="F32" i="70"/>
  <c r="F31" i="70"/>
  <c r="F23" i="70"/>
  <c r="F22" i="70"/>
  <c r="F14" i="70"/>
  <c r="F13" i="70"/>
  <c r="D3" i="33" l="1"/>
  <c r="D4" i="33"/>
  <c r="D5" i="33"/>
  <c r="D6" i="33"/>
  <c r="G6" i="33"/>
  <c r="R23" i="67"/>
  <c r="Q23" i="67"/>
  <c r="N23" i="67"/>
  <c r="M23" i="67"/>
  <c r="N17" i="67"/>
  <c r="M17" i="67"/>
  <c r="L17" i="67"/>
  <c r="N13" i="67"/>
  <c r="R13" i="67" s="1"/>
  <c r="M13" i="67"/>
  <c r="Q13" i="67" s="1"/>
  <c r="L13" i="67"/>
  <c r="P13" i="67" s="1"/>
  <c r="N8" i="67"/>
  <c r="R8" i="67" s="1"/>
  <c r="M8" i="67"/>
  <c r="Q8" i="67" s="1"/>
  <c r="J30" i="67"/>
  <c r="N30" i="67" s="1"/>
  <c r="I30" i="67"/>
  <c r="M30" i="67" s="1"/>
  <c r="H30" i="67"/>
  <c r="L30" i="67" s="1"/>
  <c r="J23" i="67"/>
  <c r="I23" i="67"/>
  <c r="H23" i="67"/>
  <c r="L23" i="67" s="1"/>
  <c r="J17" i="67"/>
  <c r="I17" i="67"/>
  <c r="H17" i="67"/>
  <c r="J13" i="67"/>
  <c r="I13" i="67"/>
  <c r="H13" i="67"/>
  <c r="J8" i="67"/>
  <c r="I8" i="67"/>
  <c r="H8" i="67"/>
  <c r="L8" i="67" s="1"/>
  <c r="P8" i="67" s="1"/>
  <c r="J27" i="67"/>
  <c r="N27" i="67" s="1"/>
  <c r="R27" i="67" s="1"/>
  <c r="I27" i="67"/>
  <c r="M27" i="67" s="1"/>
  <c r="Q27" i="67" s="1"/>
  <c r="H27" i="67"/>
  <c r="L27" i="67" s="1"/>
  <c r="N32" i="67"/>
  <c r="M32" i="67"/>
  <c r="Q21" i="67" s="1"/>
  <c r="L32" i="67"/>
  <c r="P10" i="67" s="1"/>
  <c r="N22" i="67"/>
  <c r="R22" i="67" s="1"/>
  <c r="M22" i="67"/>
  <c r="L22" i="67"/>
  <c r="N21" i="67"/>
  <c r="R21" i="67" s="1"/>
  <c r="M21" i="67"/>
  <c r="L21" i="67"/>
  <c r="N20" i="67"/>
  <c r="M20" i="67"/>
  <c r="L20" i="67"/>
  <c r="N19" i="67"/>
  <c r="M19" i="67"/>
  <c r="L19" i="67"/>
  <c r="N16" i="67"/>
  <c r="M16" i="67"/>
  <c r="L16" i="67"/>
  <c r="N15" i="67"/>
  <c r="R15" i="67" s="1"/>
  <c r="M15" i="67"/>
  <c r="Q15" i="67" s="1"/>
  <c r="L15" i="67"/>
  <c r="P15" i="67" s="1"/>
  <c r="N12" i="67"/>
  <c r="R12" i="67" s="1"/>
  <c r="M12" i="67"/>
  <c r="L12" i="67"/>
  <c r="N11" i="67"/>
  <c r="R11" i="67" s="1"/>
  <c r="M11" i="67"/>
  <c r="L11" i="67"/>
  <c r="N10" i="67"/>
  <c r="R10" i="67" s="1"/>
  <c r="M10" i="67"/>
  <c r="L10" i="67"/>
  <c r="N7" i="67"/>
  <c r="M7" i="67"/>
  <c r="L7" i="67"/>
  <c r="N6" i="67"/>
  <c r="M6" i="67"/>
  <c r="L6" i="67"/>
  <c r="N5" i="67"/>
  <c r="R5" i="67" s="1"/>
  <c r="M5" i="67"/>
  <c r="Q5" i="67" s="1"/>
  <c r="L5" i="67"/>
  <c r="N4" i="67"/>
  <c r="M4" i="67"/>
  <c r="Q4" i="67" s="1"/>
  <c r="L4" i="67"/>
  <c r="P4" i="67" s="1"/>
  <c r="D6" i="68"/>
  <c r="D5" i="68"/>
  <c r="D4" i="68"/>
  <c r="D3" i="68"/>
  <c r="D6" i="16"/>
  <c r="D5" i="16"/>
  <c r="D4" i="16"/>
  <c r="D3" i="16"/>
  <c r="C6" i="51"/>
  <c r="AD137" i="18" a="1"/>
  <c r="AD137" i="18" s="1"/>
  <c r="AD16" i="18" a="1"/>
  <c r="AD16" i="18" s="1"/>
  <c r="D6" i="18"/>
  <c r="D5" i="18"/>
  <c r="D4" i="18"/>
  <c r="D3" i="18"/>
  <c r="L27" i="18"/>
  <c r="L28" i="18"/>
  <c r="L29" i="18"/>
  <c r="L30" i="18"/>
  <c r="L31" i="18"/>
  <c r="L32" i="18"/>
  <c r="L33" i="18"/>
  <c r="L37" i="18"/>
  <c r="L38" i="18"/>
  <c r="L39" i="18"/>
  <c r="L40" i="18"/>
  <c r="L41" i="18"/>
  <c r="L42" i="18"/>
  <c r="L46" i="18"/>
  <c r="L47" i="18"/>
  <c r="L48" i="18"/>
  <c r="L52" i="18"/>
  <c r="L53" i="18"/>
  <c r="L54" i="18"/>
  <c r="L55" i="18"/>
  <c r="L56" i="18"/>
  <c r="L59" i="18"/>
  <c r="L60" i="18"/>
  <c r="L61" i="18"/>
  <c r="L62" i="18"/>
  <c r="L67" i="18"/>
  <c r="L70" i="18"/>
  <c r="L73" i="18"/>
  <c r="L74" i="18"/>
  <c r="L75" i="18"/>
  <c r="L76" i="18"/>
  <c r="L77" i="18"/>
  <c r="L78" i="18"/>
  <c r="L79" i="18"/>
  <c r="L80" i="18"/>
  <c r="L96" i="18"/>
  <c r="L101" i="18"/>
  <c r="L104" i="18"/>
  <c r="L110" i="18"/>
  <c r="L115" i="18"/>
  <c r="L118" i="18"/>
  <c r="L123" i="18"/>
  <c r="L128" i="18"/>
  <c r="L133" i="18"/>
  <c r="J62" i="18" l="1"/>
  <c r="T33" i="67"/>
  <c r="T4" i="67" s="1"/>
  <c r="E12" i="51" s="1"/>
  <c r="I12" i="51" s="1"/>
  <c r="U33" i="67"/>
  <c r="U15" i="67" s="1"/>
  <c r="V33" i="67"/>
  <c r="V8" i="67" s="1"/>
  <c r="W128" i="18"/>
  <c r="K128" i="18" s="1"/>
  <c r="E125" i="75" s="1"/>
  <c r="W10" i="18"/>
  <c r="P21" i="67"/>
  <c r="Q10" i="67"/>
  <c r="P5" i="67"/>
  <c r="P22" i="67"/>
  <c r="P11" i="67"/>
  <c r="R30" i="67"/>
  <c r="Q30" i="67"/>
  <c r="Q11" i="67"/>
  <c r="P12" i="67"/>
  <c r="Q22" i="67"/>
  <c r="Q12" i="67"/>
  <c r="R19" i="67"/>
  <c r="P23" i="67"/>
  <c r="P30" i="67"/>
  <c r="P6" i="67"/>
  <c r="Q16" i="67"/>
  <c r="Q7" i="67"/>
  <c r="R16" i="67"/>
  <c r="Q17" i="67"/>
  <c r="R4" i="67"/>
  <c r="P20" i="67"/>
  <c r="R20" i="67"/>
  <c r="P7" i="67"/>
  <c r="R17" i="67"/>
  <c r="R32" i="67"/>
  <c r="R7" i="67"/>
  <c r="P17" i="67"/>
  <c r="P19" i="67"/>
  <c r="Q32" i="67"/>
  <c r="Q19" i="67"/>
  <c r="Q6" i="67"/>
  <c r="P27" i="67"/>
  <c r="R6" i="67"/>
  <c r="P16" i="67"/>
  <c r="P32" i="67"/>
  <c r="Q20" i="67"/>
  <c r="Q5" i="16"/>
  <c r="W47" i="18"/>
  <c r="K47" i="18" s="1"/>
  <c r="E44" i="75" s="1"/>
  <c r="W32" i="18"/>
  <c r="K32" i="18" s="1"/>
  <c r="E29" i="75" s="1"/>
  <c r="W33" i="18"/>
  <c r="K33" i="18" s="1"/>
  <c r="E30" i="75" s="1"/>
  <c r="W37" i="18"/>
  <c r="K37" i="18" s="1"/>
  <c r="E34" i="75" s="1"/>
  <c r="W38" i="18"/>
  <c r="K38" i="18" s="1"/>
  <c r="E35" i="75" s="1"/>
  <c r="W39" i="18"/>
  <c r="K39" i="18" s="1"/>
  <c r="E36" i="75" s="1"/>
  <c r="W40" i="18"/>
  <c r="K40" i="18" s="1"/>
  <c r="E37" i="75" s="1"/>
  <c r="W41" i="18"/>
  <c r="K41" i="18" s="1"/>
  <c r="E38" i="75" s="1"/>
  <c r="W42" i="18"/>
  <c r="K42" i="18" s="1"/>
  <c r="E39" i="75" s="1"/>
  <c r="W46" i="18"/>
  <c r="K46" i="18" s="1"/>
  <c r="E43" i="75" s="1"/>
  <c r="W73" i="18"/>
  <c r="K73" i="18" s="1"/>
  <c r="E70" i="75" s="1"/>
  <c r="W79" i="18"/>
  <c r="K79" i="18" s="1"/>
  <c r="E76" i="75" s="1"/>
  <c r="W80" i="18"/>
  <c r="W75" i="18"/>
  <c r="K75" i="18" s="1"/>
  <c r="E72" i="75" s="1"/>
  <c r="W87" i="18"/>
  <c r="K87" i="18" s="1"/>
  <c r="E84" i="75" s="1"/>
  <c r="W88" i="18"/>
  <c r="K88" i="18" s="1"/>
  <c r="E85" i="75" s="1"/>
  <c r="W76" i="18"/>
  <c r="K76" i="18" s="1"/>
  <c r="E73" i="75" s="1"/>
  <c r="W78" i="18"/>
  <c r="K78" i="18" s="1"/>
  <c r="E75" i="75" s="1"/>
  <c r="W133" i="18"/>
  <c r="K133" i="18" s="1"/>
  <c r="E130" i="75" s="1"/>
  <c r="W74" i="18"/>
  <c r="K74" i="18" s="1"/>
  <c r="E71" i="75" s="1"/>
  <c r="W77" i="18"/>
  <c r="K77" i="18" s="1"/>
  <c r="E74" i="75" s="1"/>
  <c r="W54" i="18"/>
  <c r="K54" i="18" s="1"/>
  <c r="E51" i="75" s="1"/>
  <c r="W101" i="18"/>
  <c r="K101" i="18" s="1"/>
  <c r="E98" i="75" s="1"/>
  <c r="W59" i="18"/>
  <c r="K59" i="18" s="1"/>
  <c r="E56" i="75" s="1"/>
  <c r="W48" i="18"/>
  <c r="K48" i="18" s="1"/>
  <c r="E45" i="75" s="1"/>
  <c r="W89" i="18"/>
  <c r="K89" i="18" s="1"/>
  <c r="E86" i="75" s="1"/>
  <c r="W55" i="18"/>
  <c r="K55" i="18" s="1"/>
  <c r="E52" i="75" s="1"/>
  <c r="W56" i="18"/>
  <c r="K56" i="18" s="1"/>
  <c r="E53" i="75" s="1"/>
  <c r="W123" i="18"/>
  <c r="K123" i="18" s="1"/>
  <c r="E120" i="75" s="1"/>
  <c r="W52" i="18"/>
  <c r="K52" i="18" s="1"/>
  <c r="E49" i="75" s="1"/>
  <c r="W90" i="18"/>
  <c r="K90" i="18" s="1"/>
  <c r="E87" i="75" s="1"/>
  <c r="W53" i="18"/>
  <c r="K53" i="18" s="1"/>
  <c r="E50" i="75" s="1"/>
  <c r="W91" i="18"/>
  <c r="K91" i="18" s="1"/>
  <c r="E88" i="75" s="1"/>
  <c r="W92" i="18"/>
  <c r="K92" i="18" s="1"/>
  <c r="E89" i="75" s="1"/>
  <c r="W96" i="18"/>
  <c r="K96" i="18" s="1"/>
  <c r="E93" i="75" s="1"/>
  <c r="W14" i="18"/>
  <c r="W15" i="18"/>
  <c r="W104" i="18"/>
  <c r="W27" i="18"/>
  <c r="K27" i="18" s="1"/>
  <c r="E24" i="75" s="1"/>
  <c r="W60" i="18"/>
  <c r="K60" i="18" s="1"/>
  <c r="E57" i="75" s="1"/>
  <c r="W110" i="18"/>
  <c r="W28" i="18"/>
  <c r="K28" i="18" s="1"/>
  <c r="E25" i="75" s="1"/>
  <c r="W61" i="18"/>
  <c r="K61" i="18" s="1"/>
  <c r="E58" i="75" s="1"/>
  <c r="W115" i="18"/>
  <c r="K115" i="18" s="1"/>
  <c r="E112" i="75" s="1"/>
  <c r="W29" i="18"/>
  <c r="K29" i="18" s="1"/>
  <c r="E26" i="75" s="1"/>
  <c r="W62" i="18"/>
  <c r="K62" i="18" s="1"/>
  <c r="E59" i="75" s="1"/>
  <c r="W118" i="18"/>
  <c r="W30" i="18"/>
  <c r="K30" i="18" s="1"/>
  <c r="E27" i="75" s="1"/>
  <c r="W67" i="18"/>
  <c r="K67" i="18" s="1"/>
  <c r="E64" i="75" s="1"/>
  <c r="W31" i="18"/>
  <c r="K31" i="18" s="1"/>
  <c r="E28" i="75" s="1"/>
  <c r="W70" i="18"/>
  <c r="K12" i="29"/>
  <c r="L11" i="29"/>
  <c r="N20" i="13" s="1"/>
  <c r="L10" i="29"/>
  <c r="N18" i="13" s="1"/>
  <c r="T32" i="67" l="1"/>
  <c r="E40" i="51" s="1"/>
  <c r="I40" i="51" s="1"/>
  <c r="T23" i="67"/>
  <c r="E31" i="51" s="1"/>
  <c r="I31" i="51" s="1"/>
  <c r="T16" i="67"/>
  <c r="E24" i="51" s="1"/>
  <c r="I24" i="51" s="1"/>
  <c r="V21" i="67"/>
  <c r="V19" i="67"/>
  <c r="T7" i="67"/>
  <c r="E15" i="51" s="1"/>
  <c r="I15" i="51" s="1"/>
  <c r="T21" i="67"/>
  <c r="E29" i="51" s="1"/>
  <c r="I29" i="51" s="1"/>
  <c r="V20" i="67"/>
  <c r="T13" i="67"/>
  <c r="E21" i="51" s="1"/>
  <c r="I21" i="51" s="1"/>
  <c r="T20" i="67"/>
  <c r="E28" i="51" s="1"/>
  <c r="I28" i="51" s="1"/>
  <c r="T10" i="67"/>
  <c r="E18" i="51" s="1"/>
  <c r="I18" i="51" s="1"/>
  <c r="T26" i="67"/>
  <c r="T25" i="67"/>
  <c r="V10" i="67"/>
  <c r="V6" i="67"/>
  <c r="U12" i="67"/>
  <c r="U4" i="67"/>
  <c r="T27" i="67"/>
  <c r="E35" i="51" s="1"/>
  <c r="I35" i="51" s="1"/>
  <c r="U22" i="67"/>
  <c r="U6" i="67"/>
  <c r="T12" i="67"/>
  <c r="E20" i="51" s="1"/>
  <c r="I20" i="51" s="1"/>
  <c r="V29" i="67"/>
  <c r="V25" i="67"/>
  <c r="V26" i="67"/>
  <c r="U25" i="67"/>
  <c r="U29" i="67"/>
  <c r="U26" i="67"/>
  <c r="U19" i="67"/>
  <c r="U11" i="67"/>
  <c r="U32" i="67"/>
  <c r="U30" i="67"/>
  <c r="V13" i="67"/>
  <c r="T19" i="67"/>
  <c r="E27" i="51" s="1"/>
  <c r="I27" i="51" s="1"/>
  <c r="V30" i="67"/>
  <c r="V23" i="67"/>
  <c r="T17" i="67"/>
  <c r="E25" i="51" s="1"/>
  <c r="I25" i="51" s="1"/>
  <c r="T11" i="67"/>
  <c r="E19" i="51" s="1"/>
  <c r="I19" i="51" s="1"/>
  <c r="V5" i="67"/>
  <c r="V7" i="67"/>
  <c r="T22" i="67"/>
  <c r="E30" i="51" s="1"/>
  <c r="I30" i="51" s="1"/>
  <c r="U23" i="67"/>
  <c r="V32" i="67"/>
  <c r="T5" i="67"/>
  <c r="E13" i="51" s="1"/>
  <c r="I13" i="51" s="1"/>
  <c r="U5" i="67"/>
  <c r="V17" i="67"/>
  <c r="U10" i="67"/>
  <c r="V15" i="67"/>
  <c r="V27" i="67"/>
  <c r="V4" i="67"/>
  <c r="U27" i="67"/>
  <c r="U17" i="67"/>
  <c r="V12" i="67"/>
  <c r="V16" i="67"/>
  <c r="U13" i="67"/>
  <c r="U7" i="67"/>
  <c r="T8" i="67"/>
  <c r="E16" i="51" s="1"/>
  <c r="I16" i="51" s="1"/>
  <c r="U21" i="67"/>
  <c r="U16" i="67"/>
  <c r="T15" i="67"/>
  <c r="E23" i="51" s="1"/>
  <c r="I23" i="51" s="1"/>
  <c r="V11" i="67"/>
  <c r="T29" i="67"/>
  <c r="T6" i="67"/>
  <c r="E14" i="51" s="1"/>
  <c r="I14" i="51" s="1"/>
  <c r="U8" i="67"/>
  <c r="U20" i="67"/>
  <c r="T30" i="67"/>
  <c r="E38" i="51" s="1"/>
  <c r="I38" i="51" s="1"/>
  <c r="V22" i="67"/>
  <c r="D4" i="17" l="1"/>
  <c r="Q10" i="16" l="1"/>
  <c r="D5" i="17"/>
  <c r="D3" i="17"/>
  <c r="Q35" i="16" l="1"/>
  <c r="Q22" i="16"/>
  <c r="Q38" i="16"/>
  <c r="Q25" i="16"/>
  <c r="Q26" i="16"/>
  <c r="Q12" i="16"/>
  <c r="Q27" i="16"/>
  <c r="Q13" i="16"/>
  <c r="Q28" i="16"/>
  <c r="Q16" i="16"/>
  <c r="Q31" i="16"/>
  <c r="Q17" i="16"/>
  <c r="Q32" i="16"/>
  <c r="Q18" i="16"/>
  <c r="Q21" i="16"/>
  <c r="Q11" i="16"/>
  <c r="D6" i="17" l="1"/>
  <c r="E140" i="29"/>
  <c r="E135" i="29"/>
  <c r="E132" i="29"/>
  <c r="E116" i="29"/>
  <c r="F107" i="29"/>
  <c r="F106" i="29"/>
  <c r="F105" i="29"/>
  <c r="F104" i="29"/>
  <c r="AN102" i="29"/>
  <c r="AM102" i="29"/>
  <c r="AL102" i="29"/>
  <c r="AK102" i="29"/>
  <c r="AJ102" i="29"/>
  <c r="AI102" i="29"/>
  <c r="AH102" i="29"/>
  <c r="AG102" i="29"/>
  <c r="AF102" i="29"/>
  <c r="AE102" i="29"/>
  <c r="AD102" i="29"/>
  <c r="AC102" i="29"/>
  <c r="AB102" i="29"/>
  <c r="AA102" i="29"/>
  <c r="Z102" i="29"/>
  <c r="Y102" i="29"/>
  <c r="X102" i="29"/>
  <c r="W102" i="29"/>
  <c r="V102" i="29"/>
  <c r="U102" i="29"/>
  <c r="T102" i="29"/>
  <c r="S102" i="29"/>
  <c r="R102" i="29"/>
  <c r="Q102" i="29"/>
  <c r="P102" i="29"/>
  <c r="O102" i="29"/>
  <c r="N102" i="29"/>
  <c r="M102" i="29"/>
  <c r="L102" i="29"/>
  <c r="J102" i="29"/>
  <c r="I102" i="29"/>
  <c r="H102" i="29"/>
  <c r="G102" i="29"/>
  <c r="F102" i="29"/>
  <c r="E102" i="29"/>
  <c r="AN101" i="29"/>
  <c r="AM101" i="29"/>
  <c r="AL101" i="29"/>
  <c r="AK101" i="29"/>
  <c r="AJ101" i="29"/>
  <c r="AI101" i="29"/>
  <c r="AH101" i="29"/>
  <c r="AG101" i="29"/>
  <c r="AF101" i="29"/>
  <c r="AE101" i="29"/>
  <c r="AD101" i="29"/>
  <c r="AC101" i="29"/>
  <c r="AB101" i="29"/>
  <c r="AA101" i="29"/>
  <c r="Z101" i="29"/>
  <c r="Y101" i="29"/>
  <c r="X101" i="29"/>
  <c r="W101" i="29"/>
  <c r="V101" i="29"/>
  <c r="U101" i="29"/>
  <c r="T101" i="29"/>
  <c r="S101" i="29"/>
  <c r="R101" i="29"/>
  <c r="Q101" i="29"/>
  <c r="P101" i="29"/>
  <c r="O101" i="29"/>
  <c r="N101" i="29"/>
  <c r="M101" i="29"/>
  <c r="L101" i="29"/>
  <c r="K101" i="29"/>
  <c r="J101" i="29"/>
  <c r="I101" i="29"/>
  <c r="H101" i="29"/>
  <c r="G101" i="29"/>
  <c r="F101" i="29"/>
  <c r="E101" i="29"/>
  <c r="AN100" i="29"/>
  <c r="AM100" i="29"/>
  <c r="AL100" i="29"/>
  <c r="AK100" i="29"/>
  <c r="AJ100" i="29"/>
  <c r="AI100" i="29"/>
  <c r="AH100" i="29"/>
  <c r="AG100" i="29"/>
  <c r="AF100" i="29"/>
  <c r="AE100" i="29"/>
  <c r="AD100" i="29"/>
  <c r="AC100" i="29"/>
  <c r="AB100" i="29"/>
  <c r="AA100" i="29"/>
  <c r="Z100" i="29"/>
  <c r="Y100" i="29"/>
  <c r="X100" i="29"/>
  <c r="W100" i="29"/>
  <c r="V100" i="29"/>
  <c r="U100" i="29"/>
  <c r="T100" i="29"/>
  <c r="S100" i="29"/>
  <c r="R100" i="29"/>
  <c r="Q100" i="29"/>
  <c r="P100" i="29"/>
  <c r="O100" i="29"/>
  <c r="N100" i="29"/>
  <c r="M100" i="29"/>
  <c r="L100" i="29"/>
  <c r="K100" i="29"/>
  <c r="J100" i="29"/>
  <c r="I100" i="29"/>
  <c r="H100" i="29"/>
  <c r="G100" i="29"/>
  <c r="F100" i="29"/>
  <c r="E100" i="29"/>
  <c r="AN99" i="29"/>
  <c r="AM99" i="29"/>
  <c r="AL99" i="29"/>
  <c r="AK99" i="29"/>
  <c r="AJ99" i="29"/>
  <c r="AI99" i="29"/>
  <c r="AH99" i="29"/>
  <c r="AG99" i="29"/>
  <c r="AF99" i="29"/>
  <c r="AE99" i="29"/>
  <c r="AD99" i="29"/>
  <c r="AC99" i="29"/>
  <c r="AB99" i="29"/>
  <c r="AA99" i="29"/>
  <c r="Z99" i="29"/>
  <c r="Y99" i="29"/>
  <c r="X99" i="29"/>
  <c r="W99" i="29"/>
  <c r="V99" i="29"/>
  <c r="U99" i="29"/>
  <c r="T99" i="29"/>
  <c r="S99" i="29"/>
  <c r="R99" i="29"/>
  <c r="Q99" i="29"/>
  <c r="P99" i="29"/>
  <c r="O99" i="29"/>
  <c r="N99" i="29"/>
  <c r="M99" i="29"/>
  <c r="L99" i="29"/>
  <c r="K99" i="29"/>
  <c r="J99" i="29"/>
  <c r="I99" i="29"/>
  <c r="H99" i="29"/>
  <c r="G99" i="29"/>
  <c r="F99" i="29"/>
  <c r="E99" i="29"/>
  <c r="AN98" i="29"/>
  <c r="AM98" i="29"/>
  <c r="AL98" i="29"/>
  <c r="AK98" i="29"/>
  <c r="AJ98" i="29"/>
  <c r="AI98" i="29"/>
  <c r="AH98" i="29"/>
  <c r="AG98" i="29"/>
  <c r="AF98" i="29"/>
  <c r="AE98" i="29"/>
  <c r="AD98" i="29"/>
  <c r="AC98" i="29"/>
  <c r="AB98" i="29"/>
  <c r="AA98" i="29"/>
  <c r="Z98" i="29"/>
  <c r="Y98" i="29"/>
  <c r="X98" i="29"/>
  <c r="W98" i="29"/>
  <c r="V98" i="29"/>
  <c r="U98" i="29"/>
  <c r="T98" i="29"/>
  <c r="S98" i="29"/>
  <c r="R98" i="29"/>
  <c r="Q98" i="29"/>
  <c r="P98" i="29"/>
  <c r="O98" i="29"/>
  <c r="N98" i="29"/>
  <c r="M98" i="29"/>
  <c r="L98" i="29"/>
  <c r="K98" i="29"/>
  <c r="J98" i="29"/>
  <c r="I98" i="29"/>
  <c r="H98" i="29"/>
  <c r="G98" i="29"/>
  <c r="F98" i="29"/>
  <c r="E98" i="29"/>
  <c r="AN97" i="29"/>
  <c r="AM97" i="29"/>
  <c r="AL97" i="29"/>
  <c r="AK97" i="29"/>
  <c r="AJ97" i="29"/>
  <c r="AI97" i="29"/>
  <c r="AH97" i="29"/>
  <c r="AG97" i="29"/>
  <c r="AF97" i="29"/>
  <c r="AE97" i="29"/>
  <c r="AD97" i="29"/>
  <c r="AC97" i="29"/>
  <c r="AB97" i="29"/>
  <c r="AA97" i="29"/>
  <c r="Z97" i="29"/>
  <c r="Y97" i="29"/>
  <c r="X97" i="29"/>
  <c r="W97" i="29"/>
  <c r="V97" i="29"/>
  <c r="U97" i="29"/>
  <c r="T97" i="29"/>
  <c r="S97" i="29"/>
  <c r="R97" i="29"/>
  <c r="Q97" i="29"/>
  <c r="P97" i="29"/>
  <c r="O97" i="29"/>
  <c r="N97" i="29"/>
  <c r="M97" i="29"/>
  <c r="L97" i="29"/>
  <c r="K97" i="29"/>
  <c r="J97" i="29"/>
  <c r="I97" i="29"/>
  <c r="H97" i="29"/>
  <c r="G97" i="29"/>
  <c r="F97" i="29"/>
  <c r="E97" i="29"/>
  <c r="AN96" i="29"/>
  <c r="AM96" i="29"/>
  <c r="AL96" i="29"/>
  <c r="AK96" i="29"/>
  <c r="AJ96" i="29"/>
  <c r="AI96" i="29"/>
  <c r="AH96" i="29"/>
  <c r="AG96" i="29"/>
  <c r="AF96" i="29"/>
  <c r="AE96" i="29"/>
  <c r="AD96" i="29"/>
  <c r="AC96" i="29"/>
  <c r="AB96" i="29"/>
  <c r="AA96" i="29"/>
  <c r="Z96" i="29"/>
  <c r="Y96" i="29"/>
  <c r="X96" i="29"/>
  <c r="W96" i="29"/>
  <c r="V96" i="29"/>
  <c r="U96" i="29"/>
  <c r="T96" i="29"/>
  <c r="S96" i="29"/>
  <c r="R96" i="29"/>
  <c r="Q96" i="29"/>
  <c r="P96" i="29"/>
  <c r="O96" i="29"/>
  <c r="N96" i="29"/>
  <c r="M96" i="29"/>
  <c r="L96" i="29"/>
  <c r="K96" i="29"/>
  <c r="J96" i="29"/>
  <c r="I96" i="29"/>
  <c r="H96" i="29"/>
  <c r="G96" i="29"/>
  <c r="F96" i="29"/>
  <c r="E96" i="29"/>
  <c r="AN95" i="29"/>
  <c r="AM95" i="29"/>
  <c r="AL95" i="29"/>
  <c r="AK95" i="29"/>
  <c r="AJ95" i="29"/>
  <c r="AI95" i="29"/>
  <c r="AH95" i="29"/>
  <c r="AG95" i="29"/>
  <c r="AF95" i="29"/>
  <c r="AE95" i="29"/>
  <c r="AD95" i="29"/>
  <c r="AC95" i="29"/>
  <c r="AB95" i="29"/>
  <c r="AA95" i="29"/>
  <c r="Z95" i="29"/>
  <c r="Y95" i="29"/>
  <c r="X95" i="29"/>
  <c r="W95" i="29"/>
  <c r="V95" i="29"/>
  <c r="U95" i="29"/>
  <c r="T95" i="29"/>
  <c r="S95" i="29"/>
  <c r="R95" i="29"/>
  <c r="Q95" i="29"/>
  <c r="P95" i="29"/>
  <c r="O95" i="29"/>
  <c r="N95" i="29"/>
  <c r="M95" i="29"/>
  <c r="L95" i="29"/>
  <c r="K95" i="29"/>
  <c r="J95" i="29"/>
  <c r="I95" i="29"/>
  <c r="H95" i="29"/>
  <c r="G95" i="29"/>
  <c r="F95" i="29"/>
  <c r="E95" i="29"/>
  <c r="AN94" i="29"/>
  <c r="AM94" i="29"/>
  <c r="AL94" i="29"/>
  <c r="AK94" i="29"/>
  <c r="AJ94" i="29"/>
  <c r="AI94" i="29"/>
  <c r="AH94" i="29"/>
  <c r="AG94" i="29"/>
  <c r="AF94" i="29"/>
  <c r="AE94" i="29"/>
  <c r="AD94" i="29"/>
  <c r="AC94" i="29"/>
  <c r="AB94" i="29"/>
  <c r="AA94" i="29"/>
  <c r="Z94" i="29"/>
  <c r="Y94" i="29"/>
  <c r="X94" i="29"/>
  <c r="W94" i="29"/>
  <c r="V94" i="29"/>
  <c r="U94" i="29"/>
  <c r="T94" i="29"/>
  <c r="S94" i="29"/>
  <c r="R94" i="29"/>
  <c r="Q94" i="29"/>
  <c r="P94" i="29"/>
  <c r="O94" i="29"/>
  <c r="N94" i="29"/>
  <c r="M94" i="29"/>
  <c r="L94" i="29"/>
  <c r="K94" i="29"/>
  <c r="J94" i="29"/>
  <c r="I94" i="29"/>
  <c r="H94" i="29"/>
  <c r="G94" i="29"/>
  <c r="F94" i="29"/>
  <c r="E94" i="29"/>
  <c r="AN93" i="29"/>
  <c r="AM93" i="29"/>
  <c r="AL93" i="29"/>
  <c r="AK93" i="29"/>
  <c r="AJ93" i="29"/>
  <c r="AI93" i="29"/>
  <c r="AH93" i="29"/>
  <c r="AG93" i="29"/>
  <c r="AF93" i="29"/>
  <c r="AE93" i="29"/>
  <c r="AD93" i="29"/>
  <c r="AC93" i="29"/>
  <c r="AB93" i="29"/>
  <c r="AA93" i="29"/>
  <c r="Z93" i="29"/>
  <c r="Y93" i="29"/>
  <c r="X93" i="29"/>
  <c r="W93" i="29"/>
  <c r="V93" i="29"/>
  <c r="U93" i="29"/>
  <c r="T93" i="29"/>
  <c r="S93" i="29"/>
  <c r="R93" i="29"/>
  <c r="Q93" i="29"/>
  <c r="P93" i="29"/>
  <c r="O93" i="29"/>
  <c r="N93" i="29"/>
  <c r="M93" i="29"/>
  <c r="L93" i="29"/>
  <c r="K93" i="29"/>
  <c r="J93" i="29"/>
  <c r="I93" i="29"/>
  <c r="H93" i="29"/>
  <c r="G93" i="29"/>
  <c r="F93" i="29"/>
  <c r="E93" i="29"/>
  <c r="AN92" i="29"/>
  <c r="AM92" i="29"/>
  <c r="AL92" i="29"/>
  <c r="AK92" i="29"/>
  <c r="AJ92" i="29"/>
  <c r="AI92" i="29"/>
  <c r="AH92" i="29"/>
  <c r="AG92" i="29"/>
  <c r="AF92" i="29"/>
  <c r="AE92" i="29"/>
  <c r="AD92" i="29"/>
  <c r="AC92" i="29"/>
  <c r="AB92" i="29"/>
  <c r="AA92" i="29"/>
  <c r="Z92" i="29"/>
  <c r="Y92" i="29"/>
  <c r="X92" i="29"/>
  <c r="W92" i="29"/>
  <c r="V92" i="29"/>
  <c r="U92" i="29"/>
  <c r="T92" i="29"/>
  <c r="S92" i="29"/>
  <c r="R92" i="29"/>
  <c r="Q92" i="29"/>
  <c r="P92" i="29"/>
  <c r="O92" i="29"/>
  <c r="N92" i="29"/>
  <c r="M92" i="29"/>
  <c r="L92" i="29"/>
  <c r="K92" i="29"/>
  <c r="J92" i="29"/>
  <c r="I92" i="29"/>
  <c r="H92" i="29"/>
  <c r="G92" i="29"/>
  <c r="F92" i="29"/>
  <c r="E92" i="29"/>
  <c r="AN91" i="29"/>
  <c r="AM91" i="29"/>
  <c r="AL91" i="29"/>
  <c r="AK91" i="29"/>
  <c r="AJ91" i="29"/>
  <c r="AI91" i="29"/>
  <c r="AH91" i="29"/>
  <c r="AG91" i="29"/>
  <c r="AF91" i="29"/>
  <c r="AE91" i="29"/>
  <c r="AD91" i="29"/>
  <c r="AC91" i="29"/>
  <c r="AB91" i="29"/>
  <c r="AA91" i="29"/>
  <c r="Z91" i="29"/>
  <c r="Y91" i="29"/>
  <c r="X91" i="29"/>
  <c r="W91" i="29"/>
  <c r="V91" i="29"/>
  <c r="U91" i="29"/>
  <c r="T91" i="29"/>
  <c r="S91" i="29"/>
  <c r="R91" i="29"/>
  <c r="Q91" i="29"/>
  <c r="P91" i="29"/>
  <c r="O91" i="29"/>
  <c r="N91" i="29"/>
  <c r="M91" i="29"/>
  <c r="L91" i="29"/>
  <c r="K91" i="29"/>
  <c r="J91" i="29"/>
  <c r="I91" i="29"/>
  <c r="H91" i="29"/>
  <c r="G91" i="29"/>
  <c r="F91" i="29"/>
  <c r="E91" i="29"/>
  <c r="AN90" i="29"/>
  <c r="AM90" i="29"/>
  <c r="AL90" i="29"/>
  <c r="AK90" i="29"/>
  <c r="AJ90" i="29"/>
  <c r="AI90" i="29"/>
  <c r="AH90" i="29"/>
  <c r="AG90" i="29"/>
  <c r="AF90" i="29"/>
  <c r="AE90" i="29"/>
  <c r="AD90" i="29"/>
  <c r="AC90" i="29"/>
  <c r="AB90" i="29"/>
  <c r="AA90" i="29"/>
  <c r="Z90" i="29"/>
  <c r="Y90" i="29"/>
  <c r="X90" i="29"/>
  <c r="W90" i="29"/>
  <c r="V90" i="29"/>
  <c r="U90" i="29"/>
  <c r="T90" i="29"/>
  <c r="S90" i="29"/>
  <c r="R90" i="29"/>
  <c r="Q90" i="29"/>
  <c r="P90" i="29"/>
  <c r="O90" i="29"/>
  <c r="N90" i="29"/>
  <c r="M90" i="29"/>
  <c r="L90" i="29"/>
  <c r="K90" i="29"/>
  <c r="J90" i="29"/>
  <c r="I90" i="29"/>
  <c r="H90" i="29"/>
  <c r="G90" i="29"/>
  <c r="F90" i="29"/>
  <c r="E90" i="29"/>
  <c r="AN89" i="29"/>
  <c r="AM89" i="29"/>
  <c r="AL89" i="29"/>
  <c r="AK89" i="29"/>
  <c r="AJ89" i="29"/>
  <c r="AI89" i="29"/>
  <c r="AH89" i="29"/>
  <c r="AG89" i="29"/>
  <c r="AF89" i="29"/>
  <c r="AE89" i="29"/>
  <c r="AD89" i="29"/>
  <c r="AC89" i="29"/>
  <c r="AB89" i="29"/>
  <c r="AA89" i="29"/>
  <c r="Z89" i="29"/>
  <c r="Y89" i="29"/>
  <c r="X89" i="29"/>
  <c r="W89" i="29"/>
  <c r="V89" i="29"/>
  <c r="U89" i="29"/>
  <c r="T89" i="29"/>
  <c r="S89" i="29"/>
  <c r="R89" i="29"/>
  <c r="Q89" i="29"/>
  <c r="P89" i="29"/>
  <c r="O89" i="29"/>
  <c r="N89" i="29"/>
  <c r="M89" i="29"/>
  <c r="L89" i="29"/>
  <c r="K89" i="29"/>
  <c r="J89" i="29"/>
  <c r="I89" i="29"/>
  <c r="H89" i="29"/>
  <c r="G89" i="29"/>
  <c r="F89" i="29"/>
  <c r="E89" i="29"/>
  <c r="AN88" i="29"/>
  <c r="AM88" i="29"/>
  <c r="AL88" i="29"/>
  <c r="AK88" i="29"/>
  <c r="AJ88" i="29"/>
  <c r="AI88" i="29"/>
  <c r="AH88" i="29"/>
  <c r="AG88" i="29"/>
  <c r="AF88" i="29"/>
  <c r="AE88" i="29"/>
  <c r="AD88" i="29"/>
  <c r="AC88" i="29"/>
  <c r="AB88" i="29"/>
  <c r="AA88" i="29"/>
  <c r="Z88" i="29"/>
  <c r="Y88" i="29"/>
  <c r="X88" i="29"/>
  <c r="W88" i="29"/>
  <c r="V88" i="29"/>
  <c r="U88" i="29"/>
  <c r="T88" i="29"/>
  <c r="S88" i="29"/>
  <c r="R88" i="29"/>
  <c r="Q88" i="29"/>
  <c r="P88" i="29"/>
  <c r="O88" i="29"/>
  <c r="N88" i="29"/>
  <c r="M88" i="29"/>
  <c r="L88" i="29"/>
  <c r="K88" i="29"/>
  <c r="J88" i="29"/>
  <c r="I88" i="29"/>
  <c r="H88" i="29"/>
  <c r="G88" i="29"/>
  <c r="F88" i="29"/>
  <c r="E88" i="29"/>
  <c r="AN87" i="29"/>
  <c r="AM87" i="29"/>
  <c r="AL87" i="29"/>
  <c r="AK87" i="29"/>
  <c r="AJ87" i="29"/>
  <c r="AI87" i="29"/>
  <c r="AH87" i="29"/>
  <c r="AG87" i="29"/>
  <c r="AF87" i="29"/>
  <c r="AE87" i="29"/>
  <c r="AD87" i="29"/>
  <c r="AC87" i="29"/>
  <c r="AB87" i="29"/>
  <c r="AA87" i="29"/>
  <c r="Z87" i="29"/>
  <c r="Y87" i="29"/>
  <c r="X87" i="29"/>
  <c r="W87" i="29"/>
  <c r="V87" i="29"/>
  <c r="U87" i="29"/>
  <c r="T87" i="29"/>
  <c r="S87" i="29"/>
  <c r="R87" i="29"/>
  <c r="Q87" i="29"/>
  <c r="P87" i="29"/>
  <c r="O87" i="29"/>
  <c r="N87" i="29"/>
  <c r="M87" i="29"/>
  <c r="L87" i="29"/>
  <c r="K87" i="29"/>
  <c r="J87" i="29"/>
  <c r="I87" i="29"/>
  <c r="H87" i="29"/>
  <c r="G87" i="29"/>
  <c r="F87" i="29"/>
  <c r="E87" i="29"/>
  <c r="AN86" i="29"/>
  <c r="AM86" i="29"/>
  <c r="AL86" i="29"/>
  <c r="AK86" i="29"/>
  <c r="AJ86" i="29"/>
  <c r="AI86" i="29"/>
  <c r="AH86" i="29"/>
  <c r="AG86" i="29"/>
  <c r="AF86" i="29"/>
  <c r="AE86" i="29"/>
  <c r="AD86" i="29"/>
  <c r="AC86" i="29"/>
  <c r="AB86" i="29"/>
  <c r="AA86" i="29"/>
  <c r="Z86" i="29"/>
  <c r="Y86" i="29"/>
  <c r="X86" i="29"/>
  <c r="W86" i="29"/>
  <c r="V86" i="29"/>
  <c r="U86" i="29"/>
  <c r="T86" i="29"/>
  <c r="S86" i="29"/>
  <c r="R86" i="29"/>
  <c r="Q86" i="29"/>
  <c r="P86" i="29"/>
  <c r="O86" i="29"/>
  <c r="N86" i="29"/>
  <c r="M86" i="29"/>
  <c r="L86" i="29"/>
  <c r="K86" i="29"/>
  <c r="J86" i="29"/>
  <c r="I86" i="29"/>
  <c r="H86" i="29"/>
  <c r="G86" i="29"/>
  <c r="F86" i="29"/>
  <c r="E86" i="29"/>
  <c r="AN85" i="29"/>
  <c r="AM85" i="29"/>
  <c r="AL85" i="29"/>
  <c r="AK85" i="29"/>
  <c r="AJ85" i="29"/>
  <c r="AI85" i="29"/>
  <c r="AH85" i="29"/>
  <c r="AG85" i="29"/>
  <c r="AF85" i="29"/>
  <c r="AE85" i="29"/>
  <c r="AD85" i="29"/>
  <c r="AC85" i="29"/>
  <c r="AB85" i="29"/>
  <c r="AA85" i="29"/>
  <c r="Z85" i="29"/>
  <c r="Y85" i="29"/>
  <c r="X85" i="29"/>
  <c r="W85" i="29"/>
  <c r="V85" i="29"/>
  <c r="U85" i="29"/>
  <c r="T85" i="29"/>
  <c r="S85" i="29"/>
  <c r="R85" i="29"/>
  <c r="Q85" i="29"/>
  <c r="P85" i="29"/>
  <c r="O85" i="29"/>
  <c r="N85" i="29"/>
  <c r="M85" i="29"/>
  <c r="L85" i="29"/>
  <c r="K85" i="29"/>
  <c r="J85" i="29"/>
  <c r="I85" i="29"/>
  <c r="H85" i="29"/>
  <c r="G85" i="29"/>
  <c r="F85" i="29"/>
  <c r="E85" i="29"/>
  <c r="AN84" i="29"/>
  <c r="AM84" i="29"/>
  <c r="AL84" i="29"/>
  <c r="AK84" i="29"/>
  <c r="AJ84" i="29"/>
  <c r="AI84" i="29"/>
  <c r="AH84" i="29"/>
  <c r="AG84" i="29"/>
  <c r="AF84" i="29"/>
  <c r="AE84" i="29"/>
  <c r="AD84" i="29"/>
  <c r="AC84" i="29"/>
  <c r="AB84" i="29"/>
  <c r="AA84" i="29"/>
  <c r="Z84" i="29"/>
  <c r="Y84" i="29"/>
  <c r="X84" i="29"/>
  <c r="W84" i="29"/>
  <c r="V84" i="29"/>
  <c r="U84" i="29"/>
  <c r="T84" i="29"/>
  <c r="S84" i="29"/>
  <c r="R84" i="29"/>
  <c r="Q84" i="29"/>
  <c r="P84" i="29"/>
  <c r="O84" i="29"/>
  <c r="N84" i="29"/>
  <c r="M84" i="29"/>
  <c r="L84" i="29"/>
  <c r="K84" i="29"/>
  <c r="J84" i="29"/>
  <c r="I84" i="29"/>
  <c r="H84" i="29"/>
  <c r="G84" i="29"/>
  <c r="F84" i="29"/>
  <c r="E84" i="29"/>
  <c r="AN83" i="29"/>
  <c r="AM83" i="29"/>
  <c r="AL83" i="29"/>
  <c r="AK83" i="29"/>
  <c r="AJ83" i="29"/>
  <c r="AI83" i="29"/>
  <c r="AH83" i="29"/>
  <c r="AG83" i="29"/>
  <c r="AF83" i="29"/>
  <c r="AE83" i="29"/>
  <c r="AD83" i="29"/>
  <c r="AC83" i="29"/>
  <c r="AB83" i="29"/>
  <c r="AA83" i="29"/>
  <c r="Z83" i="29"/>
  <c r="Y83" i="29"/>
  <c r="X83" i="29"/>
  <c r="W83" i="29"/>
  <c r="V83" i="29"/>
  <c r="U83" i="29"/>
  <c r="T83" i="29"/>
  <c r="S83" i="29"/>
  <c r="R83" i="29"/>
  <c r="Q83" i="29"/>
  <c r="P83" i="29"/>
  <c r="O83" i="29"/>
  <c r="N83" i="29"/>
  <c r="M83" i="29"/>
  <c r="L83" i="29"/>
  <c r="K83" i="29"/>
  <c r="J83" i="29"/>
  <c r="I83" i="29"/>
  <c r="H83" i="29"/>
  <c r="G83" i="29"/>
  <c r="F83" i="29"/>
  <c r="E83" i="29"/>
  <c r="AN82" i="29"/>
  <c r="AM82" i="29"/>
  <c r="AL82" i="29"/>
  <c r="AK82" i="29"/>
  <c r="AJ82" i="29"/>
  <c r="AI82" i="29"/>
  <c r="AH82" i="29"/>
  <c r="AG82" i="29"/>
  <c r="AF82" i="29"/>
  <c r="AE82" i="29"/>
  <c r="AD82" i="29"/>
  <c r="AC82" i="29"/>
  <c r="AB82" i="29"/>
  <c r="AA82" i="29"/>
  <c r="Z82" i="29"/>
  <c r="Y82" i="29"/>
  <c r="X82" i="29"/>
  <c r="W82" i="29"/>
  <c r="V82" i="29"/>
  <c r="U82" i="29"/>
  <c r="T82" i="29"/>
  <c r="S82" i="29"/>
  <c r="R82" i="29"/>
  <c r="Q82" i="29"/>
  <c r="P82" i="29"/>
  <c r="O82" i="29"/>
  <c r="N82" i="29"/>
  <c r="M82" i="29"/>
  <c r="L82" i="29"/>
  <c r="K82" i="29"/>
  <c r="J82" i="29"/>
  <c r="I82" i="29"/>
  <c r="H82" i="29"/>
  <c r="G82" i="29"/>
  <c r="F82" i="29"/>
  <c r="E82" i="29"/>
  <c r="AN81" i="29"/>
  <c r="AM81" i="29"/>
  <c r="AL81" i="29"/>
  <c r="AK81" i="29"/>
  <c r="AJ81" i="29"/>
  <c r="AI81" i="29"/>
  <c r="AH81" i="29"/>
  <c r="AG81" i="29"/>
  <c r="AF81" i="29"/>
  <c r="AE81" i="29"/>
  <c r="AD81" i="29"/>
  <c r="AC81" i="29"/>
  <c r="AB81" i="29"/>
  <c r="AA81" i="29"/>
  <c r="Z81" i="29"/>
  <c r="Y81" i="29"/>
  <c r="X81" i="29"/>
  <c r="W81" i="29"/>
  <c r="V81" i="29"/>
  <c r="U81" i="29"/>
  <c r="T81" i="29"/>
  <c r="S81" i="29"/>
  <c r="R81" i="29"/>
  <c r="Q81" i="29"/>
  <c r="P81" i="29"/>
  <c r="O81" i="29"/>
  <c r="N81" i="29"/>
  <c r="M81" i="29"/>
  <c r="L81" i="29"/>
  <c r="K81" i="29"/>
  <c r="J81" i="29"/>
  <c r="I81" i="29"/>
  <c r="H81" i="29"/>
  <c r="G81" i="29"/>
  <c r="F81" i="29"/>
  <c r="E81" i="29"/>
  <c r="AN80" i="29"/>
  <c r="AM80" i="29"/>
  <c r="AL80" i="29"/>
  <c r="AK80" i="29"/>
  <c r="AJ80" i="29"/>
  <c r="AI80" i="29"/>
  <c r="AH80" i="29"/>
  <c r="AG80" i="29"/>
  <c r="AF80" i="29"/>
  <c r="AE80" i="29"/>
  <c r="AD80" i="29"/>
  <c r="AC80" i="29"/>
  <c r="AB80" i="29"/>
  <c r="AA80" i="29"/>
  <c r="Z80" i="29"/>
  <c r="Y80" i="29"/>
  <c r="X80" i="29"/>
  <c r="W80" i="29"/>
  <c r="V80" i="29"/>
  <c r="U80" i="29"/>
  <c r="T80" i="29"/>
  <c r="S80" i="29"/>
  <c r="R80" i="29"/>
  <c r="Q80" i="29"/>
  <c r="P80" i="29"/>
  <c r="O80" i="29"/>
  <c r="N80" i="29"/>
  <c r="M80" i="29"/>
  <c r="L80" i="29"/>
  <c r="K80" i="29"/>
  <c r="J80" i="29"/>
  <c r="I80" i="29"/>
  <c r="H80" i="29"/>
  <c r="G80" i="29"/>
  <c r="F80" i="29"/>
  <c r="E80" i="29"/>
  <c r="AN79" i="29"/>
  <c r="AM79" i="29"/>
  <c r="AL79" i="29"/>
  <c r="AK79" i="29"/>
  <c r="AJ79" i="29"/>
  <c r="AI79" i="29"/>
  <c r="AH79" i="29"/>
  <c r="AG79" i="29"/>
  <c r="AF79" i="29"/>
  <c r="AE79" i="29"/>
  <c r="AD79" i="29"/>
  <c r="AC79" i="29"/>
  <c r="AB79" i="29"/>
  <c r="AA79" i="29"/>
  <c r="Z79" i="29"/>
  <c r="Y79" i="29"/>
  <c r="X79" i="29"/>
  <c r="W79" i="29"/>
  <c r="V79" i="29"/>
  <c r="U79" i="29"/>
  <c r="T79" i="29"/>
  <c r="S79" i="29"/>
  <c r="R79" i="29"/>
  <c r="Q79" i="29"/>
  <c r="P79" i="29"/>
  <c r="O79" i="29"/>
  <c r="N79" i="29"/>
  <c r="M79" i="29"/>
  <c r="L79" i="29"/>
  <c r="K79" i="29"/>
  <c r="J79" i="29"/>
  <c r="I79" i="29"/>
  <c r="H79" i="29"/>
  <c r="G79" i="29"/>
  <c r="F79" i="29"/>
  <c r="E79" i="29"/>
  <c r="AN78" i="29"/>
  <c r="AM78" i="29"/>
  <c r="AL78" i="29"/>
  <c r="AK78" i="29"/>
  <c r="AJ78" i="29"/>
  <c r="AI78" i="29"/>
  <c r="AH78" i="29"/>
  <c r="AG78" i="29"/>
  <c r="AF78" i="29"/>
  <c r="AE78" i="29"/>
  <c r="AD78" i="29"/>
  <c r="AC78" i="29"/>
  <c r="AB78" i="29"/>
  <c r="AA78" i="29"/>
  <c r="Z78" i="29"/>
  <c r="Y78" i="29"/>
  <c r="X78" i="29"/>
  <c r="W78" i="29"/>
  <c r="V78" i="29"/>
  <c r="U78" i="29"/>
  <c r="T78" i="29"/>
  <c r="S78" i="29"/>
  <c r="R78" i="29"/>
  <c r="Q78" i="29"/>
  <c r="P78" i="29"/>
  <c r="O78" i="29"/>
  <c r="N78" i="29"/>
  <c r="M78" i="29"/>
  <c r="L78" i="29"/>
  <c r="K78" i="29"/>
  <c r="J78" i="29"/>
  <c r="I78" i="29"/>
  <c r="H78" i="29"/>
  <c r="G78" i="29"/>
  <c r="F78" i="29"/>
  <c r="E78" i="29"/>
  <c r="AN77" i="29"/>
  <c r="AM77" i="29"/>
  <c r="AL77" i="29"/>
  <c r="AK77" i="29"/>
  <c r="AJ77" i="29"/>
  <c r="AI77" i="29"/>
  <c r="AH77" i="29"/>
  <c r="AG77" i="29"/>
  <c r="AF77" i="29"/>
  <c r="AE77" i="29"/>
  <c r="AD77" i="29"/>
  <c r="AC77" i="29"/>
  <c r="AB77" i="29"/>
  <c r="AA77" i="29"/>
  <c r="Z77" i="29"/>
  <c r="Y77" i="29"/>
  <c r="X77" i="29"/>
  <c r="W77" i="29"/>
  <c r="V77" i="29"/>
  <c r="U77" i="29"/>
  <c r="T77" i="29"/>
  <c r="S77" i="29"/>
  <c r="R77" i="29"/>
  <c r="Q77" i="29"/>
  <c r="P77" i="29"/>
  <c r="O77" i="29"/>
  <c r="N77" i="29"/>
  <c r="M77" i="29"/>
  <c r="L77" i="29"/>
  <c r="K77" i="29"/>
  <c r="J77" i="29"/>
  <c r="I77" i="29"/>
  <c r="H77" i="29"/>
  <c r="G77" i="29"/>
  <c r="F77" i="29"/>
  <c r="E77" i="29"/>
  <c r="AN76" i="29"/>
  <c r="AM76" i="29"/>
  <c r="AL76" i="29"/>
  <c r="AK76" i="29"/>
  <c r="AJ76" i="29"/>
  <c r="AI76" i="29"/>
  <c r="AH76" i="29"/>
  <c r="AG76" i="29"/>
  <c r="AF76" i="29"/>
  <c r="AE76" i="29"/>
  <c r="AD76" i="29"/>
  <c r="AC76" i="29"/>
  <c r="AB76" i="29"/>
  <c r="AA76" i="29"/>
  <c r="Z76" i="29"/>
  <c r="Y76" i="29"/>
  <c r="X76" i="29"/>
  <c r="W76" i="29"/>
  <c r="V76" i="29"/>
  <c r="U76" i="29"/>
  <c r="T76" i="29"/>
  <c r="S76" i="29"/>
  <c r="R76" i="29"/>
  <c r="Q76" i="29"/>
  <c r="P76" i="29"/>
  <c r="O76" i="29"/>
  <c r="N76" i="29"/>
  <c r="M76" i="29"/>
  <c r="L76" i="29"/>
  <c r="K76" i="29"/>
  <c r="J76" i="29"/>
  <c r="I76" i="29"/>
  <c r="H76" i="29"/>
  <c r="G76" i="29"/>
  <c r="F76" i="29"/>
  <c r="E76" i="29"/>
  <c r="AN75" i="29"/>
  <c r="AM75" i="29"/>
  <c r="AL75" i="29"/>
  <c r="AK75" i="29"/>
  <c r="AJ75" i="29"/>
  <c r="AI75" i="29"/>
  <c r="AH75" i="29"/>
  <c r="AG75" i="29"/>
  <c r="AF75" i="29"/>
  <c r="AE75" i="29"/>
  <c r="AD75" i="29"/>
  <c r="AC75" i="29"/>
  <c r="AB75" i="29"/>
  <c r="AA75" i="29"/>
  <c r="Z75" i="29"/>
  <c r="Y75" i="29"/>
  <c r="X75" i="29"/>
  <c r="W75" i="29"/>
  <c r="V75" i="29"/>
  <c r="U75" i="29"/>
  <c r="T75" i="29"/>
  <c r="S75" i="29"/>
  <c r="R75" i="29"/>
  <c r="Q75" i="29"/>
  <c r="P75" i="29"/>
  <c r="O75" i="29"/>
  <c r="N75" i="29"/>
  <c r="M75" i="29"/>
  <c r="L75" i="29"/>
  <c r="K75" i="29"/>
  <c r="J75" i="29"/>
  <c r="I75" i="29"/>
  <c r="H75" i="29"/>
  <c r="G75" i="29"/>
  <c r="F75" i="29"/>
  <c r="E75" i="29"/>
  <c r="AN74" i="29"/>
  <c r="AM74" i="29"/>
  <c r="AL74" i="29"/>
  <c r="AK74" i="29"/>
  <c r="AJ74" i="29"/>
  <c r="AI74" i="29"/>
  <c r="AH74" i="29"/>
  <c r="AG74" i="29"/>
  <c r="AF74" i="29"/>
  <c r="AE74" i="29"/>
  <c r="AD74" i="29"/>
  <c r="AC74" i="29"/>
  <c r="AB74" i="29"/>
  <c r="AA74" i="29"/>
  <c r="Z74" i="29"/>
  <c r="Y74" i="29"/>
  <c r="X74" i="29"/>
  <c r="W74" i="29"/>
  <c r="V74" i="29"/>
  <c r="U74" i="29"/>
  <c r="T74" i="29"/>
  <c r="S74" i="29"/>
  <c r="R74" i="29"/>
  <c r="Q74" i="29"/>
  <c r="P74" i="29"/>
  <c r="O74" i="29"/>
  <c r="N74" i="29"/>
  <c r="M74" i="29"/>
  <c r="L74" i="29"/>
  <c r="K74" i="29"/>
  <c r="J74" i="29"/>
  <c r="I74" i="29"/>
  <c r="H74" i="29"/>
  <c r="G74" i="29"/>
  <c r="F74" i="29"/>
  <c r="E74" i="29"/>
  <c r="AN73" i="29"/>
  <c r="AM73" i="29"/>
  <c r="AL73" i="29"/>
  <c r="AK73" i="29"/>
  <c r="AJ73" i="29"/>
  <c r="AI73" i="29"/>
  <c r="AH73" i="29"/>
  <c r="AG73" i="29"/>
  <c r="AF73" i="29"/>
  <c r="AE73" i="29"/>
  <c r="AD73" i="29"/>
  <c r="AC73" i="29"/>
  <c r="AB73" i="29"/>
  <c r="AA73" i="29"/>
  <c r="Z73" i="29"/>
  <c r="Y73" i="29"/>
  <c r="X73" i="29"/>
  <c r="W73" i="29"/>
  <c r="V73" i="29"/>
  <c r="U73" i="29"/>
  <c r="T73" i="29"/>
  <c r="S73" i="29"/>
  <c r="R73" i="29"/>
  <c r="Q73" i="29"/>
  <c r="P73" i="29"/>
  <c r="O73" i="29"/>
  <c r="N73" i="29"/>
  <c r="M73" i="29"/>
  <c r="L73" i="29"/>
  <c r="K73" i="29"/>
  <c r="J73" i="29"/>
  <c r="I73" i="29"/>
  <c r="H73" i="29"/>
  <c r="G73" i="29"/>
  <c r="F73" i="29"/>
  <c r="E73" i="29"/>
  <c r="AN72" i="29"/>
  <c r="AM72" i="29"/>
  <c r="AL72" i="29"/>
  <c r="AK72" i="29"/>
  <c r="AJ72" i="29"/>
  <c r="AI72" i="29"/>
  <c r="AH72" i="29"/>
  <c r="AG72" i="29"/>
  <c r="AF72" i="29"/>
  <c r="AE72" i="29"/>
  <c r="AD72" i="29"/>
  <c r="AC72" i="29"/>
  <c r="AB72" i="29"/>
  <c r="AA72" i="29"/>
  <c r="Z72" i="29"/>
  <c r="Y72" i="29"/>
  <c r="X72" i="29"/>
  <c r="W72" i="29"/>
  <c r="V72" i="29"/>
  <c r="U72" i="29"/>
  <c r="T72" i="29"/>
  <c r="S72" i="29"/>
  <c r="R72" i="29"/>
  <c r="Q72" i="29"/>
  <c r="P72" i="29"/>
  <c r="O72" i="29"/>
  <c r="N72" i="29"/>
  <c r="M72" i="29"/>
  <c r="L72" i="29"/>
  <c r="K72" i="29"/>
  <c r="J72" i="29"/>
  <c r="I72" i="29"/>
  <c r="H72" i="29"/>
  <c r="G72" i="29"/>
  <c r="F72" i="29"/>
  <c r="E72" i="29"/>
  <c r="AN71" i="29"/>
  <c r="AM71" i="29"/>
  <c r="AL71" i="29"/>
  <c r="AK71" i="29"/>
  <c r="AJ71" i="29"/>
  <c r="AI71" i="29"/>
  <c r="AH71" i="29"/>
  <c r="AG71" i="29"/>
  <c r="AF71" i="29"/>
  <c r="AE71" i="29"/>
  <c r="AD71" i="29"/>
  <c r="AC71" i="29"/>
  <c r="AB71" i="29"/>
  <c r="AA71" i="29"/>
  <c r="Z71" i="29"/>
  <c r="Y71" i="29"/>
  <c r="X71" i="29"/>
  <c r="W71" i="29"/>
  <c r="V71" i="29"/>
  <c r="U71" i="29"/>
  <c r="T71" i="29"/>
  <c r="S71" i="29"/>
  <c r="R71" i="29"/>
  <c r="Q71" i="29"/>
  <c r="P71" i="29"/>
  <c r="O71" i="29"/>
  <c r="N71" i="29"/>
  <c r="M71" i="29"/>
  <c r="L71" i="29"/>
  <c r="K71" i="29"/>
  <c r="J71" i="29"/>
  <c r="I71" i="29"/>
  <c r="H71" i="29"/>
  <c r="G71" i="29"/>
  <c r="F71" i="29"/>
  <c r="E71" i="29"/>
  <c r="AN70" i="29"/>
  <c r="AM70" i="29"/>
  <c r="AL70" i="29"/>
  <c r="AK70" i="29"/>
  <c r="AJ70" i="29"/>
  <c r="AI70" i="29"/>
  <c r="AH70" i="29"/>
  <c r="AG70" i="29"/>
  <c r="AF70" i="29"/>
  <c r="AE70" i="29"/>
  <c r="AD70" i="29"/>
  <c r="AC70" i="29"/>
  <c r="AB70" i="29"/>
  <c r="AA70" i="29"/>
  <c r="Z70" i="29"/>
  <c r="Y70" i="29"/>
  <c r="X70" i="29"/>
  <c r="W70" i="29"/>
  <c r="V70" i="29"/>
  <c r="U70" i="29"/>
  <c r="T70" i="29"/>
  <c r="S70" i="29"/>
  <c r="R70" i="29"/>
  <c r="Q70" i="29"/>
  <c r="P70" i="29"/>
  <c r="O70" i="29"/>
  <c r="N70" i="29"/>
  <c r="M70" i="29"/>
  <c r="L70" i="29"/>
  <c r="K70" i="29"/>
  <c r="J70" i="29"/>
  <c r="I70" i="29"/>
  <c r="H70" i="29"/>
  <c r="G70" i="29"/>
  <c r="F70" i="29"/>
  <c r="E70" i="29"/>
  <c r="AN69" i="29"/>
  <c r="AM69" i="29"/>
  <c r="AL69" i="29"/>
  <c r="AK69" i="29"/>
  <c r="AJ69" i="29"/>
  <c r="AI69" i="29"/>
  <c r="AH69" i="29"/>
  <c r="AG69" i="29"/>
  <c r="AF69" i="29"/>
  <c r="AE69" i="29"/>
  <c r="AD69" i="29"/>
  <c r="AC69" i="29"/>
  <c r="AB69" i="29"/>
  <c r="AA69" i="29"/>
  <c r="Z69" i="29"/>
  <c r="Y69" i="29"/>
  <c r="X69" i="29"/>
  <c r="W69" i="29"/>
  <c r="V69" i="29"/>
  <c r="U69" i="29"/>
  <c r="T69" i="29"/>
  <c r="S69" i="29"/>
  <c r="R69" i="29"/>
  <c r="Q69" i="29"/>
  <c r="P69" i="29"/>
  <c r="O69" i="29"/>
  <c r="N69" i="29"/>
  <c r="M69" i="29"/>
  <c r="L69" i="29"/>
  <c r="K69" i="29"/>
  <c r="J69" i="29"/>
  <c r="I69" i="29"/>
  <c r="H69" i="29"/>
  <c r="G69" i="29"/>
  <c r="F69" i="29"/>
  <c r="E69" i="29"/>
  <c r="AN68" i="29"/>
  <c r="AM68" i="29"/>
  <c r="AL68" i="29"/>
  <c r="AK68" i="29"/>
  <c r="AJ68" i="29"/>
  <c r="AI68" i="29"/>
  <c r="AH68" i="29"/>
  <c r="AG68" i="29"/>
  <c r="AF68" i="29"/>
  <c r="AE68" i="29"/>
  <c r="AD68" i="29"/>
  <c r="AC68" i="29"/>
  <c r="AB68" i="29"/>
  <c r="AA68" i="29"/>
  <c r="Z68" i="29"/>
  <c r="Y68" i="29"/>
  <c r="X68" i="29"/>
  <c r="W68" i="29"/>
  <c r="V68" i="29"/>
  <c r="U68" i="29"/>
  <c r="T68" i="29"/>
  <c r="S68" i="29"/>
  <c r="R68" i="29"/>
  <c r="Q68" i="29"/>
  <c r="P68" i="29"/>
  <c r="O68" i="29"/>
  <c r="N68" i="29"/>
  <c r="M68" i="29"/>
  <c r="L68" i="29"/>
  <c r="K68" i="29"/>
  <c r="J68" i="29"/>
  <c r="I68" i="29"/>
  <c r="H68" i="29"/>
  <c r="G68" i="29"/>
  <c r="F68" i="29"/>
  <c r="E68" i="29"/>
  <c r="AN67" i="29"/>
  <c r="AM67" i="29"/>
  <c r="AL67" i="29"/>
  <c r="AK67" i="29"/>
  <c r="AJ67" i="29"/>
  <c r="AI67" i="29"/>
  <c r="AH67" i="29"/>
  <c r="AG67" i="29"/>
  <c r="AF67" i="29"/>
  <c r="AE67" i="29"/>
  <c r="AD67" i="29"/>
  <c r="AC67" i="29"/>
  <c r="AB67" i="29"/>
  <c r="AA67" i="29"/>
  <c r="Z67" i="29"/>
  <c r="Y67" i="29"/>
  <c r="X67" i="29"/>
  <c r="W67" i="29"/>
  <c r="V67" i="29"/>
  <c r="U67" i="29"/>
  <c r="T67" i="29"/>
  <c r="S67" i="29"/>
  <c r="R67" i="29"/>
  <c r="Q67" i="29"/>
  <c r="P67" i="29"/>
  <c r="O67" i="29"/>
  <c r="N67" i="29"/>
  <c r="M67" i="29"/>
  <c r="L67" i="29"/>
  <c r="K67" i="29"/>
  <c r="J67" i="29"/>
  <c r="I67" i="29"/>
  <c r="H67" i="29"/>
  <c r="G67" i="29"/>
  <c r="F67" i="29"/>
  <c r="E67" i="29"/>
  <c r="AN66" i="29"/>
  <c r="AM66" i="29"/>
  <c r="AL66" i="29"/>
  <c r="AK66" i="29"/>
  <c r="AJ66" i="29"/>
  <c r="AI66" i="29"/>
  <c r="AH66" i="29"/>
  <c r="AG66" i="29"/>
  <c r="AF66" i="29"/>
  <c r="AE66" i="29"/>
  <c r="AD66" i="29"/>
  <c r="AC66" i="29"/>
  <c r="AB66" i="29"/>
  <c r="AA66" i="29"/>
  <c r="Z66" i="29"/>
  <c r="Y66" i="29"/>
  <c r="X66" i="29"/>
  <c r="W66" i="29"/>
  <c r="V66" i="29"/>
  <c r="U66" i="29"/>
  <c r="T66" i="29"/>
  <c r="S66" i="29"/>
  <c r="R66" i="29"/>
  <c r="Q66" i="29"/>
  <c r="P66" i="29"/>
  <c r="O66" i="29"/>
  <c r="N66" i="29"/>
  <c r="M66" i="29"/>
  <c r="L66" i="29"/>
  <c r="K66" i="29"/>
  <c r="J66" i="29"/>
  <c r="I66" i="29"/>
  <c r="H66" i="29"/>
  <c r="G66" i="29"/>
  <c r="F66" i="29"/>
  <c r="E66" i="29"/>
  <c r="AN65" i="29"/>
  <c r="AM65" i="29"/>
  <c r="AL65" i="29"/>
  <c r="AK65" i="29"/>
  <c r="AJ65" i="29"/>
  <c r="AI65" i="29"/>
  <c r="AH65" i="29"/>
  <c r="AG65" i="29"/>
  <c r="AF65" i="29"/>
  <c r="AE65" i="29"/>
  <c r="AD65" i="29"/>
  <c r="AC65" i="29"/>
  <c r="AB65" i="29"/>
  <c r="AA65" i="29"/>
  <c r="Z65" i="29"/>
  <c r="Y65" i="29"/>
  <c r="X65" i="29"/>
  <c r="W65" i="29"/>
  <c r="V65" i="29"/>
  <c r="U65" i="29"/>
  <c r="T65" i="29"/>
  <c r="S65" i="29"/>
  <c r="R65" i="29"/>
  <c r="Q65" i="29"/>
  <c r="P65" i="29"/>
  <c r="O65" i="29"/>
  <c r="N65" i="29"/>
  <c r="M65" i="29"/>
  <c r="L65" i="29"/>
  <c r="K65" i="29"/>
  <c r="J65" i="29"/>
  <c r="I65" i="29"/>
  <c r="H65" i="29"/>
  <c r="G65" i="29"/>
  <c r="F65" i="29"/>
  <c r="E65" i="29"/>
  <c r="AN64" i="29"/>
  <c r="AM64" i="29"/>
  <c r="AL64" i="29"/>
  <c r="AK64" i="29"/>
  <c r="AJ64" i="29"/>
  <c r="AI64" i="29"/>
  <c r="AH64" i="29"/>
  <c r="AG64" i="29"/>
  <c r="AF64" i="29"/>
  <c r="AE64" i="29"/>
  <c r="AD64" i="29"/>
  <c r="AC64" i="29"/>
  <c r="AB64" i="29"/>
  <c r="AA64" i="29"/>
  <c r="Z64" i="29"/>
  <c r="Y64" i="29"/>
  <c r="X64" i="29"/>
  <c r="W64" i="29"/>
  <c r="V64" i="29"/>
  <c r="U64" i="29"/>
  <c r="T64" i="29"/>
  <c r="S64" i="29"/>
  <c r="R64" i="29"/>
  <c r="Q64" i="29"/>
  <c r="P64" i="29"/>
  <c r="O64" i="29"/>
  <c r="N64" i="29"/>
  <c r="M64" i="29"/>
  <c r="L64" i="29"/>
  <c r="K64" i="29"/>
  <c r="J64" i="29"/>
  <c r="I64" i="29"/>
  <c r="H64" i="29"/>
  <c r="G64" i="29"/>
  <c r="F64" i="29"/>
  <c r="E64" i="29"/>
  <c r="AN63" i="29"/>
  <c r="AM63" i="29"/>
  <c r="AL63" i="29"/>
  <c r="AK63" i="29"/>
  <c r="AJ63" i="29"/>
  <c r="AI63" i="29"/>
  <c r="AH63" i="29"/>
  <c r="AG63" i="29"/>
  <c r="AF63" i="29"/>
  <c r="AE63" i="29"/>
  <c r="AD63" i="29"/>
  <c r="AC63" i="29"/>
  <c r="AB63" i="29"/>
  <c r="AA63" i="29"/>
  <c r="Z63" i="29"/>
  <c r="Y63" i="29"/>
  <c r="X63" i="29"/>
  <c r="W63" i="29"/>
  <c r="V63" i="29"/>
  <c r="U63" i="29"/>
  <c r="T63" i="29"/>
  <c r="S63" i="29"/>
  <c r="R63" i="29"/>
  <c r="Q63" i="29"/>
  <c r="P63" i="29"/>
  <c r="O63" i="29"/>
  <c r="N63" i="29"/>
  <c r="M63" i="29"/>
  <c r="L63" i="29"/>
  <c r="K63" i="29"/>
  <c r="J63" i="29"/>
  <c r="I63" i="29"/>
  <c r="H63" i="29"/>
  <c r="G63" i="29"/>
  <c r="F63" i="29"/>
  <c r="E63" i="29"/>
  <c r="AN62" i="29"/>
  <c r="AM62" i="29"/>
  <c r="AL62" i="29"/>
  <c r="AK62" i="29"/>
  <c r="AJ62" i="29"/>
  <c r="AI62" i="29"/>
  <c r="AH62" i="29"/>
  <c r="AG62" i="29"/>
  <c r="AF62" i="29"/>
  <c r="AE62" i="29"/>
  <c r="AD62" i="29"/>
  <c r="AC62" i="29"/>
  <c r="AB62" i="29"/>
  <c r="AA62" i="29"/>
  <c r="Z62" i="29"/>
  <c r="Y62" i="29"/>
  <c r="X62" i="29"/>
  <c r="W62" i="29"/>
  <c r="V62" i="29"/>
  <c r="U62" i="29"/>
  <c r="T62" i="29"/>
  <c r="S62" i="29"/>
  <c r="R62" i="29"/>
  <c r="Q62" i="29"/>
  <c r="P62" i="29"/>
  <c r="O62" i="29"/>
  <c r="N62" i="29"/>
  <c r="M62" i="29"/>
  <c r="L62" i="29"/>
  <c r="K62" i="29"/>
  <c r="J62" i="29"/>
  <c r="I62" i="29"/>
  <c r="H62" i="29"/>
  <c r="G62" i="29"/>
  <c r="F62" i="29"/>
  <c r="E62" i="29"/>
  <c r="AN61" i="29"/>
  <c r="AM61" i="29"/>
  <c r="AL61" i="29"/>
  <c r="AK61" i="29"/>
  <c r="AJ61" i="29"/>
  <c r="AI61" i="29"/>
  <c r="AH61" i="29"/>
  <c r="AG61" i="29"/>
  <c r="AF61" i="29"/>
  <c r="AE61" i="29"/>
  <c r="AD61" i="29"/>
  <c r="AC61" i="29"/>
  <c r="AB61" i="29"/>
  <c r="AA61" i="29"/>
  <c r="Z61" i="29"/>
  <c r="Y61" i="29"/>
  <c r="X61" i="29"/>
  <c r="W61" i="29"/>
  <c r="V61" i="29"/>
  <c r="U61" i="29"/>
  <c r="T61" i="29"/>
  <c r="S61" i="29"/>
  <c r="R61" i="29"/>
  <c r="Q61" i="29"/>
  <c r="P61" i="29"/>
  <c r="O61" i="29"/>
  <c r="N61" i="29"/>
  <c r="M61" i="29"/>
  <c r="L61" i="29"/>
  <c r="K61" i="29"/>
  <c r="J61" i="29"/>
  <c r="I61" i="29"/>
  <c r="H61" i="29"/>
  <c r="G61" i="29"/>
  <c r="F61" i="29"/>
  <c r="E61" i="29"/>
  <c r="AN60" i="29"/>
  <c r="AM60" i="29"/>
  <c r="AL60" i="29"/>
  <c r="AK60" i="29"/>
  <c r="AJ60" i="29"/>
  <c r="AI60" i="29"/>
  <c r="AH60" i="29"/>
  <c r="AG60" i="29"/>
  <c r="AF60" i="29"/>
  <c r="AE60" i="29"/>
  <c r="AD60" i="29"/>
  <c r="AC60" i="29"/>
  <c r="AB60" i="29"/>
  <c r="AA60" i="29"/>
  <c r="Z60" i="29"/>
  <c r="Y60" i="29"/>
  <c r="X60" i="29"/>
  <c r="W60" i="29"/>
  <c r="V60" i="29"/>
  <c r="U60" i="29"/>
  <c r="T60" i="29"/>
  <c r="S60" i="29"/>
  <c r="R60" i="29"/>
  <c r="Q60" i="29"/>
  <c r="P60" i="29"/>
  <c r="O60" i="29"/>
  <c r="N60" i="29"/>
  <c r="M60" i="29"/>
  <c r="L60" i="29"/>
  <c r="K60" i="29"/>
  <c r="J60" i="29"/>
  <c r="I60" i="29"/>
  <c r="H60" i="29"/>
  <c r="G60" i="29"/>
  <c r="F60" i="29"/>
  <c r="E60" i="29"/>
  <c r="AN59" i="29"/>
  <c r="AM59" i="29"/>
  <c r="AL59" i="29"/>
  <c r="AK59" i="29"/>
  <c r="AJ59" i="29"/>
  <c r="AI59" i="29"/>
  <c r="AH59" i="29"/>
  <c r="AG59" i="29"/>
  <c r="AF59" i="29"/>
  <c r="AE59" i="29"/>
  <c r="AD59" i="29"/>
  <c r="AC59" i="29"/>
  <c r="AB59" i="29"/>
  <c r="AA59" i="29"/>
  <c r="Z59" i="29"/>
  <c r="Y59" i="29"/>
  <c r="X59" i="29"/>
  <c r="W59" i="29"/>
  <c r="V59" i="29"/>
  <c r="U59" i="29"/>
  <c r="T59" i="29"/>
  <c r="S59" i="29"/>
  <c r="R59" i="29"/>
  <c r="Q59" i="29"/>
  <c r="P59" i="29"/>
  <c r="O59" i="29"/>
  <c r="N59" i="29"/>
  <c r="M59" i="29"/>
  <c r="L59" i="29"/>
  <c r="K59" i="29"/>
  <c r="J59" i="29"/>
  <c r="I59" i="29"/>
  <c r="H59" i="29"/>
  <c r="G59" i="29"/>
  <c r="F59" i="29"/>
  <c r="E59" i="29"/>
  <c r="AN58" i="29"/>
  <c r="AM58" i="29"/>
  <c r="AL58" i="29"/>
  <c r="AK58" i="29"/>
  <c r="AJ58" i="29"/>
  <c r="AI58" i="29"/>
  <c r="AH58" i="29"/>
  <c r="AG58" i="29"/>
  <c r="AF58" i="29"/>
  <c r="AE58" i="29"/>
  <c r="AD58" i="29"/>
  <c r="AC58" i="29"/>
  <c r="AB58" i="29"/>
  <c r="AA58" i="29"/>
  <c r="Z58" i="29"/>
  <c r="Y58" i="29"/>
  <c r="X58" i="29"/>
  <c r="W58" i="29"/>
  <c r="V58" i="29"/>
  <c r="U58" i="29"/>
  <c r="T58" i="29"/>
  <c r="S58" i="29"/>
  <c r="R58" i="29"/>
  <c r="Q58" i="29"/>
  <c r="P58" i="29"/>
  <c r="O58" i="29"/>
  <c r="N58" i="29"/>
  <c r="M58" i="29"/>
  <c r="L58" i="29"/>
  <c r="K58" i="29"/>
  <c r="J58" i="29"/>
  <c r="I58" i="29"/>
  <c r="H58" i="29"/>
  <c r="G58" i="29"/>
  <c r="F58" i="29"/>
  <c r="E58" i="29"/>
  <c r="AN57" i="29"/>
  <c r="AM57" i="29"/>
  <c r="AL57" i="29"/>
  <c r="AK57" i="29"/>
  <c r="AJ57" i="29"/>
  <c r="AI57" i="29"/>
  <c r="AH57" i="29"/>
  <c r="AG57" i="29"/>
  <c r="AF57" i="29"/>
  <c r="AE57" i="29"/>
  <c r="AD57" i="29"/>
  <c r="AC57" i="29"/>
  <c r="AB57" i="29"/>
  <c r="AA57" i="29"/>
  <c r="Z57" i="29"/>
  <c r="Y57" i="29"/>
  <c r="X57" i="29"/>
  <c r="W57" i="29"/>
  <c r="V57" i="29"/>
  <c r="U57" i="29"/>
  <c r="T57" i="29"/>
  <c r="S57" i="29"/>
  <c r="R57" i="29"/>
  <c r="Q57" i="29"/>
  <c r="P57" i="29"/>
  <c r="O57" i="29"/>
  <c r="N57" i="29"/>
  <c r="M57" i="29"/>
  <c r="L57" i="29"/>
  <c r="K57" i="29"/>
  <c r="J57" i="29"/>
  <c r="I57" i="29"/>
  <c r="H57" i="29"/>
  <c r="G57" i="29"/>
  <c r="F57" i="29"/>
  <c r="E57" i="29"/>
  <c r="AN56" i="29"/>
  <c r="AM56" i="29"/>
  <c r="AL56" i="29"/>
  <c r="AK56" i="29"/>
  <c r="AJ56" i="29"/>
  <c r="AI56" i="29"/>
  <c r="AH56" i="29"/>
  <c r="AG56" i="29"/>
  <c r="AF56" i="29"/>
  <c r="AE56" i="29"/>
  <c r="AD56" i="29"/>
  <c r="AC56" i="29"/>
  <c r="AB56" i="29"/>
  <c r="AA56" i="29"/>
  <c r="Z56" i="29"/>
  <c r="Y56" i="29"/>
  <c r="X56" i="29"/>
  <c r="W56" i="29"/>
  <c r="V56" i="29"/>
  <c r="U56" i="29"/>
  <c r="T56" i="29"/>
  <c r="S56" i="29"/>
  <c r="R56" i="29"/>
  <c r="Q56" i="29"/>
  <c r="P56" i="29"/>
  <c r="O56" i="29"/>
  <c r="N56" i="29"/>
  <c r="M56" i="29"/>
  <c r="L56" i="29"/>
  <c r="K56" i="29"/>
  <c r="J56" i="29"/>
  <c r="I56" i="29"/>
  <c r="H56" i="29"/>
  <c r="G56" i="29"/>
  <c r="F56" i="29"/>
  <c r="E56" i="29"/>
  <c r="AN55" i="29"/>
  <c r="AM55" i="29"/>
  <c r="AL55" i="29"/>
  <c r="AK55" i="29"/>
  <c r="AJ55" i="29"/>
  <c r="AI55" i="29"/>
  <c r="AH55" i="29"/>
  <c r="AG55" i="29"/>
  <c r="AF55" i="29"/>
  <c r="AE55" i="29"/>
  <c r="AD55" i="29"/>
  <c r="AC55" i="29"/>
  <c r="AB55" i="29"/>
  <c r="AA55" i="29"/>
  <c r="Z55" i="29"/>
  <c r="Y55" i="29"/>
  <c r="X55" i="29"/>
  <c r="W55" i="29"/>
  <c r="V55" i="29"/>
  <c r="U55" i="29"/>
  <c r="T55" i="29"/>
  <c r="S55" i="29"/>
  <c r="R55" i="29"/>
  <c r="Q55" i="29"/>
  <c r="P55" i="29"/>
  <c r="O55" i="29"/>
  <c r="N55" i="29"/>
  <c r="M55" i="29"/>
  <c r="L55" i="29"/>
  <c r="K55" i="29"/>
  <c r="J55" i="29"/>
  <c r="I55" i="29"/>
  <c r="H55" i="29"/>
  <c r="G55" i="29"/>
  <c r="F55" i="29"/>
  <c r="E55" i="29"/>
  <c r="AN54" i="29"/>
  <c r="AM54" i="29"/>
  <c r="AL54" i="29"/>
  <c r="AK54" i="29"/>
  <c r="AJ54" i="29"/>
  <c r="AI54" i="29"/>
  <c r="AH54" i="29"/>
  <c r="AG54" i="29"/>
  <c r="AF54" i="29"/>
  <c r="AE54" i="29"/>
  <c r="AD54" i="29"/>
  <c r="AC54" i="29"/>
  <c r="AB54" i="29"/>
  <c r="AA54" i="29"/>
  <c r="Z54" i="29"/>
  <c r="Y54" i="29"/>
  <c r="X54" i="29"/>
  <c r="W54" i="29"/>
  <c r="V54" i="29"/>
  <c r="U54" i="29"/>
  <c r="T54" i="29"/>
  <c r="S54" i="29"/>
  <c r="R54" i="29"/>
  <c r="Q54" i="29"/>
  <c r="P54" i="29"/>
  <c r="O54" i="29"/>
  <c r="N54" i="29"/>
  <c r="M54" i="29"/>
  <c r="L54" i="29"/>
  <c r="K54" i="29"/>
  <c r="J54" i="29"/>
  <c r="I54" i="29"/>
  <c r="H54" i="29"/>
  <c r="G54" i="29"/>
  <c r="F54" i="29"/>
  <c r="E54" i="29"/>
  <c r="AN53" i="29"/>
  <c r="AM53" i="29"/>
  <c r="AL53" i="29"/>
  <c r="AK53" i="29"/>
  <c r="AJ53" i="29"/>
  <c r="AI53" i="29"/>
  <c r="AH53" i="29"/>
  <c r="AG53" i="29"/>
  <c r="AF53" i="29"/>
  <c r="AE53" i="29"/>
  <c r="AD53" i="29"/>
  <c r="AC53" i="29"/>
  <c r="AB53" i="29"/>
  <c r="AA53" i="29"/>
  <c r="Z53" i="29"/>
  <c r="Y53" i="29"/>
  <c r="X53" i="29"/>
  <c r="W53" i="29"/>
  <c r="V53" i="29"/>
  <c r="U53" i="29"/>
  <c r="T53" i="29"/>
  <c r="S53" i="29"/>
  <c r="R53" i="29"/>
  <c r="Q53" i="29"/>
  <c r="P53" i="29"/>
  <c r="O53" i="29"/>
  <c r="N53" i="29"/>
  <c r="M53" i="29"/>
  <c r="L53" i="29"/>
  <c r="K53" i="29"/>
  <c r="J53" i="29"/>
  <c r="I53" i="29"/>
  <c r="H53" i="29"/>
  <c r="G53" i="29"/>
  <c r="F53" i="29"/>
  <c r="E53" i="29"/>
  <c r="AN52" i="29"/>
  <c r="AM52" i="29"/>
  <c r="AL52" i="29"/>
  <c r="AK52" i="29"/>
  <c r="AJ52" i="29"/>
  <c r="AI52" i="29"/>
  <c r="AH52" i="29"/>
  <c r="AG52" i="29"/>
  <c r="AF52" i="29"/>
  <c r="AE52" i="29"/>
  <c r="AD52" i="29"/>
  <c r="AC52" i="29"/>
  <c r="AB52" i="29"/>
  <c r="AA52" i="29"/>
  <c r="Z52" i="29"/>
  <c r="Y52" i="29"/>
  <c r="X52" i="29"/>
  <c r="W52" i="29"/>
  <c r="V52" i="29"/>
  <c r="U52" i="29"/>
  <c r="T52" i="29"/>
  <c r="S52" i="29"/>
  <c r="R52" i="29"/>
  <c r="Q52" i="29"/>
  <c r="P52" i="29"/>
  <c r="O52" i="29"/>
  <c r="N52" i="29"/>
  <c r="M52" i="29"/>
  <c r="L52" i="29"/>
  <c r="K52" i="29"/>
  <c r="J52" i="29"/>
  <c r="I52" i="29"/>
  <c r="H52" i="29"/>
  <c r="G52" i="29"/>
  <c r="F52" i="29"/>
  <c r="E52" i="29"/>
  <c r="AN51" i="29"/>
  <c r="AM51" i="29"/>
  <c r="AL51" i="29"/>
  <c r="AK51" i="29"/>
  <c r="AJ51" i="29"/>
  <c r="AI51" i="29"/>
  <c r="AH51" i="29"/>
  <c r="AG51" i="29"/>
  <c r="AF51" i="29"/>
  <c r="AE51" i="29"/>
  <c r="AD51" i="29"/>
  <c r="AC51" i="29"/>
  <c r="AB51" i="29"/>
  <c r="AA51" i="29"/>
  <c r="Z51" i="29"/>
  <c r="Y51" i="29"/>
  <c r="X51" i="29"/>
  <c r="W51" i="29"/>
  <c r="V51" i="29"/>
  <c r="U51" i="29"/>
  <c r="T51" i="29"/>
  <c r="S51" i="29"/>
  <c r="R51" i="29"/>
  <c r="Q51" i="29"/>
  <c r="P51" i="29"/>
  <c r="O51" i="29"/>
  <c r="N51" i="29"/>
  <c r="M51" i="29"/>
  <c r="L51" i="29"/>
  <c r="K51" i="29"/>
  <c r="J51" i="29"/>
  <c r="I51" i="29"/>
  <c r="H51" i="29"/>
  <c r="G51" i="29"/>
  <c r="F51" i="29"/>
  <c r="E51" i="29"/>
  <c r="AN50" i="29"/>
  <c r="AM50" i="29"/>
  <c r="AL50" i="29"/>
  <c r="AK50" i="29"/>
  <c r="AJ50" i="29"/>
  <c r="AI50" i="29"/>
  <c r="AH50" i="29"/>
  <c r="AG50" i="29"/>
  <c r="AF50" i="29"/>
  <c r="AE50" i="29"/>
  <c r="AD50" i="29"/>
  <c r="AC50" i="29"/>
  <c r="AB50" i="29"/>
  <c r="AA50" i="29"/>
  <c r="Z50" i="29"/>
  <c r="Y50" i="29"/>
  <c r="X50" i="29"/>
  <c r="W50" i="29"/>
  <c r="V50" i="29"/>
  <c r="U50" i="29"/>
  <c r="T50" i="29"/>
  <c r="S50" i="29"/>
  <c r="R50" i="29"/>
  <c r="Q50" i="29"/>
  <c r="P50" i="29"/>
  <c r="O50" i="29"/>
  <c r="N50" i="29"/>
  <c r="M50" i="29"/>
  <c r="L50" i="29"/>
  <c r="K50" i="29"/>
  <c r="J50" i="29"/>
  <c r="I50" i="29"/>
  <c r="H50" i="29"/>
  <c r="G50" i="29"/>
  <c r="F50" i="29"/>
  <c r="E50" i="29"/>
  <c r="AN49" i="29"/>
  <c r="AM49" i="29"/>
  <c r="AL49" i="29"/>
  <c r="AK49" i="29"/>
  <c r="AJ49" i="29"/>
  <c r="AI49" i="29"/>
  <c r="AH49" i="29"/>
  <c r="AG49" i="29"/>
  <c r="AF49" i="29"/>
  <c r="AE49" i="29"/>
  <c r="AD49" i="29"/>
  <c r="AC49" i="29"/>
  <c r="AB49" i="29"/>
  <c r="AA49" i="29"/>
  <c r="Z49" i="29"/>
  <c r="Y49" i="29"/>
  <c r="X49" i="29"/>
  <c r="W49" i="29"/>
  <c r="V49" i="29"/>
  <c r="U49" i="29"/>
  <c r="T49" i="29"/>
  <c r="S49" i="29"/>
  <c r="R49" i="29"/>
  <c r="Q49" i="29"/>
  <c r="P49" i="29"/>
  <c r="O49" i="29"/>
  <c r="N49" i="29"/>
  <c r="M49" i="29"/>
  <c r="L49" i="29"/>
  <c r="K49" i="29"/>
  <c r="J49" i="29"/>
  <c r="I49" i="29"/>
  <c r="H49" i="29"/>
  <c r="G49" i="29"/>
  <c r="F49" i="29"/>
  <c r="E49" i="29"/>
  <c r="AN48" i="29"/>
  <c r="AM48" i="29"/>
  <c r="AL48" i="29"/>
  <c r="AK48" i="29"/>
  <c r="AJ48" i="29"/>
  <c r="AI48" i="29"/>
  <c r="AH48" i="29"/>
  <c r="AG48" i="29"/>
  <c r="AF48" i="29"/>
  <c r="AE48" i="29"/>
  <c r="AD48" i="29"/>
  <c r="AC48" i="29"/>
  <c r="AB48" i="29"/>
  <c r="AA48" i="29"/>
  <c r="Z48" i="29"/>
  <c r="Y48" i="29"/>
  <c r="X48" i="29"/>
  <c r="W48" i="29"/>
  <c r="V48" i="29"/>
  <c r="U48" i="29"/>
  <c r="T48" i="29"/>
  <c r="S48" i="29"/>
  <c r="R48" i="29"/>
  <c r="Q48" i="29"/>
  <c r="P48" i="29"/>
  <c r="O48" i="29"/>
  <c r="N48" i="29"/>
  <c r="M48" i="29"/>
  <c r="L48" i="29"/>
  <c r="K48" i="29"/>
  <c r="J48" i="29"/>
  <c r="I48" i="29"/>
  <c r="H48" i="29"/>
  <c r="G48" i="29"/>
  <c r="F48" i="29"/>
  <c r="E48" i="29"/>
  <c r="AN47" i="29"/>
  <c r="AM47" i="29"/>
  <c r="AL47" i="29"/>
  <c r="AK47" i="29"/>
  <c r="AJ47" i="29"/>
  <c r="AI47" i="29"/>
  <c r="AH47" i="29"/>
  <c r="AG47" i="29"/>
  <c r="AF47" i="29"/>
  <c r="AE47" i="29"/>
  <c r="AD47" i="29"/>
  <c r="AC47" i="29"/>
  <c r="AB47" i="29"/>
  <c r="AA47" i="29"/>
  <c r="Z47" i="29"/>
  <c r="Y47" i="29"/>
  <c r="X47" i="29"/>
  <c r="W47" i="29"/>
  <c r="V47" i="29"/>
  <c r="U47" i="29"/>
  <c r="T47" i="29"/>
  <c r="S47" i="29"/>
  <c r="R47" i="29"/>
  <c r="Q47" i="29"/>
  <c r="P47" i="29"/>
  <c r="O47" i="29"/>
  <c r="N47" i="29"/>
  <c r="M47" i="29"/>
  <c r="L47" i="29"/>
  <c r="K47" i="29"/>
  <c r="J47" i="29"/>
  <c r="I47" i="29"/>
  <c r="H47" i="29"/>
  <c r="G47" i="29"/>
  <c r="F47" i="29"/>
  <c r="E47" i="29"/>
  <c r="AN46" i="29"/>
  <c r="AM46" i="29"/>
  <c r="AL46" i="29"/>
  <c r="AK46" i="29"/>
  <c r="AJ46" i="29"/>
  <c r="AI46" i="29"/>
  <c r="AH46" i="29"/>
  <c r="AG46" i="29"/>
  <c r="AF46" i="29"/>
  <c r="AE46" i="29"/>
  <c r="AD46" i="29"/>
  <c r="AC46" i="29"/>
  <c r="AB46" i="29"/>
  <c r="AA46" i="29"/>
  <c r="Z46" i="29"/>
  <c r="Y46" i="29"/>
  <c r="X46" i="29"/>
  <c r="W46" i="29"/>
  <c r="V46" i="29"/>
  <c r="U46" i="29"/>
  <c r="T46" i="29"/>
  <c r="S46" i="29"/>
  <c r="R46" i="29"/>
  <c r="Q46" i="29"/>
  <c r="P46" i="29"/>
  <c r="O46" i="29"/>
  <c r="N46" i="29"/>
  <c r="M46" i="29"/>
  <c r="L46" i="29"/>
  <c r="K46" i="29"/>
  <c r="J46" i="29"/>
  <c r="I46" i="29"/>
  <c r="H46" i="29"/>
  <c r="G46" i="29"/>
  <c r="F46" i="29"/>
  <c r="E46" i="29"/>
  <c r="AN45" i="29"/>
  <c r="AM45" i="29"/>
  <c r="AL45" i="29"/>
  <c r="AK45" i="29"/>
  <c r="AJ45" i="29"/>
  <c r="AI45" i="29"/>
  <c r="AH45" i="29"/>
  <c r="AG45" i="29"/>
  <c r="AF45" i="29"/>
  <c r="AE45" i="29"/>
  <c r="AD45" i="29"/>
  <c r="AC45" i="29"/>
  <c r="AB45" i="29"/>
  <c r="AA45" i="29"/>
  <c r="Z45" i="29"/>
  <c r="Y45" i="29"/>
  <c r="X45" i="29"/>
  <c r="W45" i="29"/>
  <c r="V45" i="29"/>
  <c r="U45" i="29"/>
  <c r="T45" i="29"/>
  <c r="S45" i="29"/>
  <c r="R45" i="29"/>
  <c r="Q45" i="29"/>
  <c r="P45" i="29"/>
  <c r="O45" i="29"/>
  <c r="N45" i="29"/>
  <c r="M45" i="29"/>
  <c r="L45" i="29"/>
  <c r="K45" i="29"/>
  <c r="J45" i="29"/>
  <c r="I45" i="29"/>
  <c r="H45" i="29"/>
  <c r="G45" i="29"/>
  <c r="F45" i="29"/>
  <c r="E45" i="29"/>
  <c r="AN44" i="29"/>
  <c r="AM44" i="29"/>
  <c r="AL44" i="29"/>
  <c r="AK44" i="29"/>
  <c r="AJ44" i="29"/>
  <c r="AI44" i="29"/>
  <c r="AH44" i="29"/>
  <c r="AG44" i="29"/>
  <c r="AF44" i="29"/>
  <c r="AE44" i="29"/>
  <c r="AD44" i="29"/>
  <c r="AC44" i="29"/>
  <c r="AB44" i="29"/>
  <c r="AA44" i="29"/>
  <c r="Z44" i="29"/>
  <c r="Y44" i="29"/>
  <c r="X44" i="29"/>
  <c r="W44" i="29"/>
  <c r="V44" i="29"/>
  <c r="U44" i="29"/>
  <c r="T44" i="29"/>
  <c r="S44" i="29"/>
  <c r="R44" i="29"/>
  <c r="Q44" i="29"/>
  <c r="P44" i="29"/>
  <c r="O44" i="29"/>
  <c r="N44" i="29"/>
  <c r="M44" i="29"/>
  <c r="L44" i="29"/>
  <c r="K44" i="29"/>
  <c r="J44" i="29"/>
  <c r="I44" i="29"/>
  <c r="H44" i="29"/>
  <c r="G44" i="29"/>
  <c r="F44" i="29"/>
  <c r="E44" i="29"/>
  <c r="AN43" i="29"/>
  <c r="AM43" i="29"/>
  <c r="AL43" i="29"/>
  <c r="AK43" i="29"/>
  <c r="AJ43" i="29"/>
  <c r="AI43" i="29"/>
  <c r="AH43" i="29"/>
  <c r="AG43" i="29"/>
  <c r="AF43" i="29"/>
  <c r="AE43" i="29"/>
  <c r="AD43" i="29"/>
  <c r="AC43" i="29"/>
  <c r="AB43" i="29"/>
  <c r="AA43" i="29"/>
  <c r="Z43" i="29"/>
  <c r="Y43" i="29"/>
  <c r="X43" i="29"/>
  <c r="W43" i="29"/>
  <c r="V43" i="29"/>
  <c r="U43" i="29"/>
  <c r="T43" i="29"/>
  <c r="S43" i="29"/>
  <c r="R43" i="29"/>
  <c r="Q43" i="29"/>
  <c r="P43" i="29"/>
  <c r="O43" i="29"/>
  <c r="N43" i="29"/>
  <c r="M43" i="29"/>
  <c r="L43" i="29"/>
  <c r="K43" i="29"/>
  <c r="J43" i="29"/>
  <c r="I43" i="29"/>
  <c r="H43" i="29"/>
  <c r="G43" i="29"/>
  <c r="F43" i="29"/>
  <c r="E43" i="29"/>
  <c r="AN42" i="29"/>
  <c r="AM42" i="29"/>
  <c r="AL42" i="29"/>
  <c r="AK42" i="29"/>
  <c r="AJ42" i="29"/>
  <c r="AI42" i="29"/>
  <c r="AH42" i="29"/>
  <c r="AG42" i="29"/>
  <c r="AF42" i="29"/>
  <c r="AE42" i="29"/>
  <c r="AD42" i="29"/>
  <c r="AC42" i="29"/>
  <c r="AB42" i="29"/>
  <c r="AA42" i="29"/>
  <c r="Z42" i="29"/>
  <c r="Y42" i="29"/>
  <c r="X42" i="29"/>
  <c r="W42" i="29"/>
  <c r="V42" i="29"/>
  <c r="U42" i="29"/>
  <c r="T42" i="29"/>
  <c r="S42" i="29"/>
  <c r="R42" i="29"/>
  <c r="Q42" i="29"/>
  <c r="P42" i="29"/>
  <c r="O42" i="29"/>
  <c r="N42" i="29"/>
  <c r="M42" i="29"/>
  <c r="L42" i="29"/>
  <c r="K42" i="29"/>
  <c r="J42" i="29"/>
  <c r="I42" i="29"/>
  <c r="H42" i="29"/>
  <c r="G42" i="29"/>
  <c r="F42" i="29"/>
  <c r="E42" i="29"/>
  <c r="AN41" i="29"/>
  <c r="AM41" i="29"/>
  <c r="AL41" i="29"/>
  <c r="AK41" i="29"/>
  <c r="AJ41" i="29"/>
  <c r="AI41" i="29"/>
  <c r="AH41" i="29"/>
  <c r="AG41" i="29"/>
  <c r="AF41" i="29"/>
  <c r="AE41" i="29"/>
  <c r="AD41" i="29"/>
  <c r="AC41" i="29"/>
  <c r="AB41" i="29"/>
  <c r="AA41" i="29"/>
  <c r="Z41" i="29"/>
  <c r="Y41" i="29"/>
  <c r="X41" i="29"/>
  <c r="W41" i="29"/>
  <c r="V41" i="29"/>
  <c r="U41" i="29"/>
  <c r="T41" i="29"/>
  <c r="S41" i="29"/>
  <c r="R41" i="29"/>
  <c r="Q41" i="29"/>
  <c r="P41" i="29"/>
  <c r="O41" i="29"/>
  <c r="N41" i="29"/>
  <c r="M41" i="29"/>
  <c r="L41" i="29"/>
  <c r="K41" i="29"/>
  <c r="J41" i="29"/>
  <c r="I41" i="29"/>
  <c r="H41" i="29"/>
  <c r="G41" i="29"/>
  <c r="F41" i="29"/>
  <c r="E41" i="29"/>
  <c r="AN40" i="29"/>
  <c r="AM40" i="29"/>
  <c r="AL40" i="29"/>
  <c r="AK40" i="29"/>
  <c r="AJ40" i="29"/>
  <c r="AI40" i="29"/>
  <c r="AH40" i="29"/>
  <c r="AG40" i="29"/>
  <c r="AF40" i="29"/>
  <c r="AE40" i="29"/>
  <c r="AD40" i="29"/>
  <c r="AC40" i="29"/>
  <c r="AB40" i="29"/>
  <c r="AA40" i="29"/>
  <c r="Z40" i="29"/>
  <c r="Y40" i="29"/>
  <c r="X40" i="29"/>
  <c r="W40" i="29"/>
  <c r="V40" i="29"/>
  <c r="U40" i="29"/>
  <c r="T40" i="29"/>
  <c r="S40" i="29"/>
  <c r="R40" i="29"/>
  <c r="Q40" i="29"/>
  <c r="P40" i="29"/>
  <c r="O40" i="29"/>
  <c r="N40" i="29"/>
  <c r="M40" i="29"/>
  <c r="L40" i="29"/>
  <c r="K40" i="29"/>
  <c r="J40" i="29"/>
  <c r="I40" i="29"/>
  <c r="H40" i="29"/>
  <c r="G40" i="29"/>
  <c r="F40" i="29"/>
  <c r="E40" i="29"/>
  <c r="AN39" i="29"/>
  <c r="AM39" i="29"/>
  <c r="AL39" i="29"/>
  <c r="AK39" i="29"/>
  <c r="AJ39" i="29"/>
  <c r="AI39" i="29"/>
  <c r="AH39" i="29"/>
  <c r="AG39" i="29"/>
  <c r="AF39" i="29"/>
  <c r="AE39" i="29"/>
  <c r="AD39" i="29"/>
  <c r="AC39" i="29"/>
  <c r="AB39" i="29"/>
  <c r="AA39" i="29"/>
  <c r="Z39" i="29"/>
  <c r="Y39" i="29"/>
  <c r="X39" i="29"/>
  <c r="W39" i="29"/>
  <c r="V39" i="29"/>
  <c r="U39" i="29"/>
  <c r="T39" i="29"/>
  <c r="S39" i="29"/>
  <c r="R39" i="29"/>
  <c r="Q39" i="29"/>
  <c r="P39" i="29"/>
  <c r="O39" i="29"/>
  <c r="N39" i="29"/>
  <c r="M39" i="29"/>
  <c r="L39" i="29"/>
  <c r="K39" i="29"/>
  <c r="J39" i="29"/>
  <c r="I39" i="29"/>
  <c r="H39" i="29"/>
  <c r="G39" i="29"/>
  <c r="F39" i="29"/>
  <c r="E39" i="29"/>
  <c r="AN38" i="29"/>
  <c r="AM38" i="29"/>
  <c r="AL38" i="29"/>
  <c r="AK38" i="29"/>
  <c r="AJ38" i="29"/>
  <c r="AI38" i="29"/>
  <c r="AH38" i="29"/>
  <c r="AG38" i="29"/>
  <c r="AF38" i="29"/>
  <c r="AE38" i="29"/>
  <c r="AD38" i="29"/>
  <c r="AC38" i="29"/>
  <c r="AB38" i="29"/>
  <c r="AA38" i="29"/>
  <c r="Z38" i="29"/>
  <c r="Y38" i="29"/>
  <c r="X38" i="29"/>
  <c r="W38" i="29"/>
  <c r="V38" i="29"/>
  <c r="U38" i="29"/>
  <c r="T38" i="29"/>
  <c r="S38" i="29"/>
  <c r="R38" i="29"/>
  <c r="Q38" i="29"/>
  <c r="P38" i="29"/>
  <c r="O38" i="29"/>
  <c r="N38" i="29"/>
  <c r="M38" i="29"/>
  <c r="L38" i="29"/>
  <c r="K38" i="29"/>
  <c r="J38" i="29"/>
  <c r="I38" i="29"/>
  <c r="H38" i="29"/>
  <c r="G38" i="29"/>
  <c r="F38" i="29"/>
  <c r="E38" i="29"/>
  <c r="AN37" i="29"/>
  <c r="AM37" i="29"/>
  <c r="AL37" i="29"/>
  <c r="AK37" i="29"/>
  <c r="AJ37" i="29"/>
  <c r="AI37" i="29"/>
  <c r="AH37" i="29"/>
  <c r="AG37" i="29"/>
  <c r="AF37" i="29"/>
  <c r="AE37" i="29"/>
  <c r="AD37" i="29"/>
  <c r="AC37" i="29"/>
  <c r="AB37" i="29"/>
  <c r="AA37" i="29"/>
  <c r="Z37" i="29"/>
  <c r="Y37" i="29"/>
  <c r="X37" i="29"/>
  <c r="W37" i="29"/>
  <c r="V37" i="29"/>
  <c r="U37" i="29"/>
  <c r="T37" i="29"/>
  <c r="S37" i="29"/>
  <c r="R37" i="29"/>
  <c r="Q37" i="29"/>
  <c r="P37" i="29"/>
  <c r="O37" i="29"/>
  <c r="N37" i="29"/>
  <c r="M37" i="29"/>
  <c r="L37" i="29"/>
  <c r="K37" i="29"/>
  <c r="J37" i="29"/>
  <c r="I37" i="29"/>
  <c r="H37" i="29"/>
  <c r="G37" i="29"/>
  <c r="F37" i="29"/>
  <c r="E37" i="29"/>
  <c r="AN36" i="29"/>
  <c r="AM36" i="29"/>
  <c r="AL36" i="29"/>
  <c r="AK36" i="29"/>
  <c r="AJ36" i="29"/>
  <c r="AI36" i="29"/>
  <c r="AH36" i="29"/>
  <c r="AG36" i="29"/>
  <c r="AF36" i="29"/>
  <c r="AE36" i="29"/>
  <c r="AD36" i="29"/>
  <c r="AC36" i="29"/>
  <c r="AB36" i="29"/>
  <c r="AA36" i="29"/>
  <c r="Z36" i="29"/>
  <c r="Y36" i="29"/>
  <c r="X36" i="29"/>
  <c r="W36" i="29"/>
  <c r="V36" i="29"/>
  <c r="U36" i="29"/>
  <c r="T36" i="29"/>
  <c r="S36" i="29"/>
  <c r="R36" i="29"/>
  <c r="Q36" i="29"/>
  <c r="P36" i="29"/>
  <c r="O36" i="29"/>
  <c r="N36" i="29"/>
  <c r="M36" i="29"/>
  <c r="L36" i="29"/>
  <c r="K36" i="29"/>
  <c r="J36" i="29"/>
  <c r="I36" i="29"/>
  <c r="H36" i="29"/>
  <c r="G36" i="29"/>
  <c r="F36" i="29"/>
  <c r="E36" i="29"/>
  <c r="AN35" i="29"/>
  <c r="AM35" i="29"/>
  <c r="AL35" i="29"/>
  <c r="AK35" i="29"/>
  <c r="AJ35" i="29"/>
  <c r="AI35" i="29"/>
  <c r="AH35" i="29"/>
  <c r="AG35" i="29"/>
  <c r="AF35" i="29"/>
  <c r="AE35" i="29"/>
  <c r="AD35" i="29"/>
  <c r="AC35" i="29"/>
  <c r="AB35" i="29"/>
  <c r="AA35" i="29"/>
  <c r="Z35" i="29"/>
  <c r="Y35" i="29"/>
  <c r="X35" i="29"/>
  <c r="W35" i="29"/>
  <c r="V35" i="29"/>
  <c r="U35" i="29"/>
  <c r="T35" i="29"/>
  <c r="S35" i="29"/>
  <c r="R35" i="29"/>
  <c r="Q35" i="29"/>
  <c r="P35" i="29"/>
  <c r="O35" i="29"/>
  <c r="N35" i="29"/>
  <c r="M35" i="29"/>
  <c r="L35" i="29"/>
  <c r="K35" i="29"/>
  <c r="J35" i="29"/>
  <c r="I35" i="29"/>
  <c r="H35" i="29"/>
  <c r="G35" i="29"/>
  <c r="F35" i="29"/>
  <c r="E35" i="29"/>
  <c r="AN34" i="29"/>
  <c r="AM34" i="29"/>
  <c r="AL34" i="29"/>
  <c r="AK34" i="29"/>
  <c r="AJ34" i="29"/>
  <c r="AI34" i="29"/>
  <c r="AH34" i="29"/>
  <c r="AG34" i="29"/>
  <c r="AF34" i="29"/>
  <c r="AE34" i="29"/>
  <c r="AD34" i="29"/>
  <c r="AC34" i="29"/>
  <c r="AB34" i="29"/>
  <c r="AA34" i="29"/>
  <c r="Z34" i="29"/>
  <c r="Y34" i="29"/>
  <c r="X34" i="29"/>
  <c r="W34" i="29"/>
  <c r="V34" i="29"/>
  <c r="U34" i="29"/>
  <c r="T34" i="29"/>
  <c r="S34" i="29"/>
  <c r="R34" i="29"/>
  <c r="Q34" i="29"/>
  <c r="P34" i="29"/>
  <c r="O34" i="29"/>
  <c r="N34" i="29"/>
  <c r="M34" i="29"/>
  <c r="L34" i="29"/>
  <c r="K34" i="29"/>
  <c r="J34" i="29"/>
  <c r="I34" i="29"/>
  <c r="H34" i="29"/>
  <c r="G34" i="29"/>
  <c r="F34" i="29"/>
  <c r="E34" i="29"/>
  <c r="AN33" i="29"/>
  <c r="AM33" i="29"/>
  <c r="AL33" i="29"/>
  <c r="AK33" i="29"/>
  <c r="AJ33" i="29"/>
  <c r="AI33" i="29"/>
  <c r="AH33" i="29"/>
  <c r="AG33" i="29"/>
  <c r="AF33" i="29"/>
  <c r="AE33" i="29"/>
  <c r="AD33" i="29"/>
  <c r="AC33" i="29"/>
  <c r="AB33" i="29"/>
  <c r="AA33" i="29"/>
  <c r="Z33" i="29"/>
  <c r="Y33" i="29"/>
  <c r="X33" i="29"/>
  <c r="W33" i="29"/>
  <c r="V33" i="29"/>
  <c r="U33" i="29"/>
  <c r="T33" i="29"/>
  <c r="S33" i="29"/>
  <c r="R33" i="29"/>
  <c r="Q33" i="29"/>
  <c r="P33" i="29"/>
  <c r="O33" i="29"/>
  <c r="N33" i="29"/>
  <c r="M33" i="29"/>
  <c r="L33" i="29"/>
  <c r="K33" i="29"/>
  <c r="J33" i="29"/>
  <c r="I33" i="29"/>
  <c r="H33" i="29"/>
  <c r="G33" i="29"/>
  <c r="F33" i="29"/>
  <c r="E33" i="29"/>
  <c r="AN32" i="29"/>
  <c r="AM32" i="29"/>
  <c r="AL32" i="29"/>
  <c r="AK32" i="29"/>
  <c r="AJ32" i="29"/>
  <c r="AI32" i="29"/>
  <c r="AH32" i="29"/>
  <c r="AG32" i="29"/>
  <c r="AF32" i="29"/>
  <c r="AE32" i="29"/>
  <c r="AD32" i="29"/>
  <c r="AC32" i="29"/>
  <c r="AB32" i="29"/>
  <c r="AA32" i="29"/>
  <c r="Z32" i="29"/>
  <c r="Y32" i="29"/>
  <c r="X32" i="29"/>
  <c r="W32" i="29"/>
  <c r="V32" i="29"/>
  <c r="U32" i="29"/>
  <c r="T32" i="29"/>
  <c r="S32" i="29"/>
  <c r="R32" i="29"/>
  <c r="Q32" i="29"/>
  <c r="P32" i="29"/>
  <c r="O32" i="29"/>
  <c r="N32" i="29"/>
  <c r="M32" i="29"/>
  <c r="L32" i="29"/>
  <c r="K32" i="29"/>
  <c r="J32" i="29"/>
  <c r="I32" i="29"/>
  <c r="H32" i="29"/>
  <c r="G32" i="29"/>
  <c r="F32" i="29"/>
  <c r="E32" i="29"/>
  <c r="AN31" i="29"/>
  <c r="AM31" i="29"/>
  <c r="AL31" i="29"/>
  <c r="AK31" i="29"/>
  <c r="AJ31" i="29"/>
  <c r="AI31" i="29"/>
  <c r="AH31" i="29"/>
  <c r="AG31" i="29"/>
  <c r="AF31" i="29"/>
  <c r="AE31" i="29"/>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AN30" i="29"/>
  <c r="AM30" i="29"/>
  <c r="AL30" i="29"/>
  <c r="AK30" i="29"/>
  <c r="AJ30" i="29"/>
  <c r="AI30" i="29"/>
  <c r="AH30" i="29"/>
  <c r="AG30" i="29"/>
  <c r="AF30" i="29"/>
  <c r="AE30" i="29"/>
  <c r="AD30" i="29"/>
  <c r="AC30" i="29"/>
  <c r="AB30" i="29"/>
  <c r="AA30" i="29"/>
  <c r="Z30" i="29"/>
  <c r="Y30" i="29"/>
  <c r="X30" i="29"/>
  <c r="W30" i="29"/>
  <c r="V30" i="29"/>
  <c r="U30" i="29"/>
  <c r="T30" i="29"/>
  <c r="S30" i="29"/>
  <c r="R30" i="29"/>
  <c r="Q30" i="29"/>
  <c r="P30" i="29"/>
  <c r="O30" i="29"/>
  <c r="N30" i="29"/>
  <c r="M30" i="29"/>
  <c r="L30" i="29"/>
  <c r="K30" i="29"/>
  <c r="J30" i="29"/>
  <c r="I30" i="29"/>
  <c r="H30" i="29"/>
  <c r="G30" i="29"/>
  <c r="F30" i="29"/>
  <c r="E30" i="29"/>
  <c r="AN29" i="29"/>
  <c r="AM29" i="29"/>
  <c r="AL29" i="29"/>
  <c r="AK29" i="29"/>
  <c r="AJ29" i="29"/>
  <c r="AI29" i="29"/>
  <c r="AH29" i="29"/>
  <c r="AG29" i="29"/>
  <c r="AF29" i="29"/>
  <c r="AE29" i="29"/>
  <c r="AD29" i="29"/>
  <c r="AC29" i="29"/>
  <c r="AB29" i="29"/>
  <c r="AA29" i="29"/>
  <c r="Z29" i="29"/>
  <c r="Y29" i="29"/>
  <c r="X29" i="29"/>
  <c r="W29" i="29"/>
  <c r="V29" i="29"/>
  <c r="U29" i="29"/>
  <c r="T29" i="29"/>
  <c r="S29" i="29"/>
  <c r="R29" i="29"/>
  <c r="Q29" i="29"/>
  <c r="P29" i="29"/>
  <c r="O29" i="29"/>
  <c r="N29" i="29"/>
  <c r="M29" i="29"/>
  <c r="L29" i="29"/>
  <c r="K29" i="29"/>
  <c r="J29" i="29"/>
  <c r="I29" i="29"/>
  <c r="H29" i="29"/>
  <c r="G29" i="29"/>
  <c r="F29" i="29"/>
  <c r="E29" i="29"/>
  <c r="AN28" i="29"/>
  <c r="AM28" i="29"/>
  <c r="AL28" i="29"/>
  <c r="AK28" i="29"/>
  <c r="AJ28" i="29"/>
  <c r="AI28" i="29"/>
  <c r="AH28" i="29"/>
  <c r="AG28" i="29"/>
  <c r="AF28" i="29"/>
  <c r="AE28" i="29"/>
  <c r="AD28" i="29"/>
  <c r="AC28" i="29"/>
  <c r="AB28" i="29"/>
  <c r="AA28" i="29"/>
  <c r="Z28" i="29"/>
  <c r="Y28" i="29"/>
  <c r="X28" i="29"/>
  <c r="W28" i="29"/>
  <c r="V28" i="29"/>
  <c r="U28" i="29"/>
  <c r="T28" i="29"/>
  <c r="S28" i="29"/>
  <c r="R28" i="29"/>
  <c r="Q28" i="29"/>
  <c r="P28" i="29"/>
  <c r="O28" i="29"/>
  <c r="N28" i="29"/>
  <c r="M28" i="29"/>
  <c r="L28" i="29"/>
  <c r="K28" i="29"/>
  <c r="J28" i="29"/>
  <c r="I28" i="29"/>
  <c r="H28" i="29"/>
  <c r="G28" i="29"/>
  <c r="F28" i="29"/>
  <c r="E28" i="29"/>
  <c r="AN27" i="29"/>
  <c r="AM27" i="29"/>
  <c r="AL27" i="29"/>
  <c r="AK27"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G27" i="29"/>
  <c r="F27" i="29"/>
  <c r="E27" i="29"/>
  <c r="AN26" i="29"/>
  <c r="AM26" i="29"/>
  <c r="AL26" i="29"/>
  <c r="AK26" i="29"/>
  <c r="AJ26" i="29"/>
  <c r="AI26" i="29"/>
  <c r="AH26" i="29"/>
  <c r="AG26" i="29"/>
  <c r="AF26" i="29"/>
  <c r="AE26" i="29"/>
  <c r="AD26" i="29"/>
  <c r="AC26" i="29"/>
  <c r="AB26" i="29"/>
  <c r="AA26" i="29"/>
  <c r="Z26" i="29"/>
  <c r="Y26" i="29"/>
  <c r="X26" i="29"/>
  <c r="W26" i="29"/>
  <c r="V26" i="29"/>
  <c r="U26" i="29"/>
  <c r="T26" i="29"/>
  <c r="S26" i="29"/>
  <c r="R26" i="29"/>
  <c r="Q26" i="29"/>
  <c r="P26" i="29"/>
  <c r="O26" i="29"/>
  <c r="N26" i="29"/>
  <c r="M26" i="29"/>
  <c r="L26" i="29"/>
  <c r="K26" i="29"/>
  <c r="J26" i="29"/>
  <c r="I26" i="29"/>
  <c r="H26" i="29"/>
  <c r="G26" i="29"/>
  <c r="F26" i="29"/>
  <c r="E26" i="29"/>
  <c r="AN25" i="29"/>
  <c r="AM25" i="29"/>
  <c r="AL25" i="29"/>
  <c r="AK25" i="29"/>
  <c r="AJ25" i="29"/>
  <c r="AI25" i="29"/>
  <c r="AH25" i="29"/>
  <c r="AG25" i="29"/>
  <c r="AF25" i="29"/>
  <c r="AE25" i="29"/>
  <c r="AD25" i="29"/>
  <c r="AC25" i="29"/>
  <c r="AB25" i="29"/>
  <c r="AA25" i="29"/>
  <c r="Z25" i="29"/>
  <c r="Y25" i="29"/>
  <c r="X25" i="29"/>
  <c r="W25" i="29"/>
  <c r="V25" i="29"/>
  <c r="U25" i="29"/>
  <c r="T25" i="29"/>
  <c r="S25" i="29"/>
  <c r="R25" i="29"/>
  <c r="Q25" i="29"/>
  <c r="P25" i="29"/>
  <c r="O25" i="29"/>
  <c r="N25" i="29"/>
  <c r="M25" i="29"/>
  <c r="L25" i="29"/>
  <c r="K25" i="29"/>
  <c r="J25" i="29"/>
  <c r="I25" i="29"/>
  <c r="H25" i="29"/>
  <c r="G25" i="29"/>
  <c r="F25" i="29"/>
  <c r="E25" i="29"/>
  <c r="L6" i="29"/>
  <c r="K6" i="29"/>
  <c r="L5" i="29"/>
  <c r="K5" i="29"/>
  <c r="L4" i="29"/>
  <c r="K4" i="29"/>
  <c r="L3" i="29"/>
  <c r="K3" i="29"/>
  <c r="H14" i="29"/>
  <c r="H13" i="29"/>
  <c r="H12" i="29"/>
  <c r="F17" i="29"/>
  <c r="E17" i="29"/>
  <c r="E16" i="29"/>
  <c r="F15" i="29"/>
  <c r="E15" i="29"/>
  <c r="F14" i="29"/>
  <c r="F13" i="29"/>
  <c r="F12" i="29"/>
  <c r="F11" i="29"/>
  <c r="F10" i="29"/>
  <c r="F9" i="29"/>
  <c r="E14" i="29"/>
  <c r="E13" i="29"/>
  <c r="E12" i="29"/>
  <c r="E10" i="29"/>
  <c r="E9" i="29"/>
  <c r="H7" i="29"/>
  <c r="H6" i="29"/>
  <c r="H5" i="29"/>
  <c r="H4" i="29"/>
  <c r="H3" i="29"/>
  <c r="H2" i="29"/>
  <c r="E3" i="29"/>
  <c r="E4" i="29"/>
  <c r="E5" i="29"/>
  <c r="E6" i="29"/>
  <c r="E2" i="29"/>
  <c r="E132" i="57"/>
  <c r="E140" i="57" s="1"/>
  <c r="E117" i="57"/>
  <c r="F106" i="57"/>
  <c r="I102" i="57"/>
  <c r="H102" i="57"/>
  <c r="G102" i="57"/>
  <c r="AM101" i="57"/>
  <c r="AL101" i="57"/>
  <c r="AF101" i="57"/>
  <c r="AE101" i="57"/>
  <c r="Y101" i="57"/>
  <c r="X101" i="57"/>
  <c r="W101" i="57"/>
  <c r="U101" i="57"/>
  <c r="T101" i="57"/>
  <c r="S101" i="57"/>
  <c r="R101" i="57"/>
  <c r="Q101" i="57"/>
  <c r="Q102" i="57" s="1"/>
  <c r="P101" i="57"/>
  <c r="O101" i="57"/>
  <c r="O102" i="57" s="1"/>
  <c r="N101" i="57"/>
  <c r="N102" i="57" s="1"/>
  <c r="M101" i="57"/>
  <c r="M102" i="57" s="1"/>
  <c r="K101" i="57"/>
  <c r="J101" i="57"/>
  <c r="J102" i="57" s="1"/>
  <c r="I101" i="57"/>
  <c r="H101" i="57"/>
  <c r="G101" i="57"/>
  <c r="F101" i="57"/>
  <c r="E101" i="57"/>
  <c r="E102" i="57" s="1"/>
  <c r="AM100" i="57"/>
  <c r="AF100" i="57"/>
  <c r="AE100" i="57"/>
  <c r="AL100" i="57" s="1"/>
  <c r="AD100" i="57"/>
  <c r="AD101" i="57" s="1"/>
  <c r="Z100" i="57"/>
  <c r="Z101" i="57" s="1"/>
  <c r="V100" i="57"/>
  <c r="V101" i="57" s="1"/>
  <c r="Y98" i="57"/>
  <c r="X98" i="57"/>
  <c r="W98" i="57"/>
  <c r="U98" i="57"/>
  <c r="T98" i="57"/>
  <c r="S98" i="57"/>
  <c r="R98" i="57"/>
  <c r="Q98" i="57"/>
  <c r="P98" i="57"/>
  <c r="P102" i="57" s="1"/>
  <c r="O98" i="57"/>
  <c r="N98" i="57"/>
  <c r="M98" i="57"/>
  <c r="K98" i="57"/>
  <c r="J98" i="57"/>
  <c r="I98" i="57"/>
  <c r="H98" i="57"/>
  <c r="G98" i="57"/>
  <c r="F98" i="57"/>
  <c r="E98" i="57"/>
  <c r="AF97" i="57"/>
  <c r="AE97" i="57"/>
  <c r="AD97" i="57"/>
  <c r="AD98" i="57" s="1"/>
  <c r="Z97" i="57"/>
  <c r="Z98" i="57" s="1"/>
  <c r="V97" i="57"/>
  <c r="AA97" i="57" s="1"/>
  <c r="X95" i="57"/>
  <c r="T95" i="57"/>
  <c r="S95" i="57"/>
  <c r="R95" i="57"/>
  <c r="Q95" i="57"/>
  <c r="P95" i="57"/>
  <c r="O95" i="57"/>
  <c r="N95" i="57"/>
  <c r="M95" i="57"/>
  <c r="J95" i="57"/>
  <c r="I95" i="57"/>
  <c r="H95" i="57"/>
  <c r="G95" i="57"/>
  <c r="E95" i="57"/>
  <c r="AF94" i="57"/>
  <c r="AM94" i="57" s="1"/>
  <c r="AE94" i="57"/>
  <c r="AL94" i="57" s="1"/>
  <c r="AD94" i="57"/>
  <c r="Z94" i="57"/>
  <c r="AA94" i="57" s="1"/>
  <c r="AH94" i="57" s="1"/>
  <c r="V94" i="57"/>
  <c r="AL93" i="57"/>
  <c r="AF93" i="57"/>
  <c r="AM93" i="57" s="1"/>
  <c r="AE93" i="57"/>
  <c r="AD93" i="57"/>
  <c r="Z93" i="57"/>
  <c r="V93" i="57"/>
  <c r="AA93" i="57" s="1"/>
  <c r="AH93" i="57" s="1"/>
  <c r="AF92" i="57"/>
  <c r="AE92" i="57"/>
  <c r="AL92" i="57" s="1"/>
  <c r="AD92" i="57"/>
  <c r="AC92" i="57"/>
  <c r="AJ92" i="57" s="1"/>
  <c r="AB92" i="57"/>
  <c r="AI92" i="57" s="1"/>
  <c r="AA92" i="57"/>
  <c r="AH92" i="57" s="1"/>
  <c r="Z92" i="57"/>
  <c r="V92" i="57"/>
  <c r="AM91" i="57"/>
  <c r="AF91" i="57"/>
  <c r="AE91" i="57"/>
  <c r="AL91" i="57" s="1"/>
  <c r="AD91" i="57"/>
  <c r="Z91" i="57"/>
  <c r="V91" i="57"/>
  <c r="AH90" i="57"/>
  <c r="AF90" i="57"/>
  <c r="AM90" i="57" s="1"/>
  <c r="AE90" i="57"/>
  <c r="AL90" i="57" s="1"/>
  <c r="AD90" i="57"/>
  <c r="Z90" i="57"/>
  <c r="V90" i="57"/>
  <c r="AA90" i="57" s="1"/>
  <c r="AF89" i="57"/>
  <c r="AE89" i="57"/>
  <c r="AL89" i="57" s="1"/>
  <c r="AD89" i="57"/>
  <c r="Z89" i="57"/>
  <c r="V89" i="57"/>
  <c r="AA89" i="57" s="1"/>
  <c r="AH89" i="57" s="1"/>
  <c r="AM88" i="57"/>
  <c r="AL88" i="57"/>
  <c r="AF88" i="57"/>
  <c r="AE88" i="57"/>
  <c r="AD88" i="57"/>
  <c r="Z88" i="57"/>
  <c r="AA88" i="57" s="1"/>
  <c r="AH88" i="57" s="1"/>
  <c r="V88" i="57"/>
  <c r="Y87" i="57"/>
  <c r="X87" i="57"/>
  <c r="W87" i="57"/>
  <c r="U87" i="57"/>
  <c r="K87" i="57"/>
  <c r="F87" i="57"/>
  <c r="AL86" i="57"/>
  <c r="AH86" i="57"/>
  <c r="AF86" i="57"/>
  <c r="AM86" i="57" s="1"/>
  <c r="AE86" i="57"/>
  <c r="AD86" i="57"/>
  <c r="AC86" i="57"/>
  <c r="AJ86" i="57" s="1"/>
  <c r="AB86" i="57"/>
  <c r="AI86" i="57" s="1"/>
  <c r="AA86" i="57"/>
  <c r="Z86" i="57"/>
  <c r="V86" i="57"/>
  <c r="B86" i="57"/>
  <c r="AF85" i="57"/>
  <c r="AM85" i="57" s="1"/>
  <c r="AE85" i="57"/>
  <c r="AL85" i="57" s="1"/>
  <c r="AD85" i="57"/>
  <c r="AA85" i="57"/>
  <c r="AH85" i="57" s="1"/>
  <c r="Z85" i="57"/>
  <c r="V85" i="57"/>
  <c r="B85" i="57"/>
  <c r="AM84" i="57"/>
  <c r="AF84" i="57"/>
  <c r="AE84" i="57"/>
  <c r="AL84" i="57" s="1"/>
  <c r="AD84" i="57"/>
  <c r="Z84" i="57"/>
  <c r="AA84" i="57" s="1"/>
  <c r="AH84" i="57" s="1"/>
  <c r="V84" i="57"/>
  <c r="AM83" i="57"/>
  <c r="AL83" i="57"/>
  <c r="AF83" i="57"/>
  <c r="AE83" i="57"/>
  <c r="AD83" i="57"/>
  <c r="Z83" i="57"/>
  <c r="V83" i="57"/>
  <c r="AA83" i="57" s="1"/>
  <c r="AH83" i="57" s="1"/>
  <c r="B83" i="57"/>
  <c r="AM82" i="57"/>
  <c r="AL82" i="57"/>
  <c r="AF82" i="57"/>
  <c r="AE82" i="57"/>
  <c r="AD82" i="57"/>
  <c r="AC82" i="57"/>
  <c r="AJ82" i="57" s="1"/>
  <c r="AB82" i="57"/>
  <c r="AI82" i="57" s="1"/>
  <c r="Z82" i="57"/>
  <c r="V82" i="57"/>
  <c r="AA82" i="57" s="1"/>
  <c r="AH82" i="57" s="1"/>
  <c r="B82" i="57"/>
  <c r="AM81" i="57"/>
  <c r="AL81" i="57"/>
  <c r="AF81" i="57"/>
  <c r="AE81" i="57"/>
  <c r="AD81" i="57"/>
  <c r="Z81" i="57"/>
  <c r="V81" i="57"/>
  <c r="AA81" i="57" s="1"/>
  <c r="AH81" i="57" s="1"/>
  <c r="B81" i="57"/>
  <c r="AH80" i="57"/>
  <c r="AF80" i="57"/>
  <c r="AM80" i="57" s="1"/>
  <c r="AE80" i="57"/>
  <c r="AD80" i="57"/>
  <c r="Z80" i="57"/>
  <c r="V80" i="57"/>
  <c r="AA80" i="57" s="1"/>
  <c r="B80" i="57"/>
  <c r="Y79" i="57"/>
  <c r="Y95" i="57" s="1"/>
  <c r="X79" i="57"/>
  <c r="W79" i="57"/>
  <c r="W95" i="57" s="1"/>
  <c r="U79" i="57"/>
  <c r="U95" i="57" s="1"/>
  <c r="K79" i="57"/>
  <c r="K95" i="57" s="1"/>
  <c r="F79" i="57"/>
  <c r="F95" i="57" s="1"/>
  <c r="F105" i="57" s="1"/>
  <c r="AF77" i="57"/>
  <c r="AE77" i="57"/>
  <c r="AL77" i="57" s="1"/>
  <c r="AD77" i="57"/>
  <c r="Z77" i="57"/>
  <c r="V77" i="57"/>
  <c r="AA77" i="57" s="1"/>
  <c r="AH77" i="57" s="1"/>
  <c r="B77" i="57"/>
  <c r="AF76" i="57"/>
  <c r="AE76" i="57"/>
  <c r="AL76" i="57" s="1"/>
  <c r="AD76" i="57"/>
  <c r="Z76" i="57"/>
  <c r="V76" i="57"/>
  <c r="AA76" i="57" s="1"/>
  <c r="AH76" i="57" s="1"/>
  <c r="B76" i="57"/>
  <c r="AF75" i="57"/>
  <c r="AM75" i="57" s="1"/>
  <c r="AE75" i="57"/>
  <c r="AL75" i="57" s="1"/>
  <c r="AD75" i="57"/>
  <c r="Z75" i="57"/>
  <c r="V75" i="57"/>
  <c r="AA75" i="57" s="1"/>
  <c r="AH75" i="57" s="1"/>
  <c r="B75" i="57"/>
  <c r="AM74" i="57"/>
  <c r="AL74" i="57"/>
  <c r="AF74" i="57"/>
  <c r="AE74" i="57"/>
  <c r="AD74" i="57"/>
  <c r="Z74" i="57"/>
  <c r="V74" i="57"/>
  <c r="AA74" i="57" s="1"/>
  <c r="AH74" i="57" s="1"/>
  <c r="B74" i="57"/>
  <c r="AH73" i="57"/>
  <c r="AF73" i="57"/>
  <c r="AM73" i="57" s="1"/>
  <c r="AE73" i="57"/>
  <c r="AL73" i="57" s="1"/>
  <c r="AD73" i="57"/>
  <c r="Z73" i="57"/>
  <c r="V73" i="57"/>
  <c r="AA73" i="57" s="1"/>
  <c r="B73" i="57"/>
  <c r="AL72" i="57"/>
  <c r="AF72" i="57"/>
  <c r="AM72" i="57" s="1"/>
  <c r="AE72" i="57"/>
  <c r="AD72" i="57"/>
  <c r="Z72" i="57"/>
  <c r="V72" i="57"/>
  <c r="AA72" i="57" s="1"/>
  <c r="AH72" i="57" s="1"/>
  <c r="B72" i="57"/>
  <c r="AL71" i="57"/>
  <c r="AF71" i="57"/>
  <c r="AE71" i="57"/>
  <c r="AD71" i="57"/>
  <c r="AA71" i="57"/>
  <c r="AH71" i="57" s="1"/>
  <c r="Z71" i="57"/>
  <c r="V71" i="57"/>
  <c r="B71" i="57"/>
  <c r="AM70" i="57"/>
  <c r="AL70" i="57"/>
  <c r="AF70" i="57"/>
  <c r="AE70" i="57"/>
  <c r="AD70" i="57"/>
  <c r="AA70" i="57"/>
  <c r="AH70" i="57" s="1"/>
  <c r="Z70" i="57"/>
  <c r="V70" i="57"/>
  <c r="B70" i="57"/>
  <c r="AF69" i="57"/>
  <c r="AM69" i="57" s="1"/>
  <c r="AE69" i="57"/>
  <c r="AL69" i="57" s="1"/>
  <c r="AD69" i="57"/>
  <c r="AA69" i="57"/>
  <c r="AH69" i="57" s="1"/>
  <c r="Z69" i="57"/>
  <c r="V69" i="57"/>
  <c r="B69" i="57"/>
  <c r="AM68" i="57"/>
  <c r="AF68" i="57"/>
  <c r="AE68" i="57"/>
  <c r="AL68" i="57" s="1"/>
  <c r="AD68" i="57"/>
  <c r="AC68" i="57"/>
  <c r="AJ68" i="57" s="1"/>
  <c r="AB68" i="57"/>
  <c r="AI68" i="57" s="1"/>
  <c r="Z68" i="57"/>
  <c r="V68" i="57"/>
  <c r="AA68" i="57" s="1"/>
  <c r="AH68" i="57" s="1"/>
  <c r="B68" i="57"/>
  <c r="AM67" i="57"/>
  <c r="AL67" i="57"/>
  <c r="AF67" i="57"/>
  <c r="AE67" i="57"/>
  <c r="AD67" i="57"/>
  <c r="Z67" i="57"/>
  <c r="V67" i="57"/>
  <c r="B67" i="57"/>
  <c r="AM66" i="57"/>
  <c r="AL66" i="57"/>
  <c r="AF66" i="57"/>
  <c r="AE66" i="57"/>
  <c r="AD66" i="57"/>
  <c r="Z66" i="57"/>
  <c r="V66" i="57"/>
  <c r="B66" i="57"/>
  <c r="AF65" i="57"/>
  <c r="AM65" i="57" s="1"/>
  <c r="AE65" i="57"/>
  <c r="AL65" i="57" s="1"/>
  <c r="AD65" i="57"/>
  <c r="Z65" i="57"/>
  <c r="V65" i="57"/>
  <c r="AA65" i="57" s="1"/>
  <c r="AH65" i="57" s="1"/>
  <c r="B65" i="57"/>
  <c r="AL64" i="57"/>
  <c r="AF64" i="57"/>
  <c r="AM64" i="57" s="1"/>
  <c r="AE64" i="57"/>
  <c r="AD64" i="57"/>
  <c r="Z64" i="57"/>
  <c r="V64" i="57"/>
  <c r="AA64" i="57" s="1"/>
  <c r="AH64" i="57" s="1"/>
  <c r="B64" i="57"/>
  <c r="AF63" i="57"/>
  <c r="AM63" i="57" s="1"/>
  <c r="AE63" i="57"/>
  <c r="AL63" i="57" s="1"/>
  <c r="AD63" i="57"/>
  <c r="Z63" i="57"/>
  <c r="V63" i="57"/>
  <c r="AA63" i="57" s="1"/>
  <c r="AH63" i="57" s="1"/>
  <c r="B63" i="57"/>
  <c r="AF62" i="57"/>
  <c r="AM62" i="57" s="1"/>
  <c r="AE62" i="57"/>
  <c r="AL62" i="57" s="1"/>
  <c r="AD62" i="57"/>
  <c r="Z62" i="57"/>
  <c r="AA62" i="57" s="1"/>
  <c r="AH62" i="57" s="1"/>
  <c r="V62" i="57"/>
  <c r="B62" i="57"/>
  <c r="AM61" i="57"/>
  <c r="AL61" i="57"/>
  <c r="AF61" i="57"/>
  <c r="AE61" i="57"/>
  <c r="AD61" i="57"/>
  <c r="Z61" i="57"/>
  <c r="AA61" i="57" s="1"/>
  <c r="AH61" i="57" s="1"/>
  <c r="V61" i="57"/>
  <c r="B61" i="57"/>
  <c r="AM60" i="57"/>
  <c r="AL60" i="57"/>
  <c r="AF60" i="57"/>
  <c r="AE60" i="57"/>
  <c r="AD60" i="57"/>
  <c r="Z60" i="57"/>
  <c r="V60" i="57"/>
  <c r="AA60" i="57" s="1"/>
  <c r="AH60" i="57" s="1"/>
  <c r="B60" i="57"/>
  <c r="AM59" i="57"/>
  <c r="AL59" i="57"/>
  <c r="AF59" i="57"/>
  <c r="AE59" i="57"/>
  <c r="AD59" i="57"/>
  <c r="AC59" i="57"/>
  <c r="AJ59" i="57" s="1"/>
  <c r="AB59" i="57"/>
  <c r="AI59" i="57" s="1"/>
  <c r="Z59" i="57"/>
  <c r="V59" i="57"/>
  <c r="B59" i="57"/>
  <c r="AM58" i="57"/>
  <c r="AL58" i="57"/>
  <c r="AF58" i="57"/>
  <c r="AE58" i="57"/>
  <c r="AD58" i="57"/>
  <c r="Z58" i="57"/>
  <c r="V58" i="57"/>
  <c r="AA58" i="57" s="1"/>
  <c r="AH58" i="57" s="1"/>
  <c r="B58" i="57"/>
  <c r="AL57" i="57"/>
  <c r="AH57" i="57"/>
  <c r="AF57" i="57"/>
  <c r="AM57" i="57" s="1"/>
  <c r="AE57" i="57"/>
  <c r="AD57" i="57"/>
  <c r="Z57" i="57"/>
  <c r="V57" i="57"/>
  <c r="AA57" i="57" s="1"/>
  <c r="B57" i="57"/>
  <c r="AF56" i="57"/>
  <c r="AE56" i="57"/>
  <c r="AL56" i="57" s="1"/>
  <c r="AD56" i="57"/>
  <c r="Z56" i="57"/>
  <c r="Z79" i="57" s="1"/>
  <c r="V56" i="57"/>
  <c r="AA56" i="57" s="1"/>
  <c r="B56" i="57"/>
  <c r="Z54" i="57"/>
  <c r="Y54" i="57"/>
  <c r="X54" i="57"/>
  <c r="W54" i="57"/>
  <c r="U54" i="57"/>
  <c r="T54" i="57"/>
  <c r="S54" i="57"/>
  <c r="R54" i="57"/>
  <c r="Q54" i="57"/>
  <c r="P54" i="57"/>
  <c r="O54" i="57"/>
  <c r="N54" i="57"/>
  <c r="M54" i="57"/>
  <c r="J54" i="57"/>
  <c r="I54" i="57"/>
  <c r="H54" i="57"/>
  <c r="G54" i="57"/>
  <c r="F54" i="57"/>
  <c r="E54" i="57"/>
  <c r="AM53" i="57"/>
  <c r="AL53" i="57"/>
  <c r="AH53" i="57"/>
  <c r="AF53" i="57"/>
  <c r="AE53" i="57"/>
  <c r="AD53" i="57"/>
  <c r="Z53" i="57"/>
  <c r="V53" i="57"/>
  <c r="AA53" i="57" s="1"/>
  <c r="AF52" i="57"/>
  <c r="AE52" i="57"/>
  <c r="AL52" i="57" s="1"/>
  <c r="AD52" i="57"/>
  <c r="Z52" i="57"/>
  <c r="V52" i="57"/>
  <c r="AA52" i="57" s="1"/>
  <c r="AH52" i="57" s="1"/>
  <c r="AF51" i="57"/>
  <c r="AE51" i="57"/>
  <c r="AL51" i="57" s="1"/>
  <c r="AD51" i="57"/>
  <c r="Z51" i="57"/>
  <c r="V51" i="57"/>
  <c r="AA51" i="57" s="1"/>
  <c r="AH51" i="57" s="1"/>
  <c r="AM50" i="57"/>
  <c r="AF50" i="57"/>
  <c r="AE50" i="57"/>
  <c r="AL50" i="57" s="1"/>
  <c r="AD50" i="57"/>
  <c r="Z50" i="57"/>
  <c r="V50" i="57"/>
  <c r="AA50" i="57" s="1"/>
  <c r="AH50" i="57" s="1"/>
  <c r="AM49" i="57"/>
  <c r="AL49" i="57"/>
  <c r="AF49" i="57"/>
  <c r="AE49" i="57"/>
  <c r="AD49" i="57"/>
  <c r="AC49" i="57"/>
  <c r="AJ49" i="57" s="1"/>
  <c r="Z49" i="57"/>
  <c r="V49" i="57"/>
  <c r="AA49" i="57" s="1"/>
  <c r="AH49" i="57" s="1"/>
  <c r="AF48" i="57"/>
  <c r="AE48" i="57"/>
  <c r="AL48" i="57" s="1"/>
  <c r="AD48" i="57"/>
  <c r="AA48" i="57"/>
  <c r="AH48" i="57" s="1"/>
  <c r="Z48" i="57"/>
  <c r="V48" i="57"/>
  <c r="AM47" i="57"/>
  <c r="AF47" i="57"/>
  <c r="AE47" i="57"/>
  <c r="AD47" i="57"/>
  <c r="AD54" i="57" s="1"/>
  <c r="AC47" i="57"/>
  <c r="Z47" i="57"/>
  <c r="V47" i="57"/>
  <c r="V54" i="57" s="1"/>
  <c r="Y45" i="57"/>
  <c r="X45" i="57"/>
  <c r="W45" i="57"/>
  <c r="V45" i="57"/>
  <c r="U45" i="57"/>
  <c r="T45" i="57"/>
  <c r="S45" i="57"/>
  <c r="R45" i="57"/>
  <c r="Q45" i="57"/>
  <c r="P45" i="57"/>
  <c r="O45" i="57"/>
  <c r="N45" i="57"/>
  <c r="M45" i="57"/>
  <c r="J45" i="57"/>
  <c r="I45" i="57"/>
  <c r="H45" i="57"/>
  <c r="G45" i="57"/>
  <c r="F45" i="57"/>
  <c r="E45" i="57"/>
  <c r="AF44" i="57"/>
  <c r="AM44" i="57" s="1"/>
  <c r="AE44" i="57"/>
  <c r="AL44" i="57" s="1"/>
  <c r="AD44" i="57"/>
  <c r="AC44" i="57"/>
  <c r="AJ44" i="57" s="1"/>
  <c r="AB44" i="57"/>
  <c r="AI44" i="57" s="1"/>
  <c r="Z44" i="57"/>
  <c r="AA44" i="57" s="1"/>
  <c r="AH44" i="57" s="1"/>
  <c r="V44" i="57"/>
  <c r="AM43" i="57"/>
  <c r="AF43" i="57"/>
  <c r="AE43" i="57"/>
  <c r="AL43" i="57" s="1"/>
  <c r="AD43" i="57"/>
  <c r="Z43" i="57"/>
  <c r="V43" i="57"/>
  <c r="AA43" i="57" s="1"/>
  <c r="AH43" i="57" s="1"/>
  <c r="AM42" i="57"/>
  <c r="AL42" i="57"/>
  <c r="AF42" i="57"/>
  <c r="AE42" i="57"/>
  <c r="AD42" i="57"/>
  <c r="Z42" i="57"/>
  <c r="AA42" i="57" s="1"/>
  <c r="AH42" i="57" s="1"/>
  <c r="V42" i="57"/>
  <c r="AL41" i="57"/>
  <c r="AF41" i="57"/>
  <c r="AM41" i="57" s="1"/>
  <c r="AE41" i="57"/>
  <c r="AD41" i="57"/>
  <c r="AA41" i="57"/>
  <c r="AH41" i="57" s="1"/>
  <c r="Z41" i="57"/>
  <c r="V41" i="57"/>
  <c r="AF40" i="57"/>
  <c r="AM40" i="57" s="1"/>
  <c r="AE40" i="57"/>
  <c r="AL40" i="57" s="1"/>
  <c r="AD40" i="57"/>
  <c r="AC40" i="57"/>
  <c r="AJ40" i="57" s="1"/>
  <c r="AB40" i="57"/>
  <c r="AI40" i="57" s="1"/>
  <c r="Z40" i="57"/>
  <c r="AA40" i="57" s="1"/>
  <c r="AH40" i="57" s="1"/>
  <c r="V40" i="57"/>
  <c r="AM39" i="57"/>
  <c r="AL39" i="57"/>
  <c r="AF39" i="57"/>
  <c r="AE39" i="57"/>
  <c r="AD39" i="57"/>
  <c r="Z39" i="57"/>
  <c r="V39" i="57"/>
  <c r="AA39" i="57" s="1"/>
  <c r="AH39" i="57" s="1"/>
  <c r="AF38" i="57"/>
  <c r="AM38" i="57" s="1"/>
  <c r="AE38" i="57"/>
  <c r="AL38" i="57" s="1"/>
  <c r="AD38" i="57"/>
  <c r="AA38" i="57"/>
  <c r="AH38" i="57" s="1"/>
  <c r="Z38" i="57"/>
  <c r="V38" i="57"/>
  <c r="AF37" i="57"/>
  <c r="AE37" i="57"/>
  <c r="AD37" i="57"/>
  <c r="Z37" i="57"/>
  <c r="V37" i="57"/>
  <c r="AA37" i="57" s="1"/>
  <c r="AH37" i="57" s="1"/>
  <c r="AM36" i="57"/>
  <c r="AL36" i="57"/>
  <c r="AF36" i="57"/>
  <c r="AE36" i="57"/>
  <c r="AD36" i="57"/>
  <c r="Z36" i="57"/>
  <c r="V36" i="57"/>
  <c r="AA36" i="57" s="1"/>
  <c r="Y34" i="57"/>
  <c r="X34" i="57"/>
  <c r="W34" i="57"/>
  <c r="U34" i="57"/>
  <c r="T34" i="57"/>
  <c r="S34" i="57"/>
  <c r="R34" i="57"/>
  <c r="Q34" i="57"/>
  <c r="P34" i="57"/>
  <c r="H34" i="57"/>
  <c r="G34" i="57"/>
  <c r="F34" i="57"/>
  <c r="E34" i="57"/>
  <c r="AM33" i="57"/>
  <c r="AL33" i="57"/>
  <c r="AF33" i="57"/>
  <c r="AE33" i="57"/>
  <c r="AD33" i="57"/>
  <c r="Z33" i="57"/>
  <c r="AA33" i="57" s="1"/>
  <c r="AH33" i="57" s="1"/>
  <c r="V33" i="57"/>
  <c r="AM32" i="57"/>
  <c r="AF32" i="57"/>
  <c r="AE32" i="57"/>
  <c r="AL32" i="57" s="1"/>
  <c r="AD32" i="57"/>
  <c r="Z32" i="57"/>
  <c r="V32" i="57"/>
  <c r="AA32" i="57" s="1"/>
  <c r="AH32" i="57" s="1"/>
  <c r="I32" i="57"/>
  <c r="AF31" i="57"/>
  <c r="AE31" i="57"/>
  <c r="AL31" i="57" s="1"/>
  <c r="AD31" i="57"/>
  <c r="AC31" i="57"/>
  <c r="AJ31" i="57" s="1"/>
  <c r="AB31" i="57"/>
  <c r="AI31" i="57" s="1"/>
  <c r="Z31" i="57"/>
  <c r="AA31" i="57" s="1"/>
  <c r="AH31" i="57" s="1"/>
  <c r="V31" i="57"/>
  <c r="AM30" i="57"/>
  <c r="AL30" i="57"/>
  <c r="AF30" i="57"/>
  <c r="AE30" i="57"/>
  <c r="AD30" i="57"/>
  <c r="Z30" i="57"/>
  <c r="V30" i="57"/>
  <c r="AA30" i="57" s="1"/>
  <c r="AH30" i="57" s="1"/>
  <c r="AH29" i="57"/>
  <c r="AF29" i="57"/>
  <c r="AM29" i="57" s="1"/>
  <c r="AE29" i="57"/>
  <c r="AL29" i="57" s="1"/>
  <c r="AD29" i="57"/>
  <c r="AA29" i="57"/>
  <c r="Z29" i="57"/>
  <c r="V29" i="57"/>
  <c r="AF28" i="57"/>
  <c r="AE28" i="57"/>
  <c r="AL28" i="57" s="1"/>
  <c r="AD28" i="57"/>
  <c r="Z28" i="57"/>
  <c r="V28" i="57"/>
  <c r="AA28" i="57" s="1"/>
  <c r="AH28" i="57" s="1"/>
  <c r="AM27" i="57"/>
  <c r="AL27" i="57"/>
  <c r="AF27" i="57"/>
  <c r="AE27" i="57"/>
  <c r="AD27" i="57"/>
  <c r="Z27" i="57"/>
  <c r="AA27" i="57" s="1"/>
  <c r="AH27" i="57" s="1"/>
  <c r="V27" i="57"/>
  <c r="AF26" i="57"/>
  <c r="AM26" i="57" s="1"/>
  <c r="AE26" i="57"/>
  <c r="AL26" i="57" s="1"/>
  <c r="AD26" i="57"/>
  <c r="AD34" i="57" s="1"/>
  <c r="Z26" i="57"/>
  <c r="V26" i="57"/>
  <c r="AF25" i="57"/>
  <c r="AE25" i="57"/>
  <c r="AD25" i="57"/>
  <c r="Z25" i="57"/>
  <c r="V25" i="57"/>
  <c r="D21" i="57" a="1"/>
  <c r="D21" i="57" s="1"/>
  <c r="E16" i="57"/>
  <c r="F17" i="57" s="1"/>
  <c r="F18" i="57" s="1"/>
  <c r="F15" i="57"/>
  <c r="E15" i="57"/>
  <c r="K5" i="57"/>
  <c r="L5" i="57" s="1"/>
  <c r="K4" i="57"/>
  <c r="L4" i="57" s="1"/>
  <c r="K3" i="57"/>
  <c r="H3" i="57"/>
  <c r="AC85" i="57" s="1"/>
  <c r="AJ85" i="57" s="1"/>
  <c r="H2" i="57"/>
  <c r="AB60" i="57" s="1"/>
  <c r="AI60" i="57" s="1"/>
  <c r="W20" i="17" l="1"/>
  <c r="W29" i="17"/>
  <c r="W21" i="17"/>
  <c r="W30" i="17"/>
  <c r="W84" i="17"/>
  <c r="W83" i="17"/>
  <c r="W35" i="17"/>
  <c r="W97" i="17"/>
  <c r="W34" i="17"/>
  <c r="W96" i="17"/>
  <c r="W110" i="17"/>
  <c r="W26" i="17"/>
  <c r="W109" i="17"/>
  <c r="W25" i="17"/>
  <c r="W141" i="17"/>
  <c r="W17" i="17"/>
  <c r="W161" i="17"/>
  <c r="W16" i="17"/>
  <c r="W71" i="17"/>
  <c r="W12" i="17"/>
  <c r="W70" i="17"/>
  <c r="W10" i="17"/>
  <c r="W131" i="17"/>
  <c r="W48" i="17"/>
  <c r="W47" i="17"/>
  <c r="W122" i="17"/>
  <c r="W46" i="17"/>
  <c r="W149" i="17"/>
  <c r="W58" i="17"/>
  <c r="W123" i="17"/>
  <c r="D16" i="13"/>
  <c r="AJ47" i="57"/>
  <c r="AE87" i="57"/>
  <c r="AL87" i="57" s="1"/>
  <c r="AL80" i="57"/>
  <c r="AH56" i="57"/>
  <c r="AM89" i="57"/>
  <c r="AG59" i="57"/>
  <c r="AA98" i="57"/>
  <c r="AH98" i="57" s="1"/>
  <c r="AH97" i="57"/>
  <c r="AL25" i="57"/>
  <c r="AE34" i="57"/>
  <c r="AG32" i="57"/>
  <c r="AA45" i="57"/>
  <c r="AH45" i="57" s="1"/>
  <c r="AH36" i="57"/>
  <c r="AG71" i="57"/>
  <c r="AM71" i="57"/>
  <c r="V79" i="57"/>
  <c r="AA59" i="57"/>
  <c r="AH59" i="57" s="1"/>
  <c r="Z34" i="57"/>
  <c r="AM92" i="57"/>
  <c r="AG92" i="57"/>
  <c r="AM28" i="57"/>
  <c r="AG50" i="57"/>
  <c r="AM52" i="57"/>
  <c r="AG52" i="57"/>
  <c r="AM56" i="57"/>
  <c r="AF79" i="57"/>
  <c r="AB58" i="57"/>
  <c r="AI58" i="57" s="1"/>
  <c r="AD79" i="57"/>
  <c r="AD95" i="57" s="1"/>
  <c r="AA91" i="57"/>
  <c r="AH91" i="57" s="1"/>
  <c r="AG82" i="57"/>
  <c r="F104" i="57"/>
  <c r="S102" i="57"/>
  <c r="AC75" i="57"/>
  <c r="AJ75" i="57" s="1"/>
  <c r="AC53" i="57"/>
  <c r="AJ53" i="57" s="1"/>
  <c r="AC37" i="57"/>
  <c r="AJ37" i="57" s="1"/>
  <c r="AC30" i="57"/>
  <c r="AJ30" i="57" s="1"/>
  <c r="AC94" i="57"/>
  <c r="AJ94" i="57" s="1"/>
  <c r="AC62" i="57"/>
  <c r="AJ62" i="57" s="1"/>
  <c r="AC91" i="57"/>
  <c r="AJ91" i="57" s="1"/>
  <c r="AC76" i="57"/>
  <c r="AJ76" i="57" s="1"/>
  <c r="AC63" i="57"/>
  <c r="AJ63" i="57" s="1"/>
  <c r="AC90" i="57"/>
  <c r="AJ90" i="57" s="1"/>
  <c r="AC33" i="57"/>
  <c r="AC70" i="57"/>
  <c r="AJ70" i="57" s="1"/>
  <c r="AC67" i="57"/>
  <c r="AJ67" i="57" s="1"/>
  <c r="AC61" i="57"/>
  <c r="AJ61" i="57" s="1"/>
  <c r="AC64" i="57"/>
  <c r="AC57" i="57"/>
  <c r="AJ57" i="57" s="1"/>
  <c r="AC88" i="57"/>
  <c r="AC84" i="57"/>
  <c r="AC42" i="57"/>
  <c r="AC36" i="57"/>
  <c r="AC27" i="57"/>
  <c r="AJ27" i="57" s="1"/>
  <c r="AC39" i="57"/>
  <c r="AJ39" i="57" s="1"/>
  <c r="AC81" i="57"/>
  <c r="AJ81" i="57" s="1"/>
  <c r="AC93" i="57"/>
  <c r="AJ93" i="57" s="1"/>
  <c r="AC77" i="57"/>
  <c r="AJ77" i="57" s="1"/>
  <c r="AC74" i="57"/>
  <c r="AJ74" i="57" s="1"/>
  <c r="AC58" i="57"/>
  <c r="AM31" i="57"/>
  <c r="AG31" i="57"/>
  <c r="V98" i="57"/>
  <c r="Z45" i="57"/>
  <c r="AG94" i="57"/>
  <c r="AB90" i="57"/>
  <c r="AI90" i="57" s="1"/>
  <c r="AB66" i="57"/>
  <c r="AI66" i="57" s="1"/>
  <c r="AB75" i="57"/>
  <c r="AI75" i="57" s="1"/>
  <c r="AB53" i="57"/>
  <c r="AI53" i="57" s="1"/>
  <c r="AB37" i="57"/>
  <c r="AI37" i="57" s="1"/>
  <c r="AB67" i="57"/>
  <c r="AI67" i="57" s="1"/>
  <c r="AB50" i="57"/>
  <c r="AI50" i="57" s="1"/>
  <c r="AB27" i="57"/>
  <c r="AI27" i="57" s="1"/>
  <c r="AB91" i="57"/>
  <c r="AI91" i="57" s="1"/>
  <c r="AB76" i="57"/>
  <c r="AI76" i="57" s="1"/>
  <c r="AB73" i="57"/>
  <c r="AI73" i="57" s="1"/>
  <c r="AB51" i="57"/>
  <c r="AI51" i="57" s="1"/>
  <c r="AB64" i="57"/>
  <c r="AI64" i="57" s="1"/>
  <c r="AB57" i="57"/>
  <c r="AI57" i="57" s="1"/>
  <c r="AB88" i="57"/>
  <c r="AI88" i="57" s="1"/>
  <c r="AB84" i="57"/>
  <c r="AI84" i="57" s="1"/>
  <c r="AB42" i="57"/>
  <c r="AI42" i="57" s="1"/>
  <c r="AB33" i="57"/>
  <c r="AI33" i="57" s="1"/>
  <c r="AB70" i="57"/>
  <c r="AI70" i="57" s="1"/>
  <c r="AB36" i="57"/>
  <c r="AB30" i="57"/>
  <c r="AI30" i="57" s="1"/>
  <c r="AB81" i="57"/>
  <c r="AI81" i="57" s="1"/>
  <c r="AB49" i="57"/>
  <c r="AI49" i="57" s="1"/>
  <c r="AB93" i="57"/>
  <c r="AI93" i="57" s="1"/>
  <c r="AB77" i="57"/>
  <c r="AI77" i="57" s="1"/>
  <c r="AB74" i="57"/>
  <c r="AI74" i="57" s="1"/>
  <c r="K6" i="57"/>
  <c r="L3" i="57"/>
  <c r="AC69" i="57"/>
  <c r="AJ69" i="57" s="1"/>
  <c r="AF45" i="57"/>
  <c r="AM45" i="57" s="1"/>
  <c r="AM37" i="57"/>
  <c r="AB43" i="57"/>
  <c r="AI43" i="57" s="1"/>
  <c r="AE79" i="57"/>
  <c r="V34" i="57"/>
  <c r="AB71" i="57"/>
  <c r="AI71" i="57" s="1"/>
  <c r="AB25" i="57"/>
  <c r="AB29" i="57"/>
  <c r="AI29" i="57" s="1"/>
  <c r="AA47" i="57"/>
  <c r="AM25" i="57"/>
  <c r="AG25" i="57"/>
  <c r="AG29" i="57"/>
  <c r="AL47" i="57"/>
  <c r="AE54" i="57"/>
  <c r="AL54" i="57" s="1"/>
  <c r="AM51" i="57"/>
  <c r="R102" i="57"/>
  <c r="AB26" i="57"/>
  <c r="AI26" i="57" s="1"/>
  <c r="AG40" i="57"/>
  <c r="AG86" i="57"/>
  <c r="AC26" i="57"/>
  <c r="AJ26" i="57" s="1"/>
  <c r="AB61" i="57"/>
  <c r="AI61" i="57" s="1"/>
  <c r="AB97" i="57"/>
  <c r="T102" i="57"/>
  <c r="AB63" i="57"/>
  <c r="AI63" i="57" s="1"/>
  <c r="AC97" i="57"/>
  <c r="AG97" i="57" s="1"/>
  <c r="AG44" i="57"/>
  <c r="AB65" i="57"/>
  <c r="AI65" i="57" s="1"/>
  <c r="AB72" i="57"/>
  <c r="AI72" i="57" s="1"/>
  <c r="AB48" i="57"/>
  <c r="AI48" i="57" s="1"/>
  <c r="AC65" i="57"/>
  <c r="AJ65" i="57" s="1"/>
  <c r="AC72" i="57"/>
  <c r="AJ72" i="57" s="1"/>
  <c r="Y102" i="57"/>
  <c r="AE98" i="57"/>
  <c r="AL98" i="57" s="1"/>
  <c r="AL97" i="57"/>
  <c r="H13" i="57"/>
  <c r="H14" i="57"/>
  <c r="H12" i="57"/>
  <c r="AB28" i="57"/>
  <c r="AI28" i="57" s="1"/>
  <c r="AB41" i="57"/>
  <c r="AI41" i="57" s="1"/>
  <c r="AC48" i="57"/>
  <c r="AJ48" i="57" s="1"/>
  <c r="AB52" i="57"/>
  <c r="AI52" i="57" s="1"/>
  <c r="AB56" i="57"/>
  <c r="AF98" i="57"/>
  <c r="AM97" i="57"/>
  <c r="X102" i="57"/>
  <c r="AC28" i="57"/>
  <c r="AJ28" i="57" s="1"/>
  <c r="AF34" i="57"/>
  <c r="AB39" i="57"/>
  <c r="AI39" i="57" s="1"/>
  <c r="AC41" i="57"/>
  <c r="AC50" i="57"/>
  <c r="AJ50" i="57" s="1"/>
  <c r="AC52" i="57"/>
  <c r="AJ52" i="57" s="1"/>
  <c r="AC56" i="57"/>
  <c r="AB69" i="57"/>
  <c r="AI69" i="57" s="1"/>
  <c r="AB83" i="57"/>
  <c r="AI83" i="57" s="1"/>
  <c r="AB32" i="57"/>
  <c r="AI32" i="57" s="1"/>
  <c r="AE45" i="57"/>
  <c r="AL45" i="57" s="1"/>
  <c r="AL37" i="57"/>
  <c r="AC83" i="57"/>
  <c r="AC32" i="57"/>
  <c r="AJ32" i="57" s="1"/>
  <c r="AF54" i="57"/>
  <c r="AM54" i="57" s="1"/>
  <c r="AG74" i="57"/>
  <c r="AB85" i="57"/>
  <c r="AI85" i="57" s="1"/>
  <c r="AC60" i="57"/>
  <c r="AJ60" i="57" s="1"/>
  <c r="AC43" i="57"/>
  <c r="AJ43" i="57" s="1"/>
  <c r="AG69" i="57"/>
  <c r="AM76" i="57"/>
  <c r="AA87" i="57"/>
  <c r="AH87" i="57" s="1"/>
  <c r="AA100" i="57"/>
  <c r="AC66" i="57"/>
  <c r="AJ66" i="57" s="1"/>
  <c r="AB100" i="57"/>
  <c r="AA25" i="57"/>
  <c r="AM48" i="57"/>
  <c r="AB89" i="57"/>
  <c r="AI89" i="57" s="1"/>
  <c r="AC100" i="57"/>
  <c r="AC71" i="57"/>
  <c r="AJ71" i="57" s="1"/>
  <c r="AB80" i="57"/>
  <c r="AF87" i="57"/>
  <c r="AM87" i="57" s="1"/>
  <c r="AC89" i="57"/>
  <c r="AJ89" i="57" s="1"/>
  <c r="U102" i="57"/>
  <c r="AC25" i="57"/>
  <c r="AC29" i="57"/>
  <c r="AJ29" i="57" s="1"/>
  <c r="AB38" i="57"/>
  <c r="AI38" i="57" s="1"/>
  <c r="AB62" i="57"/>
  <c r="AI62" i="57" s="1"/>
  <c r="AC73" i="57"/>
  <c r="AJ73" i="57" s="1"/>
  <c r="AC80" i="57"/>
  <c r="AG80" i="57" s="1"/>
  <c r="AB94" i="57"/>
  <c r="AI94" i="57" s="1"/>
  <c r="AC38" i="57"/>
  <c r="AJ38" i="57" s="1"/>
  <c r="AB47" i="57"/>
  <c r="AC51" i="57"/>
  <c r="AJ51" i="57" s="1"/>
  <c r="AD87" i="57"/>
  <c r="W102" i="57"/>
  <c r="AG68" i="57"/>
  <c r="AA67" i="57"/>
  <c r="AH67" i="57" s="1"/>
  <c r="F102" i="57"/>
  <c r="F107" i="57" s="1"/>
  <c r="Z87" i="57"/>
  <c r="Z95" i="57" s="1"/>
  <c r="Z102" i="57" s="1"/>
  <c r="AM77" i="57"/>
  <c r="AG77" i="57"/>
  <c r="AD45" i="57"/>
  <c r="AD102" i="57" s="1"/>
  <c r="AG93" i="57"/>
  <c r="AG67" i="57"/>
  <c r="AG27" i="57"/>
  <c r="V87" i="57"/>
  <c r="AA26" i="57"/>
  <c r="AH26" i="57" s="1"/>
  <c r="AA66" i="57"/>
  <c r="AH66" i="57" s="1"/>
  <c r="K102" i="57"/>
  <c r="K102" i="29" s="1"/>
  <c r="AN97" i="57" l="1"/>
  <c r="AK97" i="57"/>
  <c r="AK80" i="57"/>
  <c r="AN80" i="57"/>
  <c r="AN29" i="57"/>
  <c r="AK29" i="57"/>
  <c r="AN32" i="57"/>
  <c r="AK32" i="57"/>
  <c r="AK59" i="57"/>
  <c r="AN59" i="57"/>
  <c r="AG60" i="57"/>
  <c r="AG65" i="57"/>
  <c r="AJ42" i="57"/>
  <c r="AG42" i="57"/>
  <c r="AG57" i="57"/>
  <c r="AG48" i="57"/>
  <c r="AM79" i="57"/>
  <c r="AF95" i="57"/>
  <c r="AN25" i="57"/>
  <c r="AK25" i="57"/>
  <c r="AN94" i="57"/>
  <c r="AK94" i="57"/>
  <c r="AK71" i="57"/>
  <c r="AN71" i="57"/>
  <c r="AH47" i="57"/>
  <c r="AA54" i="57"/>
  <c r="AH54" i="57" s="1"/>
  <c r="AN67" i="57"/>
  <c r="AK67" i="57"/>
  <c r="AN31" i="57"/>
  <c r="AK31" i="57"/>
  <c r="AN50" i="57"/>
  <c r="AK50" i="57"/>
  <c r="AM98" i="57"/>
  <c r="AI25" i="57"/>
  <c r="AB34" i="57"/>
  <c r="AL34" i="57"/>
  <c r="AE102" i="57"/>
  <c r="AI56" i="57"/>
  <c r="AB79" i="57"/>
  <c r="AN77" i="57"/>
  <c r="AK77" i="57"/>
  <c r="AG90" i="57"/>
  <c r="AG28" i="57"/>
  <c r="AG70" i="57"/>
  <c r="AJ25" i="57"/>
  <c r="AC34" i="57"/>
  <c r="AG91" i="57"/>
  <c r="AN86" i="57"/>
  <c r="AK86" i="57"/>
  <c r="AG43" i="57"/>
  <c r="AG85" i="57"/>
  <c r="AG81" i="57"/>
  <c r="AB87" i="57"/>
  <c r="AI87" i="57" s="1"/>
  <c r="AI80" i="57"/>
  <c r="AG72" i="57"/>
  <c r="AC45" i="57"/>
  <c r="AJ45" i="57" s="1"/>
  <c r="AJ36" i="57"/>
  <c r="AG56" i="57"/>
  <c r="AG62" i="57"/>
  <c r="AC101" i="57"/>
  <c r="AJ100" i="57"/>
  <c r="AG76" i="57"/>
  <c r="AJ84" i="57"/>
  <c r="AG84" i="57"/>
  <c r="AG49" i="57"/>
  <c r="AA79" i="57"/>
  <c r="AK68" i="57"/>
  <c r="AN68" i="57"/>
  <c r="AG75" i="57"/>
  <c r="AJ88" i="57"/>
  <c r="AG88" i="57"/>
  <c r="AK88" i="57" s="1"/>
  <c r="AG38" i="57"/>
  <c r="AG66" i="57"/>
  <c r="AJ33" i="57"/>
  <c r="AG33" i="57"/>
  <c r="AB54" i="57"/>
  <c r="AI54" i="57" s="1"/>
  <c r="AI47" i="57"/>
  <c r="AM34" i="57"/>
  <c r="AK69" i="57"/>
  <c r="AN69" i="57"/>
  <c r="AN44" i="57"/>
  <c r="AK44" i="57"/>
  <c r="AN52" i="57"/>
  <c r="AK52" i="57"/>
  <c r="AK27" i="57"/>
  <c r="AN27" i="57"/>
  <c r="AC98" i="57"/>
  <c r="AJ98" i="57" s="1"/>
  <c r="AJ97" i="57"/>
  <c r="AB45" i="57"/>
  <c r="AI45" i="57" s="1"/>
  <c r="AI46" i="57" s="1"/>
  <c r="AI36" i="57"/>
  <c r="AC87" i="57"/>
  <c r="AJ87" i="57" s="1"/>
  <c r="AJ80" i="57"/>
  <c r="AN93" i="57"/>
  <c r="AK93" i="57"/>
  <c r="AG39" i="57"/>
  <c r="AN74" i="57"/>
  <c r="AK74" i="57"/>
  <c r="AB98" i="57"/>
  <c r="AI98" i="57" s="1"/>
  <c r="AI97" i="57"/>
  <c r="AJ58" i="57"/>
  <c r="AG58" i="57"/>
  <c r="AG30" i="57"/>
  <c r="AJ83" i="57"/>
  <c r="AG83" i="57"/>
  <c r="AN92" i="57"/>
  <c r="AK92" i="57"/>
  <c r="AL79" i="57"/>
  <c r="AE95" i="57"/>
  <c r="AL95" i="57" s="1"/>
  <c r="AG26" i="57"/>
  <c r="AG89" i="57"/>
  <c r="AN40" i="57"/>
  <c r="AK40" i="57"/>
  <c r="AG47" i="57"/>
  <c r="AG63" i="57"/>
  <c r="AG73" i="57"/>
  <c r="AK82" i="57"/>
  <c r="AN82" i="57"/>
  <c r="AG37" i="57"/>
  <c r="AA34" i="57"/>
  <c r="AH34" i="57" s="1"/>
  <c r="AH25" i="57"/>
  <c r="AC79" i="57"/>
  <c r="AJ56" i="57"/>
  <c r="AG51" i="57"/>
  <c r="AJ64" i="57"/>
  <c r="AG64" i="57"/>
  <c r="AG36" i="57"/>
  <c r="AB101" i="57"/>
  <c r="AI101" i="57" s="1"/>
  <c r="AI100" i="57"/>
  <c r="AG100" i="57"/>
  <c r="AG61" i="57"/>
  <c r="V95" i="57"/>
  <c r="V102" i="57" s="1"/>
  <c r="AC54" i="57"/>
  <c r="AJ54" i="57" s="1"/>
  <c r="AA101" i="57"/>
  <c r="AH100" i="57"/>
  <c r="AG41" i="57"/>
  <c r="AJ41" i="57"/>
  <c r="AG53" i="57"/>
  <c r="AN64" i="57" l="1"/>
  <c r="AK64" i="57"/>
  <c r="AB95" i="57"/>
  <c r="AI95" i="57" s="1"/>
  <c r="AI79" i="57"/>
  <c r="AJ101" i="57"/>
  <c r="AG101" i="57"/>
  <c r="AK51" i="57"/>
  <c r="AN51" i="57"/>
  <c r="AL102" i="57"/>
  <c r="AN56" i="57"/>
  <c r="AK56" i="57"/>
  <c r="AC95" i="57"/>
  <c r="AJ95" i="57" s="1"/>
  <c r="AJ79" i="57"/>
  <c r="AK48" i="57"/>
  <c r="AN48" i="57"/>
  <c r="AN37" i="57"/>
  <c r="AK37" i="57"/>
  <c r="AG98" i="57"/>
  <c r="AK33" i="57"/>
  <c r="AN33" i="57"/>
  <c r="AN53" i="57"/>
  <c r="AK53" i="57"/>
  <c r="AN39" i="57"/>
  <c r="AK39" i="57"/>
  <c r="AN73" i="57"/>
  <c r="AK73" i="57"/>
  <c r="AN66" i="57"/>
  <c r="AK66" i="57"/>
  <c r="AP43" i="57"/>
  <c r="AN41" i="57"/>
  <c r="AK41" i="57"/>
  <c r="AN38" i="57"/>
  <c r="AK38" i="57"/>
  <c r="AK47" i="57"/>
  <c r="AG54" i="57"/>
  <c r="AN47" i="57"/>
  <c r="AH101" i="57"/>
  <c r="AN75" i="57"/>
  <c r="AK75" i="57"/>
  <c r="AK91" i="57"/>
  <c r="AN91" i="57"/>
  <c r="AK89" i="57"/>
  <c r="AN89" i="57"/>
  <c r="AN26" i="57"/>
  <c r="AK26" i="57"/>
  <c r="AK100" i="57"/>
  <c r="AN100" i="57"/>
  <c r="AG34" i="57"/>
  <c r="AM95" i="57"/>
  <c r="AN30" i="57"/>
  <c r="AK30" i="57"/>
  <c r="AN62" i="57"/>
  <c r="AK62" i="57"/>
  <c r="AG79" i="57"/>
  <c r="AK58" i="57"/>
  <c r="AN58" i="57"/>
  <c r="AF102" i="57"/>
  <c r="AM102" i="57" s="1"/>
  <c r="AB102" i="57"/>
  <c r="AI102" i="57" s="1"/>
  <c r="AI104" i="57" s="1"/>
  <c r="AI34" i="57"/>
  <c r="AN57" i="57"/>
  <c r="AK57" i="57"/>
  <c r="AN72" i="57"/>
  <c r="AK72" i="57"/>
  <c r="AK42" i="57"/>
  <c r="AN42" i="57"/>
  <c r="AP42" i="57" s="1"/>
  <c r="AN65" i="57"/>
  <c r="AK65" i="57"/>
  <c r="AN81" i="57"/>
  <c r="AK81" i="57"/>
  <c r="AK60" i="57"/>
  <c r="AN60" i="57"/>
  <c r="AN85" i="57"/>
  <c r="AK85" i="57"/>
  <c r="AN63" i="57"/>
  <c r="AK63" i="57"/>
  <c r="AK43" i="57"/>
  <c r="AN43" i="57"/>
  <c r="AC102" i="57"/>
  <c r="AJ102" i="57" s="1"/>
  <c r="AJ34" i="57"/>
  <c r="AK61" i="57"/>
  <c r="AN61" i="57"/>
  <c r="AH79" i="57"/>
  <c r="AA95" i="57"/>
  <c r="AH95" i="57" s="1"/>
  <c r="AN70" i="57"/>
  <c r="AK70" i="57"/>
  <c r="AN49" i="57"/>
  <c r="AK49" i="57"/>
  <c r="AN28" i="57"/>
  <c r="AK28" i="57"/>
  <c r="AG87" i="57"/>
  <c r="AK84" i="57"/>
  <c r="AN84" i="57"/>
  <c r="AN90" i="57"/>
  <c r="AK90" i="57"/>
  <c r="AN36" i="57"/>
  <c r="AG45" i="57"/>
  <c r="AK36" i="57"/>
  <c r="AK83" i="57"/>
  <c r="AN83" i="57"/>
  <c r="AN76" i="57"/>
  <c r="AK76" i="57"/>
  <c r="AN79" i="57" l="1"/>
  <c r="AK79" i="57"/>
  <c r="AK98" i="57"/>
  <c r="AN98" i="57"/>
  <c r="AK45" i="57"/>
  <c r="AN45" i="57"/>
  <c r="AP45" i="57" s="1"/>
  <c r="AN87" i="57"/>
  <c r="AK87" i="57"/>
  <c r="AA102" i="57"/>
  <c r="AN54" i="57"/>
  <c r="AK54" i="57"/>
  <c r="AG95" i="57"/>
  <c r="AE104" i="57"/>
  <c r="AG102" i="57"/>
  <c r="AN34" i="57"/>
  <c r="AK34" i="57"/>
  <c r="AN101" i="57"/>
  <c r="AP46" i="57" s="1"/>
  <c r="AK101" i="57"/>
  <c r="AK102" i="57" l="1"/>
  <c r="AN102" i="57"/>
  <c r="AN95" i="57"/>
  <c r="AP47" i="57" s="1"/>
  <c r="AK95" i="57"/>
  <c r="E140" i="55" l="1"/>
  <c r="E132" i="55"/>
  <c r="E117" i="55"/>
  <c r="F106" i="55"/>
  <c r="S102" i="55"/>
  <c r="AF101" i="55"/>
  <c r="AD101" i="55"/>
  <c r="AA101" i="55"/>
  <c r="AH101" i="55" s="1"/>
  <c r="Z101" i="55"/>
  <c r="Y101" i="55"/>
  <c r="X101" i="55"/>
  <c r="X102" i="55" s="1"/>
  <c r="W101" i="55"/>
  <c r="V101" i="55"/>
  <c r="U101" i="55"/>
  <c r="T101" i="55"/>
  <c r="S101" i="55"/>
  <c r="R101" i="55"/>
  <c r="Q101" i="55"/>
  <c r="P101" i="55"/>
  <c r="O101" i="55"/>
  <c r="N101" i="55"/>
  <c r="M101" i="55"/>
  <c r="K101" i="55"/>
  <c r="J101" i="55"/>
  <c r="I101" i="55"/>
  <c r="H101" i="55"/>
  <c r="G101" i="55"/>
  <c r="F101" i="55"/>
  <c r="E101" i="55"/>
  <c r="AM100" i="55"/>
  <c r="AH100" i="55"/>
  <c r="AF100" i="55"/>
  <c r="AE100" i="55"/>
  <c r="AD100" i="55"/>
  <c r="AA100" i="55"/>
  <c r="Z100" i="55"/>
  <c r="V100" i="55"/>
  <c r="AF98" i="55"/>
  <c r="AM98" i="55" s="1"/>
  <c r="AE98" i="55"/>
  <c r="AL98" i="55" s="1"/>
  <c r="AD98" i="55"/>
  <c r="Y98" i="55"/>
  <c r="X98" i="55"/>
  <c r="W98" i="55"/>
  <c r="U98" i="55"/>
  <c r="T98" i="55"/>
  <c r="S98" i="55"/>
  <c r="R98" i="55"/>
  <c r="Q98" i="55"/>
  <c r="Q102" i="55" s="1"/>
  <c r="P98" i="55"/>
  <c r="O98" i="55"/>
  <c r="N98" i="55"/>
  <c r="M98" i="55"/>
  <c r="K98" i="55"/>
  <c r="J98" i="55"/>
  <c r="I98" i="55"/>
  <c r="H98" i="55"/>
  <c r="G98" i="55"/>
  <c r="F98" i="55"/>
  <c r="E98" i="55"/>
  <c r="AM97" i="55"/>
  <c r="AL97" i="55"/>
  <c r="AF97" i="55"/>
  <c r="AE97" i="55"/>
  <c r="AD97" i="55"/>
  <c r="AC97" i="55"/>
  <c r="AB97" i="55"/>
  <c r="AA97" i="55"/>
  <c r="Z97" i="55"/>
  <c r="Z98" i="55" s="1"/>
  <c r="V97" i="55"/>
  <c r="V98" i="55" s="1"/>
  <c r="X95" i="55"/>
  <c r="T95" i="55"/>
  <c r="S95" i="55"/>
  <c r="R95" i="55"/>
  <c r="R102" i="55" s="1"/>
  <c r="Q95" i="55"/>
  <c r="P95" i="55"/>
  <c r="P102" i="55" s="1"/>
  <c r="O95" i="55"/>
  <c r="O102" i="55" s="1"/>
  <c r="N95" i="55"/>
  <c r="N102" i="55" s="1"/>
  <c r="M95" i="55"/>
  <c r="M102" i="55" s="1"/>
  <c r="J95" i="55"/>
  <c r="J102" i="55" s="1"/>
  <c r="I95" i="55"/>
  <c r="H95" i="55"/>
  <c r="G95" i="55"/>
  <c r="E95" i="55"/>
  <c r="AF94" i="55"/>
  <c r="AM94" i="55" s="1"/>
  <c r="AE94" i="55"/>
  <c r="AL94" i="55" s="1"/>
  <c r="AD94" i="55"/>
  <c r="Z94" i="55"/>
  <c r="V94" i="55"/>
  <c r="AA94" i="55" s="1"/>
  <c r="AH94" i="55" s="1"/>
  <c r="AM93" i="55"/>
  <c r="AL93" i="55"/>
  <c r="AF93" i="55"/>
  <c r="AE93" i="55"/>
  <c r="AD93" i="55"/>
  <c r="Z93" i="55"/>
  <c r="V93" i="55"/>
  <c r="AA93" i="55" s="1"/>
  <c r="AH93" i="55" s="1"/>
  <c r="AF92" i="55"/>
  <c r="AM92" i="55" s="1"/>
  <c r="AE92" i="55"/>
  <c r="AL92" i="55" s="1"/>
  <c r="AD92" i="55"/>
  <c r="AC92" i="55"/>
  <c r="AJ92" i="55" s="1"/>
  <c r="Z92" i="55"/>
  <c r="V92" i="55"/>
  <c r="AA92" i="55" s="1"/>
  <c r="AH92" i="55" s="1"/>
  <c r="AF91" i="55"/>
  <c r="AM91" i="55" s="1"/>
  <c r="AE91" i="55"/>
  <c r="AL91" i="55" s="1"/>
  <c r="AD91" i="55"/>
  <c r="Z91" i="55"/>
  <c r="V91" i="55"/>
  <c r="AA91" i="55" s="1"/>
  <c r="AH91" i="55" s="1"/>
  <c r="AF90" i="55"/>
  <c r="AM90" i="55" s="1"/>
  <c r="AE90" i="55"/>
  <c r="AL90" i="55" s="1"/>
  <c r="AD90" i="55"/>
  <c r="AB90" i="55"/>
  <c r="AI90" i="55" s="1"/>
  <c r="Z90" i="55"/>
  <c r="V90" i="55"/>
  <c r="AA90" i="55" s="1"/>
  <c r="AH90" i="55" s="1"/>
  <c r="AM89" i="55"/>
  <c r="AL89" i="55"/>
  <c r="AF89" i="55"/>
  <c r="AE89" i="55"/>
  <c r="AD89" i="55"/>
  <c r="Z89" i="55"/>
  <c r="V89" i="55"/>
  <c r="AA89" i="55" s="1"/>
  <c r="AH89" i="55" s="1"/>
  <c r="AF88" i="55"/>
  <c r="AM88" i="55" s="1"/>
  <c r="AE88" i="55"/>
  <c r="AL88" i="55" s="1"/>
  <c r="AD88" i="55"/>
  <c r="AC88" i="55"/>
  <c r="AJ88" i="55" s="1"/>
  <c r="AB88" i="55"/>
  <c r="AI88" i="55" s="1"/>
  <c r="Z88" i="55"/>
  <c r="AA88" i="55" s="1"/>
  <c r="AH88" i="55" s="1"/>
  <c r="V88" i="55"/>
  <c r="Y87" i="55"/>
  <c r="X87" i="55"/>
  <c r="W87" i="55"/>
  <c r="U87" i="55"/>
  <c r="K87" i="55"/>
  <c r="F87" i="55"/>
  <c r="AF86" i="55"/>
  <c r="AM86" i="55" s="1"/>
  <c r="AE86" i="55"/>
  <c r="AL86" i="55" s="1"/>
  <c r="AD86" i="55"/>
  <c r="AA86" i="55"/>
  <c r="AH86" i="55" s="1"/>
  <c r="Z86" i="55"/>
  <c r="V86" i="55"/>
  <c r="B86" i="55"/>
  <c r="AF85" i="55"/>
  <c r="AM85" i="55" s="1"/>
  <c r="AE85" i="55"/>
  <c r="AL85" i="55" s="1"/>
  <c r="AD85" i="55"/>
  <c r="Z85" i="55"/>
  <c r="V85" i="55"/>
  <c r="AA85" i="55" s="1"/>
  <c r="AH85" i="55" s="1"/>
  <c r="B85" i="55"/>
  <c r="AM84" i="55"/>
  <c r="AL84" i="55"/>
  <c r="AF84" i="55"/>
  <c r="AE84" i="55"/>
  <c r="AD84" i="55"/>
  <c r="Z84" i="55"/>
  <c r="V84" i="55"/>
  <c r="AA84" i="55" s="1"/>
  <c r="AH84" i="55" s="1"/>
  <c r="AL83" i="55"/>
  <c r="AF83" i="55"/>
  <c r="AE83" i="55"/>
  <c r="AD83" i="55"/>
  <c r="AC83" i="55"/>
  <c r="AJ83" i="55" s="1"/>
  <c r="AB83" i="55"/>
  <c r="AI83" i="55" s="1"/>
  <c r="Z83" i="55"/>
  <c r="AA83" i="55" s="1"/>
  <c r="AH83" i="55" s="1"/>
  <c r="V83" i="55"/>
  <c r="B83" i="55"/>
  <c r="AM82" i="55"/>
  <c r="AF82" i="55"/>
  <c r="AE82" i="55"/>
  <c r="AL82" i="55" s="1"/>
  <c r="AD82" i="55"/>
  <c r="Z82" i="55"/>
  <c r="AA82" i="55" s="1"/>
  <c r="AH82" i="55" s="1"/>
  <c r="V82" i="55"/>
  <c r="B82" i="55"/>
  <c r="AF81" i="55"/>
  <c r="AE81" i="55"/>
  <c r="AD81" i="55"/>
  <c r="AC81" i="55"/>
  <c r="AJ81" i="55" s="1"/>
  <c r="AB81" i="55"/>
  <c r="AI81" i="55" s="1"/>
  <c r="Z81" i="55"/>
  <c r="V81" i="55"/>
  <c r="AA81" i="55" s="1"/>
  <c r="AH81" i="55" s="1"/>
  <c r="B81" i="55"/>
  <c r="AM80" i="55"/>
  <c r="AL80" i="55"/>
  <c r="AF80" i="55"/>
  <c r="AE80" i="55"/>
  <c r="AD80" i="55"/>
  <c r="Z80" i="55"/>
  <c r="V80" i="55"/>
  <c r="V87" i="55" s="1"/>
  <c r="B80" i="55"/>
  <c r="Y79" i="55"/>
  <c r="X79" i="55"/>
  <c r="W79" i="55"/>
  <c r="U79" i="55"/>
  <c r="K79" i="55"/>
  <c r="K95" i="55" s="1"/>
  <c r="K102" i="55" s="1"/>
  <c r="F79" i="55"/>
  <c r="F95" i="55" s="1"/>
  <c r="F105" i="55" s="1"/>
  <c r="AH77" i="55"/>
  <c r="AF77" i="55"/>
  <c r="AM77" i="55" s="1"/>
  <c r="AE77" i="55"/>
  <c r="AL77" i="55" s="1"/>
  <c r="AD77" i="55"/>
  <c r="AC77" i="55"/>
  <c r="AJ77" i="55" s="1"/>
  <c r="Z77" i="55"/>
  <c r="V77" i="55"/>
  <c r="AA77" i="55" s="1"/>
  <c r="B77" i="55"/>
  <c r="AF76" i="55"/>
  <c r="AM76" i="55" s="1"/>
  <c r="AE76" i="55"/>
  <c r="AL76" i="55" s="1"/>
  <c r="AD76" i="55"/>
  <c r="AC76" i="55"/>
  <c r="AJ76" i="55" s="1"/>
  <c r="AB76" i="55"/>
  <c r="AI76" i="55" s="1"/>
  <c r="Z76" i="55"/>
  <c r="V76" i="55"/>
  <c r="AA76" i="55" s="1"/>
  <c r="AH76" i="55" s="1"/>
  <c r="B76" i="55"/>
  <c r="AF75" i="55"/>
  <c r="AM75" i="55" s="1"/>
  <c r="AE75" i="55"/>
  <c r="AL75" i="55" s="1"/>
  <c r="AD75" i="55"/>
  <c r="Z75" i="55"/>
  <c r="V75" i="55"/>
  <c r="AA75" i="55" s="1"/>
  <c r="AH75" i="55" s="1"/>
  <c r="B75" i="55"/>
  <c r="AM74" i="55"/>
  <c r="AF74" i="55"/>
  <c r="AE74" i="55"/>
  <c r="AL74" i="55" s="1"/>
  <c r="AD74" i="55"/>
  <c r="AC74" i="55"/>
  <c r="AJ74" i="55" s="1"/>
  <c r="Z74" i="55"/>
  <c r="V74" i="55"/>
  <c r="B74" i="55"/>
  <c r="AL73" i="55"/>
  <c r="AF73" i="55"/>
  <c r="AM73" i="55" s="1"/>
  <c r="AE73" i="55"/>
  <c r="AD73" i="55"/>
  <c r="Z73" i="55"/>
  <c r="V73" i="55"/>
  <c r="AA73" i="55" s="1"/>
  <c r="AH73" i="55" s="1"/>
  <c r="B73" i="55"/>
  <c r="AM72" i="55"/>
  <c r="AL72" i="55"/>
  <c r="AF72" i="55"/>
  <c r="AE72" i="55"/>
  <c r="AD72" i="55"/>
  <c r="AB72" i="55"/>
  <c r="AI72" i="55" s="1"/>
  <c r="AA72" i="55"/>
  <c r="AH72" i="55" s="1"/>
  <c r="Z72" i="55"/>
  <c r="V72" i="55"/>
  <c r="B72" i="55"/>
  <c r="AF71" i="55"/>
  <c r="AM71" i="55" s="1"/>
  <c r="AE71" i="55"/>
  <c r="AL71" i="55" s="1"/>
  <c r="AD71" i="55"/>
  <c r="Z71" i="55"/>
  <c r="V71" i="55"/>
  <c r="AA71" i="55" s="1"/>
  <c r="AH71" i="55" s="1"/>
  <c r="B71" i="55"/>
  <c r="AF70" i="55"/>
  <c r="AM70" i="55" s="1"/>
  <c r="AE70" i="55"/>
  <c r="AL70" i="55" s="1"/>
  <c r="AD70" i="55"/>
  <c r="Z70" i="55"/>
  <c r="V70" i="55"/>
  <c r="AA70" i="55" s="1"/>
  <c r="AH70" i="55" s="1"/>
  <c r="B70" i="55"/>
  <c r="AL69" i="55"/>
  <c r="AF69" i="55"/>
  <c r="AM69" i="55" s="1"/>
  <c r="AE69" i="55"/>
  <c r="AD69" i="55"/>
  <c r="Z69" i="55"/>
  <c r="V69" i="55"/>
  <c r="AA69" i="55" s="1"/>
  <c r="AH69" i="55" s="1"/>
  <c r="B69" i="55"/>
  <c r="AM68" i="55"/>
  <c r="AF68" i="55"/>
  <c r="AE68" i="55"/>
  <c r="AL68" i="55" s="1"/>
  <c r="AD68" i="55"/>
  <c r="AA68" i="55"/>
  <c r="AH68" i="55" s="1"/>
  <c r="Z68" i="55"/>
  <c r="V68" i="55"/>
  <c r="B68" i="55"/>
  <c r="AH67" i="55"/>
  <c r="AF67" i="55"/>
  <c r="AM67" i="55" s="1"/>
  <c r="AE67" i="55"/>
  <c r="AL67" i="55" s="1"/>
  <c r="AD67" i="55"/>
  <c r="Z67" i="55"/>
  <c r="V67" i="55"/>
  <c r="AA67" i="55" s="1"/>
  <c r="B67" i="55"/>
  <c r="AM66" i="55"/>
  <c r="AF66" i="55"/>
  <c r="AE66" i="55"/>
  <c r="AL66" i="55" s="1"/>
  <c r="AD66" i="55"/>
  <c r="Z66" i="55"/>
  <c r="V66" i="55"/>
  <c r="AA66" i="55" s="1"/>
  <c r="AH66" i="55" s="1"/>
  <c r="B66" i="55"/>
  <c r="AM65" i="55"/>
  <c r="AL65" i="55"/>
  <c r="AF65" i="55"/>
  <c r="AE65" i="55"/>
  <c r="AD65" i="55"/>
  <c r="Z65" i="55"/>
  <c r="V65" i="55"/>
  <c r="AA65" i="55" s="1"/>
  <c r="AH65" i="55" s="1"/>
  <c r="B65" i="55"/>
  <c r="AL64" i="55"/>
  <c r="AF64" i="55"/>
  <c r="AE64" i="55"/>
  <c r="AD64" i="55"/>
  <c r="AC64" i="55"/>
  <c r="AJ64" i="55" s="1"/>
  <c r="Z64" i="55"/>
  <c r="V64" i="55"/>
  <c r="AA64" i="55" s="1"/>
  <c r="AH64" i="55" s="1"/>
  <c r="B64" i="55"/>
  <c r="AM63" i="55"/>
  <c r="AL63" i="55"/>
  <c r="AF63" i="55"/>
  <c r="AE63" i="55"/>
  <c r="AD63" i="55"/>
  <c r="Z63" i="55"/>
  <c r="V63" i="55"/>
  <c r="AA63" i="55" s="1"/>
  <c r="AH63" i="55" s="1"/>
  <c r="B63" i="55"/>
  <c r="AF62" i="55"/>
  <c r="AM62" i="55" s="1"/>
  <c r="AE62" i="55"/>
  <c r="AL62" i="55" s="1"/>
  <c r="AD62" i="55"/>
  <c r="Z62" i="55"/>
  <c r="AA62" i="55" s="1"/>
  <c r="AH62" i="55" s="1"/>
  <c r="V62" i="55"/>
  <c r="B62" i="55"/>
  <c r="AF61" i="55"/>
  <c r="AE61" i="55"/>
  <c r="AL61" i="55" s="1"/>
  <c r="AD61" i="55"/>
  <c r="Z61" i="55"/>
  <c r="V61" i="55"/>
  <c r="AA61" i="55" s="1"/>
  <c r="AH61" i="55" s="1"/>
  <c r="B61" i="55"/>
  <c r="AM60" i="55"/>
  <c r="AL60" i="55"/>
  <c r="AF60" i="55"/>
  <c r="AE60" i="55"/>
  <c r="AD60" i="55"/>
  <c r="Z60" i="55"/>
  <c r="V60" i="55"/>
  <c r="AA60" i="55" s="1"/>
  <c r="AH60" i="55" s="1"/>
  <c r="B60" i="55"/>
  <c r="AF59" i="55"/>
  <c r="AE59" i="55"/>
  <c r="AL59" i="55" s="1"/>
  <c r="AD59" i="55"/>
  <c r="AC59" i="55"/>
  <c r="AJ59" i="55" s="1"/>
  <c r="AB59" i="55"/>
  <c r="AI59" i="55" s="1"/>
  <c r="AA59" i="55"/>
  <c r="AH59" i="55" s="1"/>
  <c r="Z59" i="55"/>
  <c r="V59" i="55"/>
  <c r="B59" i="55"/>
  <c r="AF58" i="55"/>
  <c r="AE58" i="55"/>
  <c r="AD58" i="55"/>
  <c r="Z58" i="55"/>
  <c r="V58" i="55"/>
  <c r="AA58" i="55" s="1"/>
  <c r="AH58" i="55" s="1"/>
  <c r="B58" i="55"/>
  <c r="AL57" i="55"/>
  <c r="AH57" i="55"/>
  <c r="AF57" i="55"/>
  <c r="AE57" i="55"/>
  <c r="AD57" i="55"/>
  <c r="Z57" i="55"/>
  <c r="V57" i="55"/>
  <c r="AA57" i="55" s="1"/>
  <c r="B57" i="55"/>
  <c r="AM56" i="55"/>
  <c r="AL56" i="55"/>
  <c r="AF56" i="55"/>
  <c r="AE56" i="55"/>
  <c r="AD56" i="55"/>
  <c r="AC56" i="55"/>
  <c r="AB56" i="55"/>
  <c r="Z56" i="55"/>
  <c r="V56" i="55"/>
  <c r="B56" i="55"/>
  <c r="Y54" i="55"/>
  <c r="X54" i="55"/>
  <c r="W54" i="55"/>
  <c r="U54" i="55"/>
  <c r="T54" i="55"/>
  <c r="S54" i="55"/>
  <c r="R54" i="55"/>
  <c r="Q54" i="55"/>
  <c r="P54" i="55"/>
  <c r="O54" i="55"/>
  <c r="N54" i="55"/>
  <c r="M54" i="55"/>
  <c r="J54" i="55"/>
  <c r="I54" i="55"/>
  <c r="H54" i="55"/>
  <c r="G54" i="55"/>
  <c r="F54" i="55"/>
  <c r="E54" i="55"/>
  <c r="AF53" i="55"/>
  <c r="AM53" i="55" s="1"/>
  <c r="AE53" i="55"/>
  <c r="AL53" i="55" s="1"/>
  <c r="AD53" i="55"/>
  <c r="AC53" i="55"/>
  <c r="AJ53" i="55" s="1"/>
  <c r="AB53" i="55"/>
  <c r="AI53" i="55" s="1"/>
  <c r="AA53" i="55"/>
  <c r="AH53" i="55" s="1"/>
  <c r="Z53" i="55"/>
  <c r="V53" i="55"/>
  <c r="AM52" i="55"/>
  <c r="AF52" i="55"/>
  <c r="AE52" i="55"/>
  <c r="AL52" i="55" s="1"/>
  <c r="AD52" i="55"/>
  <c r="Z52" i="55"/>
  <c r="V52" i="55"/>
  <c r="AA52" i="55" s="1"/>
  <c r="AH52" i="55" s="1"/>
  <c r="AM51" i="55"/>
  <c r="AL51" i="55"/>
  <c r="AF51" i="55"/>
  <c r="AE51" i="55"/>
  <c r="AD51" i="55"/>
  <c r="AB51" i="55"/>
  <c r="AI51" i="55" s="1"/>
  <c r="Z51" i="55"/>
  <c r="V51" i="55"/>
  <c r="AA51" i="55" s="1"/>
  <c r="AH51" i="55" s="1"/>
  <c r="AF50" i="55"/>
  <c r="AM50" i="55" s="1"/>
  <c r="AE50" i="55"/>
  <c r="AL50" i="55" s="1"/>
  <c r="AD50" i="55"/>
  <c r="Z50" i="55"/>
  <c r="V50" i="55"/>
  <c r="AA50" i="55" s="1"/>
  <c r="AH50" i="55" s="1"/>
  <c r="AH49" i="55"/>
  <c r="AF49" i="55"/>
  <c r="AM49" i="55" s="1"/>
  <c r="AE49" i="55"/>
  <c r="AD49" i="55"/>
  <c r="AD54" i="55" s="1"/>
  <c r="AC49" i="55"/>
  <c r="AJ49" i="55" s="1"/>
  <c r="AB49" i="55"/>
  <c r="AI49" i="55" s="1"/>
  <c r="Z49" i="55"/>
  <c r="V49" i="55"/>
  <c r="AA49" i="55" s="1"/>
  <c r="AL48" i="55"/>
  <c r="AF48" i="55"/>
  <c r="AE48" i="55"/>
  <c r="AD48" i="55"/>
  <c r="Z48" i="55"/>
  <c r="V48" i="55"/>
  <c r="AA48" i="55" s="1"/>
  <c r="AH48" i="55" s="1"/>
  <c r="AM47" i="55"/>
  <c r="AL47" i="55"/>
  <c r="AH47" i="55"/>
  <c r="AF47" i="55"/>
  <c r="AE47" i="55"/>
  <c r="AD47" i="55"/>
  <c r="AA47" i="55"/>
  <c r="Z47" i="55"/>
  <c r="V47" i="55"/>
  <c r="AF45" i="55"/>
  <c r="AM45" i="55" s="1"/>
  <c r="AE45" i="55"/>
  <c r="AL45" i="55" s="1"/>
  <c r="Y45" i="55"/>
  <c r="X45" i="55"/>
  <c r="W45" i="55"/>
  <c r="U45" i="55"/>
  <c r="T45" i="55"/>
  <c r="S45" i="55"/>
  <c r="R45" i="55"/>
  <c r="Q45" i="55"/>
  <c r="P45" i="55"/>
  <c r="O45" i="55"/>
  <c r="N45" i="55"/>
  <c r="M45" i="55"/>
  <c r="J45" i="55"/>
  <c r="I45" i="55"/>
  <c r="H45" i="55"/>
  <c r="G45" i="55"/>
  <c r="F45" i="55"/>
  <c r="E45" i="55"/>
  <c r="AF44" i="55"/>
  <c r="AM44" i="55" s="1"/>
  <c r="AE44" i="55"/>
  <c r="AL44" i="55" s="1"/>
  <c r="AD44" i="55"/>
  <c r="AA44" i="55"/>
  <c r="AH44" i="55" s="1"/>
  <c r="Z44" i="55"/>
  <c r="V44" i="55"/>
  <c r="AL43" i="55"/>
  <c r="AF43" i="55"/>
  <c r="AM43" i="55" s="1"/>
  <c r="AE43" i="55"/>
  <c r="AD43" i="55"/>
  <c r="AB43" i="55"/>
  <c r="AI43" i="55" s="1"/>
  <c r="Z43" i="55"/>
  <c r="V43" i="55"/>
  <c r="AA43" i="55" s="1"/>
  <c r="AH43" i="55" s="1"/>
  <c r="AF42" i="55"/>
  <c r="AM42" i="55" s="1"/>
  <c r="AE42" i="55"/>
  <c r="AL42" i="55" s="1"/>
  <c r="AD42" i="55"/>
  <c r="Z42" i="55"/>
  <c r="AA42" i="55" s="1"/>
  <c r="AH42" i="55" s="1"/>
  <c r="V42" i="55"/>
  <c r="AF41" i="55"/>
  <c r="AM41" i="55" s="1"/>
  <c r="AE41" i="55"/>
  <c r="AL41" i="55" s="1"/>
  <c r="AD41" i="55"/>
  <c r="Z41" i="55"/>
  <c r="V41" i="55"/>
  <c r="AA41" i="55" s="1"/>
  <c r="AH41" i="55" s="1"/>
  <c r="AM40" i="55"/>
  <c r="AL40" i="55"/>
  <c r="AF40" i="55"/>
  <c r="AE40" i="55"/>
  <c r="AD40" i="55"/>
  <c r="Z40" i="55"/>
  <c r="V40" i="55"/>
  <c r="AA40" i="55" s="1"/>
  <c r="AH40" i="55" s="1"/>
  <c r="AF39" i="55"/>
  <c r="AM39" i="55" s="1"/>
  <c r="AE39" i="55"/>
  <c r="AL39" i="55" s="1"/>
  <c r="AD39" i="55"/>
  <c r="AD45" i="55" s="1"/>
  <c r="AA39" i="55"/>
  <c r="AH39" i="55" s="1"/>
  <c r="Z39" i="55"/>
  <c r="V39" i="55"/>
  <c r="AF38" i="55"/>
  <c r="AM38" i="55" s="1"/>
  <c r="AE38" i="55"/>
  <c r="AL38" i="55" s="1"/>
  <c r="AD38" i="55"/>
  <c r="Z38" i="55"/>
  <c r="V38" i="55"/>
  <c r="AA38" i="55" s="1"/>
  <c r="AH38" i="55" s="1"/>
  <c r="AF37" i="55"/>
  <c r="AM37" i="55" s="1"/>
  <c r="AE37" i="55"/>
  <c r="AL37" i="55" s="1"/>
  <c r="AD37" i="55"/>
  <c r="Z37" i="55"/>
  <c r="V37" i="55"/>
  <c r="AA37" i="55" s="1"/>
  <c r="AH37" i="55" s="1"/>
  <c r="AM36" i="55"/>
  <c r="AL36" i="55"/>
  <c r="AF36" i="55"/>
  <c r="AE36" i="55"/>
  <c r="AD36" i="55"/>
  <c r="AC36" i="55"/>
  <c r="AJ36" i="55" s="1"/>
  <c r="AB36" i="55"/>
  <c r="AI36" i="55" s="1"/>
  <c r="Z36" i="55"/>
  <c r="V36" i="55"/>
  <c r="Y34" i="55"/>
  <c r="X34" i="55"/>
  <c r="W34" i="55"/>
  <c r="U34" i="55"/>
  <c r="T34" i="55"/>
  <c r="S34" i="55"/>
  <c r="R34" i="55"/>
  <c r="Q34" i="55"/>
  <c r="P34" i="55"/>
  <c r="H34" i="55"/>
  <c r="G34" i="55"/>
  <c r="F34" i="55"/>
  <c r="E34" i="55"/>
  <c r="AF33" i="55"/>
  <c r="AE33" i="55"/>
  <c r="AL33" i="55" s="1"/>
  <c r="AD33" i="55"/>
  <c r="Z33" i="55"/>
  <c r="V33" i="55"/>
  <c r="AA33" i="55" s="1"/>
  <c r="AH33" i="55" s="1"/>
  <c r="AF32" i="55"/>
  <c r="AM32" i="55" s="1"/>
  <c r="AE32" i="55"/>
  <c r="AL32" i="55" s="1"/>
  <c r="AD32" i="55"/>
  <c r="AC32" i="55"/>
  <c r="AJ32" i="55" s="1"/>
  <c r="Z32" i="55"/>
  <c r="V32" i="55"/>
  <c r="I32" i="55"/>
  <c r="AL31" i="55"/>
  <c r="AF31" i="55"/>
  <c r="AE31" i="55"/>
  <c r="AD31" i="55"/>
  <c r="Z31" i="55"/>
  <c r="V31" i="55"/>
  <c r="AA31" i="55" s="1"/>
  <c r="AH31" i="55" s="1"/>
  <c r="AH30" i="55"/>
  <c r="AF30" i="55"/>
  <c r="AM30" i="55" s="1"/>
  <c r="AE30" i="55"/>
  <c r="AL30" i="55" s="1"/>
  <c r="AD30" i="55"/>
  <c r="Z30" i="55"/>
  <c r="V30" i="55"/>
  <c r="AA30" i="55" s="1"/>
  <c r="AM29" i="55"/>
  <c r="AF29" i="55"/>
  <c r="AE29" i="55"/>
  <c r="AL29" i="55" s="1"/>
  <c r="AD29" i="55"/>
  <c r="AB29" i="55"/>
  <c r="AI29" i="55" s="1"/>
  <c r="Z29" i="55"/>
  <c r="V29" i="55"/>
  <c r="AA29" i="55" s="1"/>
  <c r="AH29" i="55" s="1"/>
  <c r="AM28" i="55"/>
  <c r="AL28" i="55"/>
  <c r="AF28" i="55"/>
  <c r="AE28" i="55"/>
  <c r="AD28" i="55"/>
  <c r="Z28" i="55"/>
  <c r="V28" i="55"/>
  <c r="AA28" i="55" s="1"/>
  <c r="AH28" i="55" s="1"/>
  <c r="AF27" i="55"/>
  <c r="AE27" i="55"/>
  <c r="AD27" i="55"/>
  <c r="Z27" i="55"/>
  <c r="AA27" i="55" s="1"/>
  <c r="AH27" i="55" s="1"/>
  <c r="V27" i="55"/>
  <c r="AM26" i="55"/>
  <c r="AL26" i="55"/>
  <c r="AF26" i="55"/>
  <c r="AE26" i="55"/>
  <c r="AD26" i="55"/>
  <c r="Z26" i="55"/>
  <c r="V26" i="55"/>
  <c r="AA26" i="55" s="1"/>
  <c r="AH26" i="55" s="1"/>
  <c r="AM25" i="55"/>
  <c r="AL25" i="55"/>
  <c r="AF25" i="55"/>
  <c r="AE25" i="55"/>
  <c r="AD25" i="55"/>
  <c r="AC25" i="55"/>
  <c r="AB25" i="55"/>
  <c r="Z25" i="55"/>
  <c r="V25" i="55"/>
  <c r="D21" i="55" a="1"/>
  <c r="D21" i="55" s="1"/>
  <c r="E16" i="55"/>
  <c r="F17" i="55" s="1"/>
  <c r="F18" i="55" s="1"/>
  <c r="F15" i="55"/>
  <c r="E15" i="55"/>
  <c r="H14" i="55"/>
  <c r="H13" i="55"/>
  <c r="H12" i="55"/>
  <c r="K5" i="55"/>
  <c r="K6" i="55" s="1"/>
  <c r="K4" i="55"/>
  <c r="L4" i="55" s="1"/>
  <c r="K3" i="55"/>
  <c r="L3" i="55" s="1"/>
  <c r="H3" i="55"/>
  <c r="H2" i="55"/>
  <c r="E117" i="53"/>
  <c r="E132" i="53" s="1"/>
  <c r="E140" i="53" s="1"/>
  <c r="F106" i="53"/>
  <c r="F104" i="53"/>
  <c r="AL101" i="53"/>
  <c r="Z101" i="53"/>
  <c r="Y101" i="53"/>
  <c r="Y102" i="53" s="1"/>
  <c r="X101" i="53"/>
  <c r="W101" i="53"/>
  <c r="U101" i="53"/>
  <c r="T101" i="53"/>
  <c r="S101" i="53"/>
  <c r="R101" i="53"/>
  <c r="Q101" i="53"/>
  <c r="P101" i="53"/>
  <c r="O101" i="53"/>
  <c r="N101" i="53"/>
  <c r="M101" i="53"/>
  <c r="K101" i="53"/>
  <c r="J101" i="53"/>
  <c r="J102" i="53" s="1"/>
  <c r="I101" i="53"/>
  <c r="I102" i="53" s="1"/>
  <c r="H101" i="53"/>
  <c r="G101" i="53"/>
  <c r="F101" i="53"/>
  <c r="E101" i="53"/>
  <c r="AL100" i="53"/>
  <c r="AF100" i="53"/>
  <c r="AE100" i="53"/>
  <c r="AE101" i="53" s="1"/>
  <c r="AD100" i="53"/>
  <c r="AD101" i="53" s="1"/>
  <c r="AC100" i="53"/>
  <c r="AB100" i="53"/>
  <c r="Z100" i="53"/>
  <c r="V100" i="53"/>
  <c r="V101" i="53" s="1"/>
  <c r="Z98" i="53"/>
  <c r="Y98" i="53"/>
  <c r="X98" i="53"/>
  <c r="W98" i="53"/>
  <c r="V98" i="53"/>
  <c r="U98" i="53"/>
  <c r="T98" i="53"/>
  <c r="S98" i="53"/>
  <c r="R98" i="53"/>
  <c r="Q98" i="53"/>
  <c r="P98" i="53"/>
  <c r="O98" i="53"/>
  <c r="N98" i="53"/>
  <c r="M98" i="53"/>
  <c r="K98" i="53"/>
  <c r="J98" i="53"/>
  <c r="I98" i="53"/>
  <c r="H98" i="53"/>
  <c r="G98" i="53"/>
  <c r="F98" i="53"/>
  <c r="E98" i="53"/>
  <c r="AF97" i="53"/>
  <c r="AF98" i="53" s="1"/>
  <c r="AE97" i="53"/>
  <c r="AE98" i="53" s="1"/>
  <c r="AL98" i="53" s="1"/>
  <c r="AD97" i="53"/>
  <c r="AD98" i="53" s="1"/>
  <c r="AC97" i="53"/>
  <c r="AC98" i="53" s="1"/>
  <c r="AJ98" i="53" s="1"/>
  <c r="Z97" i="53"/>
  <c r="V97" i="53"/>
  <c r="AA97" i="53" s="1"/>
  <c r="AA98" i="53" s="1"/>
  <c r="AH98" i="53" s="1"/>
  <c r="Y95" i="53"/>
  <c r="X95" i="53"/>
  <c r="W95" i="53"/>
  <c r="T95" i="53"/>
  <c r="S95" i="53"/>
  <c r="R95" i="53"/>
  <c r="Q95" i="53"/>
  <c r="P95" i="53"/>
  <c r="O95" i="53"/>
  <c r="N95" i="53"/>
  <c r="M95" i="53"/>
  <c r="J95" i="53"/>
  <c r="I95" i="53"/>
  <c r="H95" i="53"/>
  <c r="G95" i="53"/>
  <c r="E95" i="53"/>
  <c r="AH94" i="53"/>
  <c r="AF94" i="53"/>
  <c r="AM94" i="53" s="1"/>
  <c r="AE94" i="53"/>
  <c r="AL94" i="53" s="1"/>
  <c r="AD94" i="53"/>
  <c r="Z94" i="53"/>
  <c r="V94" i="53"/>
  <c r="AA94" i="53" s="1"/>
  <c r="AF93" i="53"/>
  <c r="AM93" i="53" s="1"/>
  <c r="AE93" i="53"/>
  <c r="AL93" i="53" s="1"/>
  <c r="AD93" i="53"/>
  <c r="AC93" i="53"/>
  <c r="AJ93" i="53" s="1"/>
  <c r="AB93" i="53"/>
  <c r="AI93" i="53" s="1"/>
  <c r="Z93" i="53"/>
  <c r="V93" i="53"/>
  <c r="AA93" i="53" s="1"/>
  <c r="AH93" i="53" s="1"/>
  <c r="AF92" i="53"/>
  <c r="AM92" i="53" s="1"/>
  <c r="AE92" i="53"/>
  <c r="AL92" i="53" s="1"/>
  <c r="AD92" i="53"/>
  <c r="Z92" i="53"/>
  <c r="V92" i="53"/>
  <c r="AA92" i="53" s="1"/>
  <c r="AH92" i="53" s="1"/>
  <c r="AM91" i="53"/>
  <c r="AL91" i="53"/>
  <c r="AF91" i="53"/>
  <c r="AE91" i="53"/>
  <c r="AD91" i="53"/>
  <c r="AC91" i="53"/>
  <c r="AJ91" i="53" s="1"/>
  <c r="AB91" i="53"/>
  <c r="AI91" i="53" s="1"/>
  <c r="Z91" i="53"/>
  <c r="V91" i="53"/>
  <c r="AA91" i="53" s="1"/>
  <c r="AH91" i="53" s="1"/>
  <c r="AF90" i="53"/>
  <c r="AM90" i="53" s="1"/>
  <c r="AE90" i="53"/>
  <c r="AL90" i="53" s="1"/>
  <c r="AD90" i="53"/>
  <c r="AC90" i="53"/>
  <c r="AJ90" i="53" s="1"/>
  <c r="AB90" i="53"/>
  <c r="AI90" i="53" s="1"/>
  <c r="Z90" i="53"/>
  <c r="V90" i="53"/>
  <c r="AA90" i="53" s="1"/>
  <c r="AH90" i="53" s="1"/>
  <c r="AM89" i="53"/>
  <c r="AL89" i="53"/>
  <c r="AF89" i="53"/>
  <c r="AE89" i="53"/>
  <c r="AD89" i="53"/>
  <c r="Z89" i="53"/>
  <c r="V89" i="53"/>
  <c r="AA89" i="53" s="1"/>
  <c r="AH89" i="53" s="1"/>
  <c r="AF88" i="53"/>
  <c r="AM88" i="53" s="1"/>
  <c r="AE88" i="53"/>
  <c r="AL88" i="53" s="1"/>
  <c r="AD88" i="53"/>
  <c r="AC88" i="53"/>
  <c r="AJ88" i="53" s="1"/>
  <c r="AB88" i="53"/>
  <c r="AI88" i="53" s="1"/>
  <c r="Z88" i="53"/>
  <c r="AA88" i="53" s="1"/>
  <c r="AH88" i="53" s="1"/>
  <c r="V88" i="53"/>
  <c r="Y87" i="53"/>
  <c r="X87" i="53"/>
  <c r="W87" i="53"/>
  <c r="V87" i="53"/>
  <c r="U87" i="53"/>
  <c r="U95" i="53" s="1"/>
  <c r="K87" i="53"/>
  <c r="F87" i="53"/>
  <c r="AM86" i="53"/>
  <c r="AL86" i="53"/>
  <c r="AF86" i="53"/>
  <c r="AE86" i="53"/>
  <c r="AD86" i="53"/>
  <c r="AA86" i="53"/>
  <c r="AH86" i="53" s="1"/>
  <c r="Z86" i="53"/>
  <c r="V86" i="53"/>
  <c r="B86" i="53"/>
  <c r="AF85" i="53"/>
  <c r="AM85" i="53" s="1"/>
  <c r="AE85" i="53"/>
  <c r="AL85" i="53" s="1"/>
  <c r="AD85" i="53"/>
  <c r="Z85" i="53"/>
  <c r="AA85" i="53" s="1"/>
  <c r="AH85" i="53" s="1"/>
  <c r="V85" i="53"/>
  <c r="B85" i="53"/>
  <c r="AM84" i="53"/>
  <c r="AL84" i="53"/>
  <c r="AJ84" i="53"/>
  <c r="AI84" i="53"/>
  <c r="AF84" i="53"/>
  <c r="AE84" i="53"/>
  <c r="AD84" i="53"/>
  <c r="AC84" i="53"/>
  <c r="AB84" i="53"/>
  <c r="Z84" i="53"/>
  <c r="V84" i="53"/>
  <c r="AA84" i="53" s="1"/>
  <c r="AH84" i="53" s="1"/>
  <c r="AF83" i="53"/>
  <c r="AM83" i="53" s="1"/>
  <c r="AE83" i="53"/>
  <c r="AL83" i="53" s="1"/>
  <c r="AD83" i="53"/>
  <c r="AC83" i="53"/>
  <c r="AJ83" i="53" s="1"/>
  <c r="AB83" i="53"/>
  <c r="AI83" i="53" s="1"/>
  <c r="Z83" i="53"/>
  <c r="V83" i="53"/>
  <c r="AA83" i="53" s="1"/>
  <c r="AH83" i="53" s="1"/>
  <c r="B83" i="53"/>
  <c r="AM82" i="53"/>
  <c r="AL82" i="53"/>
  <c r="AF82" i="53"/>
  <c r="AE82" i="53"/>
  <c r="AD82" i="53"/>
  <c r="Z82" i="53"/>
  <c r="AA82" i="53" s="1"/>
  <c r="AH82" i="53" s="1"/>
  <c r="V82" i="53"/>
  <c r="B82" i="53"/>
  <c r="AH81" i="53"/>
  <c r="AF81" i="53"/>
  <c r="AE81" i="53"/>
  <c r="AL81" i="53" s="1"/>
  <c r="AD81" i="53"/>
  <c r="AA81" i="53"/>
  <c r="Z81" i="53"/>
  <c r="V81" i="53"/>
  <c r="B81" i="53"/>
  <c r="AF80" i="53"/>
  <c r="AE80" i="53"/>
  <c r="AD80" i="53"/>
  <c r="AC80" i="53"/>
  <c r="AB80" i="53"/>
  <c r="Z80" i="53"/>
  <c r="AA80" i="53" s="1"/>
  <c r="V80" i="53"/>
  <c r="B80" i="53"/>
  <c r="Y79" i="53"/>
  <c r="X79" i="53"/>
  <c r="W79" i="53"/>
  <c r="U79" i="53"/>
  <c r="K79" i="53"/>
  <c r="F79" i="53"/>
  <c r="F95" i="53" s="1"/>
  <c r="AM77" i="53"/>
  <c r="AH77" i="53"/>
  <c r="AF77" i="53"/>
  <c r="AE77" i="53"/>
  <c r="AL77" i="53" s="1"/>
  <c r="AD77" i="53"/>
  <c r="Z77" i="53"/>
  <c r="V77" i="53"/>
  <c r="AA77" i="53" s="1"/>
  <c r="B77" i="53"/>
  <c r="AM76" i="53"/>
  <c r="AL76" i="53"/>
  <c r="AF76" i="53"/>
  <c r="AE76" i="53"/>
  <c r="AD76" i="53"/>
  <c r="AC76" i="53"/>
  <c r="AJ76" i="53" s="1"/>
  <c r="AB76" i="53"/>
  <c r="AI76" i="53" s="1"/>
  <c r="Z76" i="53"/>
  <c r="AA76" i="53" s="1"/>
  <c r="AH76" i="53" s="1"/>
  <c r="V76" i="53"/>
  <c r="B76" i="53"/>
  <c r="AH75" i="53"/>
  <c r="AF75" i="53"/>
  <c r="AM75" i="53" s="1"/>
  <c r="AE75" i="53"/>
  <c r="AL75" i="53" s="1"/>
  <c r="AD75" i="53"/>
  <c r="Z75" i="53"/>
  <c r="V75" i="53"/>
  <c r="AA75" i="53" s="1"/>
  <c r="B75" i="53"/>
  <c r="AM74" i="53"/>
  <c r="AL74" i="53"/>
  <c r="AF74" i="53"/>
  <c r="AE74" i="53"/>
  <c r="AD74" i="53"/>
  <c r="AC74" i="53"/>
  <c r="AJ74" i="53" s="1"/>
  <c r="AB74" i="53"/>
  <c r="AI74" i="53" s="1"/>
  <c r="Z74" i="53"/>
  <c r="V74" i="53"/>
  <c r="AA74" i="53" s="1"/>
  <c r="AH74" i="53" s="1"/>
  <c r="B74" i="53"/>
  <c r="AJ73" i="53"/>
  <c r="AI73" i="53"/>
  <c r="AF73" i="53"/>
  <c r="AM73" i="53" s="1"/>
  <c r="AE73" i="53"/>
  <c r="AL73" i="53" s="1"/>
  <c r="AD73" i="53"/>
  <c r="AC73" i="53"/>
  <c r="AB73" i="53"/>
  <c r="Z73" i="53"/>
  <c r="V73" i="53"/>
  <c r="AA73" i="53" s="1"/>
  <c r="AH73" i="53" s="1"/>
  <c r="B73" i="53"/>
  <c r="AF72" i="53"/>
  <c r="AE72" i="53"/>
  <c r="AL72" i="53" s="1"/>
  <c r="AD72" i="53"/>
  <c r="AC72" i="53"/>
  <c r="AJ72" i="53" s="1"/>
  <c r="AB72" i="53"/>
  <c r="AI72" i="53" s="1"/>
  <c r="Z72" i="53"/>
  <c r="V72" i="53"/>
  <c r="AA72" i="53" s="1"/>
  <c r="AH72" i="53" s="1"/>
  <c r="B72" i="53"/>
  <c r="AM71" i="53"/>
  <c r="AL71" i="53"/>
  <c r="AF71" i="53"/>
  <c r="AE71" i="53"/>
  <c r="AD71" i="53"/>
  <c r="Z71" i="53"/>
  <c r="V71" i="53"/>
  <c r="AA71" i="53" s="1"/>
  <c r="AH71" i="53" s="1"/>
  <c r="B71" i="53"/>
  <c r="AH70" i="53"/>
  <c r="AF70" i="53"/>
  <c r="AM70" i="53" s="1"/>
  <c r="AE70" i="53"/>
  <c r="AL70" i="53" s="1"/>
  <c r="AD70" i="53"/>
  <c r="Z70" i="53"/>
  <c r="AA70" i="53" s="1"/>
  <c r="V70" i="53"/>
  <c r="B70" i="53"/>
  <c r="AF69" i="53"/>
  <c r="AE69" i="53"/>
  <c r="AL69" i="53" s="1"/>
  <c r="AD69" i="53"/>
  <c r="AC69" i="53"/>
  <c r="AJ69" i="53" s="1"/>
  <c r="AB69" i="53"/>
  <c r="AI69" i="53" s="1"/>
  <c r="Z69" i="53"/>
  <c r="V69" i="53"/>
  <c r="AA69" i="53" s="1"/>
  <c r="AH69" i="53" s="1"/>
  <c r="B69" i="53"/>
  <c r="AF68" i="53"/>
  <c r="AM68" i="53" s="1"/>
  <c r="AE68" i="53"/>
  <c r="AL68" i="53" s="1"/>
  <c r="AD68" i="53"/>
  <c r="AC68" i="53"/>
  <c r="AJ68" i="53" s="1"/>
  <c r="Z68" i="53"/>
  <c r="V68" i="53"/>
  <c r="AA68" i="53" s="1"/>
  <c r="AH68" i="53" s="1"/>
  <c r="B68" i="53"/>
  <c r="AM67" i="53"/>
  <c r="AL67" i="53"/>
  <c r="AF67" i="53"/>
  <c r="AE67" i="53"/>
  <c r="AD67" i="53"/>
  <c r="Z67" i="53"/>
  <c r="V67" i="53"/>
  <c r="AA67" i="53" s="1"/>
  <c r="AH67" i="53" s="1"/>
  <c r="B67" i="53"/>
  <c r="AM66" i="53"/>
  <c r="AH66" i="53"/>
  <c r="AF66" i="53"/>
  <c r="AE66" i="53"/>
  <c r="AL66" i="53" s="1"/>
  <c r="AD66" i="53"/>
  <c r="AC66" i="53"/>
  <c r="AJ66" i="53" s="1"/>
  <c r="AB66" i="53"/>
  <c r="AI66" i="53" s="1"/>
  <c r="Z66" i="53"/>
  <c r="V66" i="53"/>
  <c r="AA66" i="53" s="1"/>
  <c r="B66" i="53"/>
  <c r="AJ65" i="53"/>
  <c r="AH65" i="53"/>
  <c r="AF65" i="53"/>
  <c r="AM65" i="53" s="1"/>
  <c r="AE65" i="53"/>
  <c r="AL65" i="53" s="1"/>
  <c r="AD65" i="53"/>
  <c r="AC65" i="53"/>
  <c r="Z65" i="53"/>
  <c r="V65" i="53"/>
  <c r="AA65" i="53" s="1"/>
  <c r="B65" i="53"/>
  <c r="AF64" i="53"/>
  <c r="AM64" i="53" s="1"/>
  <c r="AE64" i="53"/>
  <c r="AL64" i="53" s="1"/>
  <c r="AD64" i="53"/>
  <c r="AC64" i="53"/>
  <c r="AJ64" i="53" s="1"/>
  <c r="AB64" i="53"/>
  <c r="AI64" i="53" s="1"/>
  <c r="Z64" i="53"/>
  <c r="V64" i="53"/>
  <c r="AA64" i="53" s="1"/>
  <c r="AH64" i="53" s="1"/>
  <c r="B64" i="53"/>
  <c r="AM63" i="53"/>
  <c r="AL63" i="53"/>
  <c r="AJ63" i="53"/>
  <c r="AF63" i="53"/>
  <c r="AE63" i="53"/>
  <c r="AD63" i="53"/>
  <c r="AC63" i="53"/>
  <c r="Z63" i="53"/>
  <c r="V63" i="53"/>
  <c r="AA63" i="53" s="1"/>
  <c r="AH63" i="53" s="1"/>
  <c r="B63" i="53"/>
  <c r="AF62" i="53"/>
  <c r="AM62" i="53" s="1"/>
  <c r="AE62" i="53"/>
  <c r="AL62" i="53" s="1"/>
  <c r="AD62" i="53"/>
  <c r="Z62" i="53"/>
  <c r="V62" i="53"/>
  <c r="AA62" i="53" s="1"/>
  <c r="AH62" i="53" s="1"/>
  <c r="B62" i="53"/>
  <c r="AM61" i="53"/>
  <c r="AF61" i="53"/>
  <c r="AE61" i="53"/>
  <c r="AL61" i="53" s="1"/>
  <c r="AD61" i="53"/>
  <c r="AC61" i="53"/>
  <c r="AJ61" i="53" s="1"/>
  <c r="AB61" i="53"/>
  <c r="AI61" i="53" s="1"/>
  <c r="Z61" i="53"/>
  <c r="V61" i="53"/>
  <c r="AA61" i="53" s="1"/>
  <c r="AH61" i="53" s="1"/>
  <c r="B61" i="53"/>
  <c r="AF60" i="53"/>
  <c r="AM60" i="53" s="1"/>
  <c r="AE60" i="53"/>
  <c r="AL60" i="53" s="1"/>
  <c r="AD60" i="53"/>
  <c r="Z60" i="53"/>
  <c r="AA60" i="53" s="1"/>
  <c r="AH60" i="53" s="1"/>
  <c r="V60" i="53"/>
  <c r="B60" i="53"/>
  <c r="AF59" i="53"/>
  <c r="AE59" i="53"/>
  <c r="AL59" i="53" s="1"/>
  <c r="AD59" i="53"/>
  <c r="AC59" i="53"/>
  <c r="AJ59" i="53" s="1"/>
  <c r="AB59" i="53"/>
  <c r="AI59" i="53" s="1"/>
  <c r="Z59" i="53"/>
  <c r="V59" i="53"/>
  <c r="B59" i="53"/>
  <c r="AL58" i="53"/>
  <c r="AF58" i="53"/>
  <c r="AM58" i="53" s="1"/>
  <c r="AE58" i="53"/>
  <c r="AD58" i="53"/>
  <c r="AB58" i="53"/>
  <c r="AI58" i="53" s="1"/>
  <c r="Z58" i="53"/>
  <c r="V58" i="53"/>
  <c r="AA58" i="53" s="1"/>
  <c r="AH58" i="53" s="1"/>
  <c r="B58" i="53"/>
  <c r="AM57" i="53"/>
  <c r="AL57" i="53"/>
  <c r="AF57" i="53"/>
  <c r="AE57" i="53"/>
  <c r="AD57" i="53"/>
  <c r="AA57" i="53"/>
  <c r="AH57" i="53" s="1"/>
  <c r="Z57" i="53"/>
  <c r="V57" i="53"/>
  <c r="B57" i="53"/>
  <c r="AM56" i="53"/>
  <c r="AL56" i="53"/>
  <c r="AF56" i="53"/>
  <c r="AE56" i="53"/>
  <c r="AD56" i="53"/>
  <c r="AC56" i="53"/>
  <c r="Z56" i="53"/>
  <c r="V56" i="53"/>
  <c r="AA56" i="53" s="1"/>
  <c r="B56" i="53"/>
  <c r="Y54" i="53"/>
  <c r="X54" i="53"/>
  <c r="W54" i="53"/>
  <c r="U54" i="53"/>
  <c r="T54" i="53"/>
  <c r="S54" i="53"/>
  <c r="R54" i="53"/>
  <c r="Q54" i="53"/>
  <c r="P54" i="53"/>
  <c r="O54" i="53"/>
  <c r="N54" i="53"/>
  <c r="M54" i="53"/>
  <c r="J54" i="53"/>
  <c r="I54" i="53"/>
  <c r="H54" i="53"/>
  <c r="G54" i="53"/>
  <c r="G102" i="53" s="1"/>
  <c r="F54" i="53"/>
  <c r="E54" i="53"/>
  <c r="E102" i="53" s="1"/>
  <c r="AM53" i="53"/>
  <c r="AL53" i="53"/>
  <c r="AH53" i="53"/>
  <c r="AF53" i="53"/>
  <c r="AE53" i="53"/>
  <c r="AD53" i="53"/>
  <c r="Z53" i="53"/>
  <c r="V53" i="53"/>
  <c r="AA53" i="53" s="1"/>
  <c r="AF52" i="53"/>
  <c r="AM52" i="53" s="1"/>
  <c r="AE52" i="53"/>
  <c r="AL52" i="53" s="1"/>
  <c r="AD52" i="53"/>
  <c r="AC52" i="53"/>
  <c r="AJ52" i="53" s="1"/>
  <c r="Z52" i="53"/>
  <c r="V52" i="53"/>
  <c r="AA52" i="53" s="1"/>
  <c r="AH52" i="53" s="1"/>
  <c r="AF51" i="53"/>
  <c r="AM51" i="53" s="1"/>
  <c r="AE51" i="53"/>
  <c r="AL51" i="53" s="1"/>
  <c r="AD51" i="53"/>
  <c r="AC51" i="53"/>
  <c r="AJ51" i="53" s="1"/>
  <c r="AB51" i="53"/>
  <c r="AI51" i="53" s="1"/>
  <c r="Z51" i="53"/>
  <c r="Z54" i="53" s="1"/>
  <c r="V51" i="53"/>
  <c r="AM50" i="53"/>
  <c r="AL50" i="53"/>
  <c r="AH50" i="53"/>
  <c r="AF50" i="53"/>
  <c r="AE50" i="53"/>
  <c r="AD50" i="53"/>
  <c r="Z50" i="53"/>
  <c r="V50" i="53"/>
  <c r="AA50" i="53" s="1"/>
  <c r="AF49" i="53"/>
  <c r="AM49" i="53" s="1"/>
  <c r="AE49" i="53"/>
  <c r="AL49" i="53" s="1"/>
  <c r="AD49" i="53"/>
  <c r="AD54" i="53" s="1"/>
  <c r="AC49" i="53"/>
  <c r="AJ49" i="53" s="1"/>
  <c r="AB49" i="53"/>
  <c r="AI49" i="53" s="1"/>
  <c r="AA49" i="53"/>
  <c r="AH49" i="53" s="1"/>
  <c r="Z49" i="53"/>
  <c r="V49" i="53"/>
  <c r="AF48" i="53"/>
  <c r="AM48" i="53" s="1"/>
  <c r="AE48" i="53"/>
  <c r="AL48" i="53" s="1"/>
  <c r="AD48" i="53"/>
  <c r="AC48" i="53"/>
  <c r="AJ48" i="53" s="1"/>
  <c r="AB48" i="53"/>
  <c r="AI48" i="53" s="1"/>
  <c r="Z48" i="53"/>
  <c r="V48" i="53"/>
  <c r="AA48" i="53" s="1"/>
  <c r="AH48" i="53" s="1"/>
  <c r="AM47" i="53"/>
  <c r="AL47" i="53"/>
  <c r="AF47" i="53"/>
  <c r="AE47" i="53"/>
  <c r="AD47" i="53"/>
  <c r="Z47" i="53"/>
  <c r="V47" i="53"/>
  <c r="Y45" i="53"/>
  <c r="X45" i="53"/>
  <c r="W45" i="53"/>
  <c r="U45" i="53"/>
  <c r="T45" i="53"/>
  <c r="S45" i="53"/>
  <c r="R45" i="53"/>
  <c r="Q45" i="53"/>
  <c r="P45" i="53"/>
  <c r="P102" i="53" s="1"/>
  <c r="O45" i="53"/>
  <c r="N45" i="53"/>
  <c r="M45" i="53"/>
  <c r="J45" i="53"/>
  <c r="I45" i="53"/>
  <c r="H45" i="53"/>
  <c r="G45" i="53"/>
  <c r="F45" i="53"/>
  <c r="E45" i="53"/>
  <c r="AM44" i="53"/>
  <c r="AF44" i="53"/>
  <c r="AE44" i="53"/>
  <c r="AL44" i="53" s="1"/>
  <c r="AD44" i="53"/>
  <c r="AC44" i="53"/>
  <c r="AJ44" i="53" s="1"/>
  <c r="AB44" i="53"/>
  <c r="AI44" i="53" s="1"/>
  <c r="Z44" i="53"/>
  <c r="V44" i="53"/>
  <c r="AA44" i="53" s="1"/>
  <c r="AH44" i="53" s="1"/>
  <c r="AL43" i="53"/>
  <c r="AH43" i="53"/>
  <c r="AF43" i="53"/>
  <c r="AM43" i="53" s="1"/>
  <c r="AE43" i="53"/>
  <c r="AD43" i="53"/>
  <c r="Z43" i="53"/>
  <c r="V43" i="53"/>
  <c r="AA43" i="53" s="1"/>
  <c r="AF42" i="53"/>
  <c r="AM42" i="53" s="1"/>
  <c r="AE42" i="53"/>
  <c r="AL42" i="53" s="1"/>
  <c r="AD42" i="53"/>
  <c r="AC42" i="53"/>
  <c r="AJ42" i="53" s="1"/>
  <c r="AB42" i="53"/>
  <c r="AI42" i="53" s="1"/>
  <c r="Z42" i="53"/>
  <c r="V42" i="53"/>
  <c r="AA42" i="53" s="1"/>
  <c r="AH42" i="53" s="1"/>
  <c r="AM41" i="53"/>
  <c r="AF41" i="53"/>
  <c r="AE41" i="53"/>
  <c r="AL41" i="53" s="1"/>
  <c r="AD41" i="53"/>
  <c r="Z41" i="53"/>
  <c r="V41" i="53"/>
  <c r="AA41" i="53" s="1"/>
  <c r="AH41" i="53" s="1"/>
  <c r="AF40" i="53"/>
  <c r="AM40" i="53" s="1"/>
  <c r="AE40" i="53"/>
  <c r="AL40" i="53" s="1"/>
  <c r="AD40" i="53"/>
  <c r="Z40" i="53"/>
  <c r="V40" i="53"/>
  <c r="AA40" i="53" s="1"/>
  <c r="AH40" i="53" s="1"/>
  <c r="AJ39" i="53"/>
  <c r="AI39" i="53"/>
  <c r="AF39" i="53"/>
  <c r="AM39" i="53" s="1"/>
  <c r="AE39" i="53"/>
  <c r="AL39" i="53" s="1"/>
  <c r="AD39" i="53"/>
  <c r="AC39" i="53"/>
  <c r="AB39" i="53"/>
  <c r="Z39" i="53"/>
  <c r="V39" i="53"/>
  <c r="AA39" i="53" s="1"/>
  <c r="AH39" i="53" s="1"/>
  <c r="AM38" i="53"/>
  <c r="AF38" i="53"/>
  <c r="AE38" i="53"/>
  <c r="AL38" i="53" s="1"/>
  <c r="AD38" i="53"/>
  <c r="AC38" i="53"/>
  <c r="AJ38" i="53" s="1"/>
  <c r="AB38" i="53"/>
  <c r="AI38" i="53" s="1"/>
  <c r="Z38" i="53"/>
  <c r="V38" i="53"/>
  <c r="AA38" i="53" s="1"/>
  <c r="AH38" i="53" s="1"/>
  <c r="AH37" i="53"/>
  <c r="AF37" i="53"/>
  <c r="AM37" i="53" s="1"/>
  <c r="AE37" i="53"/>
  <c r="AL37" i="53" s="1"/>
  <c r="AD37" i="53"/>
  <c r="Z37" i="53"/>
  <c r="V37" i="53"/>
  <c r="AA37" i="53" s="1"/>
  <c r="AF36" i="53"/>
  <c r="AM36" i="53" s="1"/>
  <c r="AE36" i="53"/>
  <c r="AD36" i="53"/>
  <c r="AC36" i="53"/>
  <c r="AJ36" i="53" s="1"/>
  <c r="Z36" i="53"/>
  <c r="V36" i="53"/>
  <c r="Z34" i="53"/>
  <c r="Y34" i="53"/>
  <c r="X34" i="53"/>
  <c r="W34" i="53"/>
  <c r="V34" i="53"/>
  <c r="U34" i="53"/>
  <c r="T34" i="53"/>
  <c r="S34" i="53"/>
  <c r="R34" i="53"/>
  <c r="Q34" i="53"/>
  <c r="P34" i="53"/>
  <c r="H34" i="53"/>
  <c r="G34" i="53"/>
  <c r="F34" i="53"/>
  <c r="E34" i="53"/>
  <c r="AF33" i="53"/>
  <c r="AM33" i="53" s="1"/>
  <c r="AE33" i="53"/>
  <c r="AL33" i="53" s="1"/>
  <c r="AD33" i="53"/>
  <c r="AC33" i="53"/>
  <c r="AJ33" i="53" s="1"/>
  <c r="AB33" i="53"/>
  <c r="AI33" i="53" s="1"/>
  <c r="Z33" i="53"/>
  <c r="V33" i="53"/>
  <c r="AA33" i="53" s="1"/>
  <c r="AH33" i="53" s="1"/>
  <c r="AH32" i="53"/>
  <c r="AF32" i="53"/>
  <c r="AM32" i="53" s="1"/>
  <c r="AE32" i="53"/>
  <c r="AL32" i="53" s="1"/>
  <c r="AD32" i="53"/>
  <c r="Z32" i="53"/>
  <c r="V32" i="53"/>
  <c r="AA32" i="53" s="1"/>
  <c r="I32" i="53"/>
  <c r="AM31" i="53"/>
  <c r="AF31" i="53"/>
  <c r="AE31" i="53"/>
  <c r="AL31" i="53" s="1"/>
  <c r="AD31" i="53"/>
  <c r="AC31" i="53"/>
  <c r="AJ31" i="53" s="1"/>
  <c r="AB31" i="53"/>
  <c r="AI31" i="53" s="1"/>
  <c r="Z31" i="53"/>
  <c r="AA31" i="53" s="1"/>
  <c r="AH31" i="53" s="1"/>
  <c r="V31" i="53"/>
  <c r="AH30" i="53"/>
  <c r="AF30" i="53"/>
  <c r="AM30" i="53" s="1"/>
  <c r="AE30" i="53"/>
  <c r="AL30" i="53" s="1"/>
  <c r="AD30" i="53"/>
  <c r="AC30" i="53"/>
  <c r="AJ30" i="53" s="1"/>
  <c r="Z30" i="53"/>
  <c r="V30" i="53"/>
  <c r="AA30" i="53" s="1"/>
  <c r="AM29" i="53"/>
  <c r="AL29" i="53"/>
  <c r="AF29" i="53"/>
  <c r="AE29" i="53"/>
  <c r="AD29" i="53"/>
  <c r="AC29" i="53"/>
  <c r="AJ29" i="53" s="1"/>
  <c r="Z29" i="53"/>
  <c r="V29" i="53"/>
  <c r="AA29" i="53" s="1"/>
  <c r="AH29" i="53" s="1"/>
  <c r="AF28" i="53"/>
  <c r="AM28" i="53" s="1"/>
  <c r="AE28" i="53"/>
  <c r="AL28" i="53" s="1"/>
  <c r="AD28" i="53"/>
  <c r="AC28" i="53"/>
  <c r="AJ28" i="53" s="1"/>
  <c r="AB28" i="53"/>
  <c r="AI28" i="53" s="1"/>
  <c r="Z28" i="53"/>
  <c r="V28" i="53"/>
  <c r="AA28" i="53" s="1"/>
  <c r="AH28" i="53" s="1"/>
  <c r="AM27" i="53"/>
  <c r="AL27" i="53"/>
  <c r="AF27" i="53"/>
  <c r="AE27" i="53"/>
  <c r="AD27" i="53"/>
  <c r="AC27" i="53"/>
  <c r="AJ27" i="53" s="1"/>
  <c r="AB27" i="53"/>
  <c r="AI27" i="53" s="1"/>
  <c r="Z27" i="53"/>
  <c r="V27" i="53"/>
  <c r="AA27" i="53" s="1"/>
  <c r="AH27" i="53" s="1"/>
  <c r="AM26" i="53"/>
  <c r="AL26" i="53"/>
  <c r="AF26" i="53"/>
  <c r="AE26" i="53"/>
  <c r="AD26" i="53"/>
  <c r="AD34" i="53" s="1"/>
  <c r="AB26" i="53"/>
  <c r="AA26" i="53"/>
  <c r="Z26" i="53"/>
  <c r="V26" i="53"/>
  <c r="AM25" i="53"/>
  <c r="AL25" i="53"/>
  <c r="AJ25" i="53"/>
  <c r="AI25" i="53"/>
  <c r="AH25" i="53"/>
  <c r="AF25" i="53"/>
  <c r="AE25" i="53"/>
  <c r="AD25" i="53"/>
  <c r="AG25" i="53" s="1"/>
  <c r="AC25" i="53"/>
  <c r="AB25" i="53"/>
  <c r="Z25" i="53"/>
  <c r="V25" i="53"/>
  <c r="AA25" i="53" s="1"/>
  <c r="D21" i="53" a="1"/>
  <c r="D21" i="53" s="1"/>
  <c r="F17" i="53"/>
  <c r="F18" i="53" s="1"/>
  <c r="E16" i="53"/>
  <c r="F15" i="53"/>
  <c r="E15" i="53"/>
  <c r="H14" i="53"/>
  <c r="H13" i="53"/>
  <c r="H12" i="53"/>
  <c r="K5" i="53"/>
  <c r="L5" i="53" s="1"/>
  <c r="K4" i="53"/>
  <c r="K6" i="53" s="1"/>
  <c r="L3" i="53"/>
  <c r="K3" i="53"/>
  <c r="H3" i="53"/>
  <c r="H2" i="53"/>
  <c r="E136" i="29" l="1"/>
  <c r="E137" i="29"/>
  <c r="Z79" i="55"/>
  <c r="Z87" i="55"/>
  <c r="AA56" i="55"/>
  <c r="AH97" i="55"/>
  <c r="AA98" i="55"/>
  <c r="AH98" i="55" s="1"/>
  <c r="AI25" i="55"/>
  <c r="AJ25" i="55"/>
  <c r="AM64" i="55"/>
  <c r="AL49" i="55"/>
  <c r="AE54" i="55"/>
  <c r="AL54" i="55" s="1"/>
  <c r="AM59" i="55"/>
  <c r="AG59" i="55"/>
  <c r="AD87" i="55"/>
  <c r="AE87" i="55"/>
  <c r="AL87" i="55" s="1"/>
  <c r="AL81" i="55"/>
  <c r="AG49" i="55"/>
  <c r="AF87" i="55"/>
  <c r="AM87" i="55" s="1"/>
  <c r="AM81" i="55"/>
  <c r="AE101" i="55"/>
  <c r="AL101" i="55" s="1"/>
  <c r="AL100" i="55"/>
  <c r="AF79" i="55"/>
  <c r="AM57" i="55"/>
  <c r="AG81" i="55"/>
  <c r="Z45" i="55"/>
  <c r="AI56" i="55"/>
  <c r="AI97" i="55"/>
  <c r="AB98" i="55"/>
  <c r="AI98" i="55" s="1"/>
  <c r="AE34" i="55"/>
  <c r="AL27" i="55"/>
  <c r="AA36" i="55"/>
  <c r="AG36" i="55" s="1"/>
  <c r="AG41" i="55"/>
  <c r="AC98" i="55"/>
  <c r="AJ98" i="55" s="1"/>
  <c r="AJ97" i="55"/>
  <c r="V34" i="55"/>
  <c r="AF34" i="55"/>
  <c r="AG30" i="55"/>
  <c r="AF54" i="55"/>
  <c r="AM54" i="55" s="1"/>
  <c r="Z34" i="55"/>
  <c r="AA25" i="55"/>
  <c r="AD79" i="55"/>
  <c r="AD95" i="55" s="1"/>
  <c r="AB92" i="55"/>
  <c r="AI92" i="55" s="1"/>
  <c r="AB64" i="55"/>
  <c r="AI64" i="55" s="1"/>
  <c r="AB32" i="55"/>
  <c r="AI32" i="55" s="1"/>
  <c r="AB60" i="55"/>
  <c r="AI60" i="55" s="1"/>
  <c r="AB73" i="55"/>
  <c r="AI73" i="55" s="1"/>
  <c r="AB39" i="55"/>
  <c r="AI39" i="55" s="1"/>
  <c r="AB74" i="55"/>
  <c r="AI74" i="55" s="1"/>
  <c r="AB67" i="55"/>
  <c r="AI67" i="55" s="1"/>
  <c r="AB86" i="55"/>
  <c r="AI86" i="55" s="1"/>
  <c r="AB77" i="55"/>
  <c r="AB41" i="55"/>
  <c r="AI41" i="55" s="1"/>
  <c r="AB30" i="55"/>
  <c r="AI30" i="55" s="1"/>
  <c r="AB100" i="55"/>
  <c r="AB91" i="55"/>
  <c r="AI91" i="55" s="1"/>
  <c r="AB82" i="55"/>
  <c r="AI82" i="55" s="1"/>
  <c r="AB48" i="55"/>
  <c r="AI48" i="55" s="1"/>
  <c r="AB33" i="55"/>
  <c r="AI33" i="55" s="1"/>
  <c r="AB27" i="55"/>
  <c r="AI27" i="55" s="1"/>
  <c r="AB69" i="55"/>
  <c r="AI69" i="55" s="1"/>
  <c r="AB57" i="55"/>
  <c r="AI57" i="55" s="1"/>
  <c r="AB94" i="55"/>
  <c r="AI94" i="55" s="1"/>
  <c r="AG25" i="55"/>
  <c r="AB61" i="55"/>
  <c r="AI61" i="55" s="1"/>
  <c r="AB66" i="55"/>
  <c r="AI66" i="55" s="1"/>
  <c r="AA80" i="55"/>
  <c r="AG88" i="55"/>
  <c r="AK88" i="55" s="1"/>
  <c r="AC73" i="55"/>
  <c r="AJ73" i="55" s="1"/>
  <c r="AC39" i="55"/>
  <c r="AJ39" i="55" s="1"/>
  <c r="AC84" i="55"/>
  <c r="AJ84" i="55" s="1"/>
  <c r="AC69" i="55"/>
  <c r="AC60" i="55"/>
  <c r="AJ60" i="55" s="1"/>
  <c r="AC43" i="55"/>
  <c r="AJ43" i="55" s="1"/>
  <c r="AC86" i="55"/>
  <c r="AJ86" i="55" s="1"/>
  <c r="AC90" i="55"/>
  <c r="AJ90" i="55" s="1"/>
  <c r="AC71" i="55"/>
  <c r="AJ71" i="55" s="1"/>
  <c r="AC61" i="55"/>
  <c r="AJ61" i="55" s="1"/>
  <c r="AC47" i="55"/>
  <c r="AC41" i="55"/>
  <c r="AJ41" i="55" s="1"/>
  <c r="AC30" i="55"/>
  <c r="AJ30" i="55" s="1"/>
  <c r="AC100" i="55"/>
  <c r="AG100" i="55" s="1"/>
  <c r="AC91" i="55"/>
  <c r="AJ91" i="55" s="1"/>
  <c r="AC82" i="55"/>
  <c r="AJ82" i="55" s="1"/>
  <c r="AC48" i="55"/>
  <c r="AJ48" i="55" s="1"/>
  <c r="AC33" i="55"/>
  <c r="AJ33" i="55" s="1"/>
  <c r="AC27" i="55"/>
  <c r="AJ27" i="55" s="1"/>
  <c r="AC57" i="55"/>
  <c r="AJ57" i="55" s="1"/>
  <c r="AC94" i="55"/>
  <c r="AC72" i="55"/>
  <c r="AC66" i="55"/>
  <c r="AC51" i="55"/>
  <c r="AJ51" i="55" s="1"/>
  <c r="AC29" i="55"/>
  <c r="AJ29" i="55" s="1"/>
  <c r="AB38" i="55"/>
  <c r="AI38" i="55" s="1"/>
  <c r="AB50" i="55"/>
  <c r="AI50" i="55" s="1"/>
  <c r="AB71" i="55"/>
  <c r="AI71" i="55" s="1"/>
  <c r="AB80" i="55"/>
  <c r="AG83" i="55"/>
  <c r="AB85" i="55"/>
  <c r="AI85" i="55" s="1"/>
  <c r="AC38" i="55"/>
  <c r="AJ38" i="55" s="1"/>
  <c r="AC50" i="55"/>
  <c r="AJ50" i="55" s="1"/>
  <c r="AG56" i="55"/>
  <c r="AB63" i="55"/>
  <c r="AI63" i="55" s="1"/>
  <c r="AC80" i="55"/>
  <c r="AC85" i="55"/>
  <c r="AJ85" i="55" s="1"/>
  <c r="AG90" i="55"/>
  <c r="AB40" i="55"/>
  <c r="AI40" i="55" s="1"/>
  <c r="AG53" i="55"/>
  <c r="AG61" i="55"/>
  <c r="AM61" i="55"/>
  <c r="AC63" i="55"/>
  <c r="AJ63" i="55" s="1"/>
  <c r="AG76" i="55"/>
  <c r="AC31" i="55"/>
  <c r="AJ31" i="55" s="1"/>
  <c r="AB58" i="55"/>
  <c r="AI58" i="55" s="1"/>
  <c r="AB68" i="55"/>
  <c r="AI68" i="55" s="1"/>
  <c r="AM83" i="55"/>
  <c r="E102" i="55"/>
  <c r="AJ56" i="55"/>
  <c r="AC58" i="55"/>
  <c r="AJ58" i="55" s="1"/>
  <c r="AC68" i="55"/>
  <c r="AJ68" i="55" s="1"/>
  <c r="AG71" i="55"/>
  <c r="F102" i="55"/>
  <c r="F107" i="55" s="1"/>
  <c r="AM27" i="55"/>
  <c r="AG38" i="55"/>
  <c r="AB42" i="55"/>
  <c r="AI42" i="55" s="1"/>
  <c r="AG50" i="55"/>
  <c r="AG63" i="55"/>
  <c r="U95" i="55"/>
  <c r="U102" i="55" s="1"/>
  <c r="AG85" i="55"/>
  <c r="AG98" i="55"/>
  <c r="G102" i="55"/>
  <c r="AB26" i="55"/>
  <c r="AI26" i="55" s="1"/>
  <c r="AD34" i="55"/>
  <c r="AC42" i="55"/>
  <c r="AJ42" i="55" s="1"/>
  <c r="Z54" i="55"/>
  <c r="AB52" i="55"/>
  <c r="AI52" i="55" s="1"/>
  <c r="AE79" i="55"/>
  <c r="AL58" i="55"/>
  <c r="V79" i="55"/>
  <c r="V95" i="55" s="1"/>
  <c r="V102" i="55" s="1"/>
  <c r="AA54" i="55"/>
  <c r="AH54" i="55" s="1"/>
  <c r="AC52" i="55"/>
  <c r="AJ52" i="55" s="1"/>
  <c r="AG58" i="55"/>
  <c r="AM58" i="55"/>
  <c r="AB65" i="55"/>
  <c r="AI65" i="55" s="1"/>
  <c r="W95" i="55"/>
  <c r="W102" i="55" s="1"/>
  <c r="AB89" i="55"/>
  <c r="AI89" i="55" s="1"/>
  <c r="AB93" i="55"/>
  <c r="AI93" i="55" s="1"/>
  <c r="I102" i="55"/>
  <c r="AM101" i="55"/>
  <c r="AB47" i="55"/>
  <c r="AM48" i="55"/>
  <c r="AB84" i="55"/>
  <c r="AI84" i="55" s="1"/>
  <c r="AC89" i="55"/>
  <c r="AC93" i="55"/>
  <c r="AJ93" i="55" s="1"/>
  <c r="F104" i="55"/>
  <c r="AB28" i="55"/>
  <c r="AI28" i="55" s="1"/>
  <c r="AM31" i="55"/>
  <c r="AB37" i="55"/>
  <c r="AI37" i="55" s="1"/>
  <c r="AB44" i="55"/>
  <c r="AI44" i="55" s="1"/>
  <c r="AB62" i="55"/>
  <c r="AI62" i="55" s="1"/>
  <c r="V54" i="55"/>
  <c r="AG92" i="55"/>
  <c r="AB31" i="55"/>
  <c r="AI31" i="55" s="1"/>
  <c r="AC40" i="55"/>
  <c r="AJ40" i="55" s="1"/>
  <c r="AG48" i="55"/>
  <c r="H102" i="55"/>
  <c r="AC26" i="55"/>
  <c r="AJ26" i="55" s="1"/>
  <c r="AC65" i="55"/>
  <c r="AJ65" i="55" s="1"/>
  <c r="AB75" i="55"/>
  <c r="AI75" i="55" s="1"/>
  <c r="AC28" i="55"/>
  <c r="AC75" i="55"/>
  <c r="AJ75" i="55" s="1"/>
  <c r="AM33" i="55"/>
  <c r="AC37" i="55"/>
  <c r="AC44" i="55"/>
  <c r="AJ44" i="55" s="1"/>
  <c r="AC62" i="55"/>
  <c r="AJ62" i="55" s="1"/>
  <c r="AC67" i="55"/>
  <c r="AJ67" i="55" s="1"/>
  <c r="AB70" i="55"/>
  <c r="AI70" i="55" s="1"/>
  <c r="AG91" i="55"/>
  <c r="AA32" i="55"/>
  <c r="AH32" i="55" s="1"/>
  <c r="AC70" i="55"/>
  <c r="AJ70" i="55" s="1"/>
  <c r="AG97" i="55"/>
  <c r="Y95" i="55"/>
  <c r="Y102" i="55" s="1"/>
  <c r="L5" i="55"/>
  <c r="AA74" i="55"/>
  <c r="AH74" i="55" s="1"/>
  <c r="V45" i="55"/>
  <c r="T102" i="55"/>
  <c r="AA87" i="53"/>
  <c r="AH87" i="53" s="1"/>
  <c r="AH80" i="53"/>
  <c r="AG80" i="53"/>
  <c r="AF101" i="53"/>
  <c r="AM100" i="53"/>
  <c r="AG94" i="53"/>
  <c r="AG72" i="53"/>
  <c r="AM72" i="53"/>
  <c r="N102" i="53"/>
  <c r="AG27" i="53"/>
  <c r="AG74" i="53"/>
  <c r="AM81" i="53"/>
  <c r="AG88" i="53"/>
  <c r="AK88" i="53" s="1"/>
  <c r="AL97" i="53"/>
  <c r="O102" i="53"/>
  <c r="AG57" i="53"/>
  <c r="X102" i="53"/>
  <c r="AM69" i="53"/>
  <c r="AG69" i="53"/>
  <c r="AM98" i="53"/>
  <c r="AG33" i="53"/>
  <c r="AG97" i="53"/>
  <c r="AH97" i="53"/>
  <c r="AG70" i="53"/>
  <c r="AG90" i="53"/>
  <c r="AG68" i="53"/>
  <c r="AG60" i="53"/>
  <c r="AG62" i="53"/>
  <c r="AG86" i="53"/>
  <c r="AH26" i="53"/>
  <c r="AA34" i="53"/>
  <c r="AH34" i="53" s="1"/>
  <c r="AI26" i="53"/>
  <c r="V79" i="53"/>
  <c r="V95" i="53" s="1"/>
  <c r="AA47" i="53"/>
  <c r="V54" i="53"/>
  <c r="Z79" i="53"/>
  <c r="AG42" i="53"/>
  <c r="AA59" i="53"/>
  <c r="AH59" i="53" s="1"/>
  <c r="F105" i="53"/>
  <c r="F102" i="53"/>
  <c r="F107" i="53" s="1"/>
  <c r="AG49" i="53"/>
  <c r="AD45" i="53"/>
  <c r="AD102" i="53" s="1"/>
  <c r="AE54" i="53"/>
  <c r="AL54" i="53" s="1"/>
  <c r="AL36" i="53"/>
  <c r="AE45" i="53"/>
  <c r="AL45" i="53" s="1"/>
  <c r="AF54" i="53"/>
  <c r="AM54" i="53" s="1"/>
  <c r="AG59" i="53"/>
  <c r="AG85" i="53"/>
  <c r="AF45" i="53"/>
  <c r="AM45" i="53" s="1"/>
  <c r="AN25" i="53"/>
  <c r="W102" i="53"/>
  <c r="AG31" i="53"/>
  <c r="AG52" i="53"/>
  <c r="AJ97" i="53"/>
  <c r="M102" i="53"/>
  <c r="AA79" i="53"/>
  <c r="Z87" i="53"/>
  <c r="AM97" i="53"/>
  <c r="L4" i="53"/>
  <c r="AK25" i="53"/>
  <c r="AG66" i="53"/>
  <c r="AB87" i="53"/>
  <c r="AI87" i="53" s="1"/>
  <c r="AI80" i="53"/>
  <c r="AG93" i="53"/>
  <c r="AC87" i="53"/>
  <c r="AJ87" i="53" s="1"/>
  <c r="AJ80" i="53"/>
  <c r="AG37" i="53"/>
  <c r="AG48" i="53"/>
  <c r="AD87" i="53"/>
  <c r="AG84" i="53"/>
  <c r="AL80" i="53"/>
  <c r="AE87" i="53"/>
  <c r="AL87" i="53" s="1"/>
  <c r="AA51" i="53"/>
  <c r="AH51" i="53" s="1"/>
  <c r="AM80" i="53"/>
  <c r="AF87" i="53"/>
  <c r="AM87" i="53" s="1"/>
  <c r="AG44" i="53"/>
  <c r="AG26" i="53"/>
  <c r="K95" i="53"/>
  <c r="K102" i="53" s="1"/>
  <c r="AG76" i="53"/>
  <c r="AG51" i="53"/>
  <c r="AD79" i="53"/>
  <c r="AD95" i="53" s="1"/>
  <c r="AE79" i="53"/>
  <c r="R102" i="53"/>
  <c r="AC34" i="53"/>
  <c r="AF79" i="53"/>
  <c r="AG61" i="53"/>
  <c r="AA100" i="53"/>
  <c r="S102" i="53"/>
  <c r="AI100" i="53"/>
  <c r="AB101" i="53"/>
  <c r="AI101" i="53" s="1"/>
  <c r="AE34" i="53"/>
  <c r="AG28" i="53"/>
  <c r="V45" i="53"/>
  <c r="AG91" i="53"/>
  <c r="AB75" i="53"/>
  <c r="AI75" i="53" s="1"/>
  <c r="AB53" i="53"/>
  <c r="AI53" i="53" s="1"/>
  <c r="AB37" i="53"/>
  <c r="AI37" i="53" s="1"/>
  <c r="AB30" i="53"/>
  <c r="AI30" i="53" s="1"/>
  <c r="AB71" i="53"/>
  <c r="AI71" i="53" s="1"/>
  <c r="AB41" i="53"/>
  <c r="AI41" i="53" s="1"/>
  <c r="AB94" i="53"/>
  <c r="AI94" i="53" s="1"/>
  <c r="AB62" i="53"/>
  <c r="AI62" i="53" s="1"/>
  <c r="AB86" i="53"/>
  <c r="AI86" i="53" s="1"/>
  <c r="AB63" i="53"/>
  <c r="AI63" i="53" s="1"/>
  <c r="AB56" i="53"/>
  <c r="AB85" i="53"/>
  <c r="AI85" i="53" s="1"/>
  <c r="AB70" i="53"/>
  <c r="AI70" i="53" s="1"/>
  <c r="AB82" i="53"/>
  <c r="AI82" i="53" s="1"/>
  <c r="AB60" i="53"/>
  <c r="AI60" i="53" s="1"/>
  <c r="AB43" i="53"/>
  <c r="AI43" i="53" s="1"/>
  <c r="AB40" i="53"/>
  <c r="AI40" i="53" s="1"/>
  <c r="AB92" i="53"/>
  <c r="AI92" i="53" s="1"/>
  <c r="AB50" i="53"/>
  <c r="AI50" i="53" s="1"/>
  <c r="AB67" i="53"/>
  <c r="AI67" i="53" s="1"/>
  <c r="AB47" i="53"/>
  <c r="AB77" i="53"/>
  <c r="AI77" i="53" s="1"/>
  <c r="AB89" i="53"/>
  <c r="AI89" i="53" s="1"/>
  <c r="AB57" i="53"/>
  <c r="AI57" i="53" s="1"/>
  <c r="AB29" i="53"/>
  <c r="AI29" i="53" s="1"/>
  <c r="Z45" i="53"/>
  <c r="AH56" i="53"/>
  <c r="AM59" i="53"/>
  <c r="AB81" i="53"/>
  <c r="AI81" i="53" s="1"/>
  <c r="AJ100" i="53"/>
  <c r="AC101" i="53"/>
  <c r="AJ101" i="53" s="1"/>
  <c r="U102" i="53"/>
  <c r="AC94" i="53"/>
  <c r="AJ94" i="53" s="1"/>
  <c r="AC62" i="53"/>
  <c r="AJ62" i="53" s="1"/>
  <c r="AC58" i="53"/>
  <c r="AJ58" i="53" s="1"/>
  <c r="AC86" i="53"/>
  <c r="AJ86" i="53" s="1"/>
  <c r="AC71" i="53"/>
  <c r="AJ71" i="53" s="1"/>
  <c r="AC41" i="53"/>
  <c r="AJ41" i="53" s="1"/>
  <c r="AC82" i="53"/>
  <c r="AJ82" i="53" s="1"/>
  <c r="AC85" i="53"/>
  <c r="AJ85" i="53" s="1"/>
  <c r="AC70" i="53"/>
  <c r="AJ70" i="53" s="1"/>
  <c r="AC37" i="53"/>
  <c r="AJ37" i="53" s="1"/>
  <c r="AC60" i="53"/>
  <c r="AJ60" i="53" s="1"/>
  <c r="AC43" i="53"/>
  <c r="AC40" i="53"/>
  <c r="AJ40" i="53" s="1"/>
  <c r="AC92" i="53"/>
  <c r="AJ92" i="53" s="1"/>
  <c r="AC77" i="53"/>
  <c r="AC50" i="53"/>
  <c r="AC53" i="53"/>
  <c r="AC89" i="53"/>
  <c r="AJ89" i="53" s="1"/>
  <c r="AC57" i="53"/>
  <c r="AJ57" i="53" s="1"/>
  <c r="AC67" i="53"/>
  <c r="AC47" i="53"/>
  <c r="AC32" i="53"/>
  <c r="AC26" i="53"/>
  <c r="AJ26" i="53" s="1"/>
  <c r="AF34" i="53"/>
  <c r="AB32" i="53"/>
  <c r="AI32" i="53" s="1"/>
  <c r="AA36" i="53"/>
  <c r="AG39" i="53"/>
  <c r="AG63" i="53"/>
  <c r="AB65" i="53"/>
  <c r="AI65" i="53" s="1"/>
  <c r="AB68" i="53"/>
  <c r="AI68" i="53" s="1"/>
  <c r="AG73" i="53"/>
  <c r="AC75" i="53"/>
  <c r="AJ75" i="53" s="1"/>
  <c r="AC81" i="53"/>
  <c r="AJ81" i="53" s="1"/>
  <c r="V102" i="53"/>
  <c r="Q102" i="53"/>
  <c r="AG56" i="53"/>
  <c r="T102" i="53"/>
  <c r="AB36" i="53"/>
  <c r="AG41" i="53"/>
  <c r="AB52" i="53"/>
  <c r="AI52" i="53" s="1"/>
  <c r="AJ56" i="53"/>
  <c r="AB97" i="53"/>
  <c r="AG83" i="53"/>
  <c r="AG38" i="53"/>
  <c r="AG64" i="53"/>
  <c r="H102" i="53"/>
  <c r="AN100" i="55" l="1"/>
  <c r="AK100" i="55"/>
  <c r="AN36" i="55"/>
  <c r="AK36" i="55"/>
  <c r="AN97" i="55"/>
  <c r="AK97" i="55"/>
  <c r="AN61" i="55"/>
  <c r="AK61" i="55"/>
  <c r="AG84" i="55"/>
  <c r="AK81" i="55"/>
  <c r="AN81" i="55"/>
  <c r="AG39" i="55"/>
  <c r="AG93" i="55"/>
  <c r="AN38" i="55"/>
  <c r="AK38" i="55"/>
  <c r="AN71" i="55"/>
  <c r="AK71" i="55"/>
  <c r="AK49" i="55"/>
  <c r="AN49" i="55"/>
  <c r="AC54" i="55"/>
  <c r="AJ54" i="55" s="1"/>
  <c r="AJ47" i="55"/>
  <c r="AA79" i="55"/>
  <c r="AH56" i="55"/>
  <c r="AG65" i="55"/>
  <c r="Z95" i="55"/>
  <c r="Z102" i="55" s="1"/>
  <c r="AB54" i="55"/>
  <c r="AI54" i="55" s="1"/>
  <c r="AI47" i="55"/>
  <c r="AN98" i="55"/>
  <c r="AK98" i="55"/>
  <c r="AN59" i="55"/>
  <c r="AK59" i="55"/>
  <c r="AN85" i="55"/>
  <c r="AK85" i="55"/>
  <c r="AF102" i="55"/>
  <c r="AM102" i="55" s="1"/>
  <c r="AM34" i="55"/>
  <c r="AK48" i="55"/>
  <c r="AN48" i="55"/>
  <c r="AJ66" i="55"/>
  <c r="AG66" i="55"/>
  <c r="AJ72" i="55"/>
  <c r="AG72" i="55"/>
  <c r="AN50" i="55"/>
  <c r="AK50" i="55"/>
  <c r="AH80" i="55"/>
  <c r="AA87" i="55"/>
  <c r="AH87" i="55" s="1"/>
  <c r="AN92" i="55"/>
  <c r="AK92" i="55"/>
  <c r="AG47" i="55"/>
  <c r="AK91" i="55"/>
  <c r="AN91" i="55"/>
  <c r="AG64" i="55"/>
  <c r="AN56" i="55"/>
  <c r="AK56" i="55"/>
  <c r="AG27" i="55"/>
  <c r="AN58" i="55"/>
  <c r="AK58" i="55"/>
  <c r="AK25" i="55"/>
  <c r="AN25" i="55"/>
  <c r="AC34" i="55"/>
  <c r="AG74" i="55"/>
  <c r="AG29" i="55"/>
  <c r="AG34" i="55" s="1"/>
  <c r="AB34" i="55"/>
  <c r="AC45" i="55"/>
  <c r="AJ45" i="55" s="1"/>
  <c r="AJ37" i="55"/>
  <c r="AG37" i="55"/>
  <c r="AB79" i="55"/>
  <c r="AC79" i="55"/>
  <c r="AG82" i="55"/>
  <c r="AJ28" i="55"/>
  <c r="AG28" i="55"/>
  <c r="AN83" i="55"/>
  <c r="AK83" i="55"/>
  <c r="AJ89" i="55"/>
  <c r="AG89" i="55"/>
  <c r="AB87" i="55"/>
  <c r="AI87" i="55" s="1"/>
  <c r="AI80" i="55"/>
  <c r="AA34" i="55"/>
  <c r="AH34" i="55" s="1"/>
  <c r="AH25" i="55"/>
  <c r="AG62" i="55"/>
  <c r="AB101" i="55"/>
  <c r="AI101" i="55" s="1"/>
  <c r="AI100" i="55"/>
  <c r="AG51" i="55"/>
  <c r="AG60" i="55"/>
  <c r="AG73" i="55"/>
  <c r="AG33" i="55"/>
  <c r="AG75" i="55"/>
  <c r="AG52" i="55"/>
  <c r="AN76" i="55"/>
  <c r="AK76" i="55"/>
  <c r="AG43" i="55"/>
  <c r="AB45" i="55"/>
  <c r="AI45" i="55" s="1"/>
  <c r="AI46" i="55" s="1"/>
  <c r="AG57" i="55"/>
  <c r="AG32" i="55"/>
  <c r="AN30" i="55"/>
  <c r="AK30" i="55"/>
  <c r="AN53" i="55"/>
  <c r="AK53" i="55"/>
  <c r="AN63" i="55"/>
  <c r="AK63" i="55"/>
  <c r="AK90" i="55"/>
  <c r="AN90" i="55"/>
  <c r="AJ94" i="55"/>
  <c r="AG94" i="55"/>
  <c r="AF95" i="55"/>
  <c r="AM79" i="55"/>
  <c r="AN41" i="55"/>
  <c r="AP43" i="55"/>
  <c r="AK41" i="55"/>
  <c r="AG80" i="55"/>
  <c r="AJ80" i="55"/>
  <c r="AC87" i="55"/>
  <c r="AJ87" i="55" s="1"/>
  <c r="AA45" i="55"/>
  <c r="AH45" i="55" s="1"/>
  <c r="AH36" i="55"/>
  <c r="AL34" i="55"/>
  <c r="AC101" i="55"/>
  <c r="AJ100" i="55"/>
  <c r="AG31" i="55"/>
  <c r="AE95" i="55"/>
  <c r="AL95" i="55" s="1"/>
  <c r="AL79" i="55"/>
  <c r="AG86" i="55"/>
  <c r="AG42" i="55"/>
  <c r="AG26" i="55"/>
  <c r="AD102" i="55"/>
  <c r="AG70" i="55"/>
  <c r="AG68" i="55"/>
  <c r="AJ69" i="55"/>
  <c r="AG69" i="55"/>
  <c r="AI77" i="55"/>
  <c r="AG77" i="55"/>
  <c r="AG44" i="55"/>
  <c r="AG40" i="55"/>
  <c r="AG67" i="55"/>
  <c r="AP43" i="53"/>
  <c r="AK41" i="53"/>
  <c r="AN41" i="53"/>
  <c r="AL79" i="53"/>
  <c r="AE95" i="53"/>
  <c r="AL95" i="53" s="1"/>
  <c r="AK56" i="53"/>
  <c r="AN56" i="53"/>
  <c r="AJ77" i="53"/>
  <c r="AG77" i="53"/>
  <c r="AN93" i="53"/>
  <c r="AK93" i="53"/>
  <c r="AN60" i="53"/>
  <c r="AK60" i="53"/>
  <c r="AJ43" i="53"/>
  <c r="AG43" i="53"/>
  <c r="AK91" i="53"/>
  <c r="AN91" i="53"/>
  <c r="AK66" i="53"/>
  <c r="AN66" i="53"/>
  <c r="AK28" i="53"/>
  <c r="AN28" i="53"/>
  <c r="AN49" i="53"/>
  <c r="AK49" i="53"/>
  <c r="AL34" i="53"/>
  <c r="AN72" i="53"/>
  <c r="AK72" i="53"/>
  <c r="AK44" i="53"/>
  <c r="AN44" i="53"/>
  <c r="AN57" i="53"/>
  <c r="AK57" i="53"/>
  <c r="AB45" i="53"/>
  <c r="AI45" i="53" s="1"/>
  <c r="AI46" i="53" s="1"/>
  <c r="AI36" i="53"/>
  <c r="AG89" i="53"/>
  <c r="AG50" i="53"/>
  <c r="AJ50" i="53"/>
  <c r="AN59" i="53"/>
  <c r="AK59" i="53"/>
  <c r="AN62" i="53"/>
  <c r="AK62" i="53"/>
  <c r="AK68" i="53"/>
  <c r="AN68" i="53"/>
  <c r="AN74" i="53"/>
  <c r="AK74" i="53"/>
  <c r="AN76" i="53"/>
  <c r="AK76" i="53"/>
  <c r="AN27" i="53"/>
  <c r="AK27" i="53"/>
  <c r="AC79" i="53"/>
  <c r="AN90" i="53"/>
  <c r="AK90" i="53"/>
  <c r="AN70" i="53"/>
  <c r="AK70" i="53"/>
  <c r="AN26" i="53"/>
  <c r="AK26" i="53"/>
  <c r="AN42" i="53"/>
  <c r="AP42" i="53" s="1"/>
  <c r="AK42" i="53"/>
  <c r="AN94" i="53"/>
  <c r="AK94" i="53"/>
  <c r="AN39" i="53"/>
  <c r="AK39" i="53"/>
  <c r="Z95" i="53"/>
  <c r="Z102" i="53" s="1"/>
  <c r="AA45" i="53"/>
  <c r="AH45" i="53" s="1"/>
  <c r="AH36" i="53"/>
  <c r="AN52" i="53"/>
  <c r="AK52" i="53"/>
  <c r="AG92" i="53"/>
  <c r="AG101" i="53"/>
  <c r="AM101" i="53"/>
  <c r="AK64" i="53"/>
  <c r="AN64" i="53"/>
  <c r="AG30" i="53"/>
  <c r="AN31" i="53"/>
  <c r="AK31" i="53"/>
  <c r="AH47" i="53"/>
  <c r="AA54" i="53"/>
  <c r="AH54" i="53" s="1"/>
  <c r="AC45" i="53"/>
  <c r="AJ45" i="53" s="1"/>
  <c r="AK38" i="53"/>
  <c r="AN38" i="53"/>
  <c r="AF102" i="53"/>
  <c r="AM102" i="53" s="1"/>
  <c r="AM34" i="53"/>
  <c r="AG40" i="53"/>
  <c r="AG81" i="53"/>
  <c r="AK83" i="53"/>
  <c r="AN83" i="53"/>
  <c r="AB79" i="53"/>
  <c r="AI56" i="53"/>
  <c r="AA101" i="53"/>
  <c r="AH100" i="53"/>
  <c r="AG36" i="53"/>
  <c r="AG100" i="53"/>
  <c r="AG65" i="53"/>
  <c r="AG32" i="53"/>
  <c r="AJ32" i="53"/>
  <c r="AG71" i="53"/>
  <c r="AG58" i="53"/>
  <c r="AG29" i="53"/>
  <c r="AN69" i="53"/>
  <c r="AK69" i="53"/>
  <c r="AN80" i="53"/>
  <c r="AK80" i="53"/>
  <c r="AB98" i="53"/>
  <c r="AI97" i="53"/>
  <c r="AJ47" i="53"/>
  <c r="AG47" i="53"/>
  <c r="AC54" i="53"/>
  <c r="AJ54" i="53" s="1"/>
  <c r="AK61" i="53"/>
  <c r="AN61" i="53"/>
  <c r="AN84" i="53"/>
  <c r="AK84" i="53"/>
  <c r="AJ67" i="53"/>
  <c r="AG67" i="53"/>
  <c r="AF95" i="53"/>
  <c r="AM79" i="53"/>
  <c r="AB34" i="53"/>
  <c r="AK37" i="53"/>
  <c r="AN37" i="53"/>
  <c r="AJ53" i="53"/>
  <c r="AG53" i="53"/>
  <c r="AN85" i="53"/>
  <c r="AK85" i="53"/>
  <c r="AN86" i="53"/>
  <c r="AK86" i="53"/>
  <c r="AK51" i="53"/>
  <c r="AN51" i="53"/>
  <c r="AI47" i="53"/>
  <c r="AB54" i="53"/>
  <c r="AI54" i="53" s="1"/>
  <c r="AN73" i="53"/>
  <c r="AK73" i="53"/>
  <c r="AN97" i="53"/>
  <c r="AK97" i="53"/>
  <c r="AG82" i="53"/>
  <c r="AH79" i="53"/>
  <c r="AA95" i="53"/>
  <c r="AH95" i="53" s="1"/>
  <c r="AN33" i="53"/>
  <c r="AK33" i="53"/>
  <c r="AG75" i="53"/>
  <c r="AN63" i="53"/>
  <c r="AK63" i="53"/>
  <c r="AJ34" i="53"/>
  <c r="AN48" i="53"/>
  <c r="AK48" i="53"/>
  <c r="AN34" i="55" l="1"/>
  <c r="AK34" i="55"/>
  <c r="AN74" i="55"/>
  <c r="AK74" i="55"/>
  <c r="AJ34" i="55"/>
  <c r="AJ101" i="55"/>
  <c r="AG101" i="55"/>
  <c r="AK39" i="55"/>
  <c r="AN39" i="55"/>
  <c r="AN67" i="55"/>
  <c r="AK67" i="55"/>
  <c r="AK57" i="55"/>
  <c r="AN57" i="55"/>
  <c r="AN40" i="55"/>
  <c r="AK40" i="55"/>
  <c r="AK80" i="55"/>
  <c r="AG87" i="55"/>
  <c r="AN80" i="55"/>
  <c r="AK28" i="55"/>
  <c r="AN28" i="55"/>
  <c r="AN77" i="55"/>
  <c r="AK77" i="55"/>
  <c r="AN82" i="55"/>
  <c r="AK82" i="55"/>
  <c r="AN69" i="55"/>
  <c r="AK69" i="55"/>
  <c r="AN52" i="55"/>
  <c r="AK52" i="55"/>
  <c r="AG45" i="55"/>
  <c r="AN29" i="55"/>
  <c r="AK29" i="55"/>
  <c r="AK72" i="55"/>
  <c r="AN72" i="55"/>
  <c r="AK31" i="55"/>
  <c r="AN31" i="55"/>
  <c r="AN62" i="55"/>
  <c r="AK62" i="55"/>
  <c r="AK66" i="55"/>
  <c r="AN66" i="55"/>
  <c r="AE102" i="55"/>
  <c r="AK89" i="55"/>
  <c r="AN89" i="55"/>
  <c r="AK93" i="55"/>
  <c r="AN93" i="55"/>
  <c r="AK32" i="55"/>
  <c r="AN32" i="55"/>
  <c r="AN27" i="55"/>
  <c r="AK27" i="55"/>
  <c r="AK44" i="55"/>
  <c r="AN44" i="55"/>
  <c r="AN43" i="55"/>
  <c r="AK43" i="55"/>
  <c r="AN64" i="55"/>
  <c r="AK64" i="55"/>
  <c r="AK84" i="55"/>
  <c r="AN84" i="55"/>
  <c r="AC95" i="55"/>
  <c r="AJ95" i="55" s="1"/>
  <c r="AJ79" i="55"/>
  <c r="AK75" i="55"/>
  <c r="AN75" i="55"/>
  <c r="AG54" i="55"/>
  <c r="AK47" i="55"/>
  <c r="AN47" i="55"/>
  <c r="AK68" i="55"/>
  <c r="AN68" i="55"/>
  <c r="AG79" i="55"/>
  <c r="AN70" i="55"/>
  <c r="AK70" i="55"/>
  <c r="AM95" i="55"/>
  <c r="AN33" i="55"/>
  <c r="AK33" i="55"/>
  <c r="AI79" i="55"/>
  <c r="AB95" i="55"/>
  <c r="AI95" i="55" s="1"/>
  <c r="AK65" i="55"/>
  <c r="AN65" i="55"/>
  <c r="AN94" i="55"/>
  <c r="AK94" i="55"/>
  <c r="AN73" i="55"/>
  <c r="AK73" i="55"/>
  <c r="AN37" i="55"/>
  <c r="AK37" i="55"/>
  <c r="AK26" i="55"/>
  <c r="AN26" i="55"/>
  <c r="AK60" i="55"/>
  <c r="AN60" i="55"/>
  <c r="AA95" i="55"/>
  <c r="AH79" i="55"/>
  <c r="AK42" i="55"/>
  <c r="AN42" i="55"/>
  <c r="AP42" i="55" s="1"/>
  <c r="AN51" i="55"/>
  <c r="AK51" i="55"/>
  <c r="AN86" i="55"/>
  <c r="AK86" i="55"/>
  <c r="AI34" i="55"/>
  <c r="AB102" i="55"/>
  <c r="AI102" i="55" s="1"/>
  <c r="AI104" i="55" s="1"/>
  <c r="AN81" i="53"/>
  <c r="AK81" i="53"/>
  <c r="AN40" i="53"/>
  <c r="AK40" i="53"/>
  <c r="AG87" i="53"/>
  <c r="AI34" i="53"/>
  <c r="AK47" i="53"/>
  <c r="AN47" i="53"/>
  <c r="AG54" i="53"/>
  <c r="AI98" i="53"/>
  <c r="AG98" i="53"/>
  <c r="AC102" i="53"/>
  <c r="AJ102" i="53" s="1"/>
  <c r="AN29" i="53"/>
  <c r="AK29" i="53"/>
  <c r="AN75" i="53"/>
  <c r="AK75" i="53"/>
  <c r="AN71" i="53"/>
  <c r="AK71" i="53"/>
  <c r="AM95" i="53"/>
  <c r="AN65" i="53"/>
  <c r="AK65" i="53"/>
  <c r="AK82" i="53"/>
  <c r="AN82" i="53"/>
  <c r="AE102" i="53"/>
  <c r="AG45" i="53"/>
  <c r="AN36" i="53"/>
  <c r="AK36" i="53"/>
  <c r="AK92" i="53"/>
  <c r="AN92" i="53"/>
  <c r="AI79" i="53"/>
  <c r="AB95" i="53"/>
  <c r="AI95" i="53" s="1"/>
  <c r="AN43" i="53"/>
  <c r="AK43" i="53"/>
  <c r="AN50" i="53"/>
  <c r="AK50" i="53"/>
  <c r="AK53" i="53"/>
  <c r="AN53" i="53"/>
  <c r="AK89" i="53"/>
  <c r="AN89" i="53"/>
  <c r="AK77" i="53"/>
  <c r="AN77" i="53"/>
  <c r="AK58" i="53"/>
  <c r="AN58" i="53"/>
  <c r="AN30" i="53"/>
  <c r="AK30" i="53"/>
  <c r="AG79" i="53"/>
  <c r="AK32" i="53"/>
  <c r="AN32" i="53"/>
  <c r="AJ79" i="53"/>
  <c r="AC95" i="53"/>
  <c r="AJ95" i="53" s="1"/>
  <c r="AN67" i="53"/>
  <c r="AK67" i="53"/>
  <c r="AK100" i="53"/>
  <c r="AN100" i="53"/>
  <c r="AG34" i="53"/>
  <c r="AN101" i="53"/>
  <c r="AP46" i="53" s="1"/>
  <c r="AK101" i="53"/>
  <c r="AA102" i="53"/>
  <c r="AH101" i="53"/>
  <c r="AL102" i="55" l="1"/>
  <c r="AE104" i="55"/>
  <c r="AN54" i="55"/>
  <c r="AK54" i="55"/>
  <c r="AN87" i="55"/>
  <c r="AK87" i="55"/>
  <c r="AG95" i="55"/>
  <c r="AN45" i="55"/>
  <c r="AP45" i="55" s="1"/>
  <c r="AK45" i="55"/>
  <c r="AN101" i="55"/>
  <c r="AP46" i="55" s="1"/>
  <c r="AK101" i="55"/>
  <c r="AC102" i="55"/>
  <c r="AJ102" i="55" s="1"/>
  <c r="AN79" i="55"/>
  <c r="AK79" i="55"/>
  <c r="AH95" i="55"/>
  <c r="AA102" i="55"/>
  <c r="AK45" i="53"/>
  <c r="AN45" i="53"/>
  <c r="AP45" i="53" s="1"/>
  <c r="AK34" i="53"/>
  <c r="AN34" i="53"/>
  <c r="AN98" i="53"/>
  <c r="AK98" i="53"/>
  <c r="AK54" i="53"/>
  <c r="AN54" i="53"/>
  <c r="AB102" i="53"/>
  <c r="AI102" i="53" s="1"/>
  <c r="AI104" i="53" s="1"/>
  <c r="AK87" i="53"/>
  <c r="AN87" i="53"/>
  <c r="AK79" i="53"/>
  <c r="AN79" i="53"/>
  <c r="AE104" i="53"/>
  <c r="AL102" i="53"/>
  <c r="AG95" i="53"/>
  <c r="AN95" i="55" l="1"/>
  <c r="AP47" i="55" s="1"/>
  <c r="AK95" i="55"/>
  <c r="AG102" i="55"/>
  <c r="AK95" i="53"/>
  <c r="AN95" i="53"/>
  <c r="AP47" i="53" s="1"/>
  <c r="AG102" i="53"/>
  <c r="AK102" i="55" l="1"/>
  <c r="AN102" i="55"/>
  <c r="AN102" i="53"/>
  <c r="AK102" i="53"/>
  <c r="AB162" i="17" l="1" a="1"/>
  <c r="AB162" i="17" s="1"/>
  <c r="AB150" i="17" a="1"/>
  <c r="AB150" i="17" s="1"/>
  <c r="AB142" i="17" a="1"/>
  <c r="AB142" i="17" s="1"/>
  <c r="AB132" i="17" a="1"/>
  <c r="AB132" i="17" s="1"/>
  <c r="AB124" i="17" a="1"/>
  <c r="AB124" i="17" s="1"/>
  <c r="AB111" i="17" a="1"/>
  <c r="AB111" i="17" s="1"/>
  <c r="AB98" i="17" a="1"/>
  <c r="AB98" i="17" s="1"/>
  <c r="AB85" i="17" a="1"/>
  <c r="AB85" i="17" s="1"/>
  <c r="AB72" i="17" a="1"/>
  <c r="AB72" i="17" s="1"/>
  <c r="AB59" i="17" a="1"/>
  <c r="AB59" i="17" s="1"/>
  <c r="AB51" i="17" a="1"/>
  <c r="AB51" i="17" s="1"/>
  <c r="AB36" i="17" a="1"/>
  <c r="AB36" i="17" s="1"/>
  <c r="AB27" i="17" a="1"/>
  <c r="AB27" i="17" s="1"/>
  <c r="AB18" i="17" a="1"/>
  <c r="AB18" i="17" s="1"/>
  <c r="V16" i="22" l="1"/>
  <c r="I50" i="22" l="1"/>
  <c r="I48" i="22"/>
  <c r="J52" i="22"/>
  <c r="I52" i="22"/>
  <c r="H52" i="22"/>
  <c r="D34" i="13" l="1"/>
  <c r="D32" i="13"/>
  <c r="D23" i="18" l="1"/>
  <c r="D50" i="17"/>
  <c r="H50" i="17" l="1"/>
  <c r="H23" i="18"/>
  <c r="AC9" i="13" l="1"/>
  <c r="F70" i="22" l="1"/>
  <c r="E70" i="22"/>
  <c r="F47" i="18" l="1"/>
  <c r="F48" i="18"/>
  <c r="F46" i="18"/>
  <c r="E47" i="18"/>
  <c r="D44" i="75" s="1"/>
  <c r="E48" i="18"/>
  <c r="D45" i="75" s="1"/>
  <c r="E46" i="18"/>
  <c r="D43" i="75" s="1"/>
  <c r="D47" i="18"/>
  <c r="D48" i="18"/>
  <c r="D46" i="18"/>
  <c r="K8" i="13"/>
  <c r="R48" i="18" l="1"/>
  <c r="J48" i="18"/>
  <c r="R47" i="18"/>
  <c r="J47" i="18"/>
  <c r="R46" i="18"/>
  <c r="J46" i="18"/>
  <c r="H46" i="18"/>
  <c r="H48" i="18"/>
  <c r="H47" i="18"/>
  <c r="AG48" i="18" l="1"/>
  <c r="AJ48" i="18" s="1"/>
  <c r="N48" i="18"/>
  <c r="P48" i="18" s="1"/>
  <c r="AG46" i="18"/>
  <c r="AJ46" i="18" s="1"/>
  <c r="N46" i="18"/>
  <c r="P46" i="18" s="1"/>
  <c r="AG47" i="18"/>
  <c r="AJ47" i="18" s="1"/>
  <c r="N47" i="18"/>
  <c r="P47" i="18" s="1"/>
  <c r="G6" i="16"/>
  <c r="B66" i="31"/>
  <c r="B64" i="31"/>
  <c r="B57" i="31"/>
  <c r="B51" i="31"/>
  <c r="B49" i="31"/>
  <c r="B47" i="31"/>
  <c r="B34" i="31"/>
  <c r="B13" i="31"/>
  <c r="B8" i="31"/>
  <c r="B7" i="31"/>
  <c r="J46" i="22"/>
  <c r="I46" i="22"/>
  <c r="H46" i="22"/>
  <c r="D46" i="22"/>
  <c r="E141" i="17"/>
  <c r="E140" i="17" l="1"/>
  <c r="E139" i="17"/>
  <c r="E33" i="22"/>
  <c r="B9" i="31"/>
  <c r="B10" i="31" s="1"/>
  <c r="D138" i="70"/>
  <c r="E117" i="29"/>
  <c r="D136" i="70" l="1"/>
  <c r="D137" i="70"/>
  <c r="X139" i="17"/>
  <c r="X140" i="17"/>
  <c r="B11" i="31"/>
  <c r="B12" i="31" s="1"/>
  <c r="B86" i="29"/>
  <c r="B85" i="29"/>
  <c r="B83" i="29"/>
  <c r="B82" i="29"/>
  <c r="B81" i="29"/>
  <c r="B80" i="29"/>
  <c r="B77" i="29"/>
  <c r="B76" i="29"/>
  <c r="B75" i="29"/>
  <c r="B74" i="29"/>
  <c r="B73" i="29"/>
  <c r="B72" i="29"/>
  <c r="B71" i="29"/>
  <c r="B70" i="29"/>
  <c r="B69" i="29"/>
  <c r="B68" i="29"/>
  <c r="B67" i="29"/>
  <c r="B66" i="29"/>
  <c r="B65" i="29"/>
  <c r="B64" i="29"/>
  <c r="B63" i="29"/>
  <c r="B62" i="29"/>
  <c r="B61" i="29"/>
  <c r="B60" i="29"/>
  <c r="B59" i="29"/>
  <c r="B58" i="29"/>
  <c r="B57" i="29"/>
  <c r="B56" i="29"/>
  <c r="D21" i="29" a="1"/>
  <c r="D21" i="29" s="1"/>
  <c r="B14" i="31" l="1"/>
  <c r="B15" i="31" s="1"/>
  <c r="T87" i="13"/>
  <c r="T69" i="13"/>
  <c r="T68" i="13"/>
  <c r="T41" i="13"/>
  <c r="T29" i="13"/>
  <c r="T18" i="13"/>
  <c r="D29" i="18" s="1"/>
  <c r="T39" i="13"/>
  <c r="T67" i="13"/>
  <c r="T66" i="13"/>
  <c r="T38" i="13"/>
  <c r="T31" i="13"/>
  <c r="T16" i="13"/>
  <c r="D27" i="18" s="1"/>
  <c r="T65" i="13"/>
  <c r="T37" i="13"/>
  <c r="T26" i="13"/>
  <c r="T22" i="13"/>
  <c r="D33" i="18" s="1"/>
  <c r="T30" i="13"/>
  <c r="T93" i="13"/>
  <c r="T64" i="13"/>
  <c r="T36" i="13"/>
  <c r="T19" i="13"/>
  <c r="D30" i="18" s="1"/>
  <c r="T17" i="13"/>
  <c r="D28" i="18" s="1"/>
  <c r="T44" i="13"/>
  <c r="T35" i="13"/>
  <c r="T20" i="13"/>
  <c r="D31" i="18" s="1"/>
  <c r="T43" i="13"/>
  <c r="T27" i="13"/>
  <c r="T21" i="13"/>
  <c r="D32" i="18" s="1"/>
  <c r="T42" i="13"/>
  <c r="T28" i="13"/>
  <c r="T71" i="13"/>
  <c r="T90" i="13"/>
  <c r="M24" i="13"/>
  <c r="M20" i="13"/>
  <c r="M22" i="13"/>
  <c r="D92" i="17" s="1"/>
  <c r="N24" i="13"/>
  <c r="D26" i="13"/>
  <c r="M28" i="13"/>
  <c r="N22" i="13"/>
  <c r="M18" i="13"/>
  <c r="H26" i="13"/>
  <c r="N26" i="13"/>
  <c r="I26" i="13"/>
  <c r="M26" i="13"/>
  <c r="H30" i="13"/>
  <c r="K30" i="13" s="1"/>
  <c r="D30" i="13"/>
  <c r="T79" i="13"/>
  <c r="D20" i="13"/>
  <c r="D28" i="13"/>
  <c r="H28" i="13"/>
  <c r="D42" i="18" l="1"/>
  <c r="D40" i="18"/>
  <c r="D41" i="18"/>
  <c r="D37" i="18"/>
  <c r="F18" i="29"/>
  <c r="K26" i="13"/>
  <c r="B16" i="31"/>
  <c r="B17" i="31" s="1"/>
  <c r="H36" i="13"/>
  <c r="K36" i="13" s="1"/>
  <c r="V27" i="13"/>
  <c r="V42" i="13"/>
  <c r="F14" i="13"/>
  <c r="T49" i="13"/>
  <c r="T82" i="13"/>
  <c r="T76" i="13"/>
  <c r="T74" i="13"/>
  <c r="T84" i="13"/>
  <c r="T47" i="13"/>
  <c r="V47" i="13" s="1"/>
  <c r="V35" i="13"/>
  <c r="J32" i="13"/>
  <c r="K32" i="13" s="1"/>
  <c r="V26" i="13"/>
  <c r="V38" i="13"/>
  <c r="V44" i="13"/>
  <c r="V21" i="13"/>
  <c r="J32" i="18" s="1"/>
  <c r="V19" i="13"/>
  <c r="J30" i="18" s="1"/>
  <c r="V29" i="13"/>
  <c r="V22" i="13"/>
  <c r="J33" i="18" s="1"/>
  <c r="V41" i="13"/>
  <c r="V30" i="13"/>
  <c r="H34" i="13"/>
  <c r="K34" i="13" s="1"/>
  <c r="V39" i="13"/>
  <c r="V36" i="13"/>
  <c r="V17" i="13"/>
  <c r="J28" i="18" s="1"/>
  <c r="V43" i="13"/>
  <c r="V31" i="13"/>
  <c r="V16" i="13"/>
  <c r="J27" i="18" s="1"/>
  <c r="V20" i="13"/>
  <c r="J31" i="18" s="1"/>
  <c r="V37" i="13"/>
  <c r="V28" i="13"/>
  <c r="V18" i="13"/>
  <c r="J29" i="18" s="1"/>
  <c r="E14" i="13"/>
  <c r="D12" i="13"/>
  <c r="D18" i="13"/>
  <c r="I28" i="13"/>
  <c r="K28" i="13" s="1"/>
  <c r="D24" i="13"/>
  <c r="D22" i="13"/>
  <c r="D14" i="13"/>
  <c r="D36" i="13"/>
  <c r="D10" i="13"/>
  <c r="D6" i="13"/>
  <c r="T5" i="13"/>
  <c r="J37" i="18" l="1"/>
  <c r="J40" i="18"/>
  <c r="AG40" i="18" s="1"/>
  <c r="J54" i="18"/>
  <c r="AG54" i="18" s="1"/>
  <c r="J41" i="18"/>
  <c r="J60" i="18"/>
  <c r="AG60" i="18" s="1"/>
  <c r="J59" i="18"/>
  <c r="AG59" i="18" s="1"/>
  <c r="J53" i="18"/>
  <c r="AG53" i="18" s="1"/>
  <c r="J38" i="18"/>
  <c r="AG38" i="18" s="1"/>
  <c r="J56" i="18"/>
  <c r="AG56" i="18" s="1"/>
  <c r="J42" i="18"/>
  <c r="AG42" i="18" s="1"/>
  <c r="J55" i="18"/>
  <c r="AG55" i="18" s="1"/>
  <c r="AG62" i="18"/>
  <c r="J61" i="18"/>
  <c r="AG61" i="18" s="1"/>
  <c r="J52" i="18"/>
  <c r="AG52" i="18" s="1"/>
  <c r="J39" i="18"/>
  <c r="AG39" i="18" s="1"/>
  <c r="AG37" i="18"/>
  <c r="AG41" i="18"/>
  <c r="D44" i="13"/>
  <c r="J13" i="17" s="1"/>
  <c r="D13" i="17"/>
  <c r="B18" i="31"/>
  <c r="B19" i="31" s="1"/>
  <c r="H16" i="13"/>
  <c r="K16" i="13" s="1"/>
  <c r="H12" i="13"/>
  <c r="I24" i="13"/>
  <c r="H10" i="13"/>
  <c r="H6" i="13"/>
  <c r="H20" i="13"/>
  <c r="V5" i="13"/>
  <c r="H24" i="13"/>
  <c r="I14" i="13"/>
  <c r="H18" i="13"/>
  <c r="H22" i="13"/>
  <c r="J14" i="13"/>
  <c r="H14" i="13"/>
  <c r="K24" i="13" l="1"/>
  <c r="D46" i="17"/>
  <c r="K14" i="13"/>
  <c r="B20" i="31"/>
  <c r="B21" i="31" s="1"/>
  <c r="I12" i="13"/>
  <c r="K12" i="13" s="1"/>
  <c r="T6" i="13"/>
  <c r="I18" i="13"/>
  <c r="K18" i="13" s="1"/>
  <c r="I20" i="13"/>
  <c r="K20" i="13" s="1"/>
  <c r="I6" i="13"/>
  <c r="I22" i="13"/>
  <c r="K22" i="13" s="1"/>
  <c r="I10" i="13"/>
  <c r="K10" i="13" s="1"/>
  <c r="V6" i="13" l="1"/>
  <c r="V7" i="13" s="1"/>
  <c r="T7" i="13"/>
  <c r="K6" i="13"/>
  <c r="B22" i="31"/>
  <c r="B23" i="31" s="1"/>
  <c r="B24" i="31" s="1"/>
  <c r="B25" i="31" l="1"/>
  <c r="AE104" i="29" l="1"/>
  <c r="B26" i="31"/>
  <c r="B27" i="31" s="1"/>
  <c r="AI104" i="29"/>
  <c r="B28" i="31" l="1"/>
  <c r="B29" i="31" l="1"/>
  <c r="B30" i="31" s="1"/>
  <c r="B31" i="31" l="1"/>
  <c r="B32" i="31" l="1"/>
  <c r="B33" i="31" s="1"/>
  <c r="J14" i="18"/>
  <c r="AG14" i="18" s="1"/>
  <c r="J15" i="18"/>
  <c r="AG15" i="18" s="1"/>
  <c r="D15" i="18"/>
  <c r="D14" i="18"/>
  <c r="J46" i="13"/>
  <c r="I46" i="13"/>
  <c r="H46" i="13"/>
  <c r="K46" i="13" l="1"/>
  <c r="B35" i="31"/>
  <c r="B36" i="31" s="1"/>
  <c r="J16" i="18"/>
  <c r="AG16" i="18" s="1"/>
  <c r="D16" i="18"/>
  <c r="E32" i="33" l="1"/>
  <c r="E32" i="68"/>
  <c r="B37" i="31"/>
  <c r="E32" i="16"/>
  <c r="D46" i="13"/>
  <c r="E15" i="18"/>
  <c r="E14" i="18"/>
  <c r="D74" i="13"/>
  <c r="D64" i="13"/>
  <c r="AH14" i="18" l="1"/>
  <c r="AJ14" i="18" s="1"/>
  <c r="D11" i="75"/>
  <c r="AH15" i="18"/>
  <c r="AJ15" i="18" s="1"/>
  <c r="D12" i="75"/>
  <c r="B38" i="31"/>
  <c r="B39" i="31" s="1"/>
  <c r="H14" i="18"/>
  <c r="D72" i="13"/>
  <c r="J146" i="17" s="1"/>
  <c r="D146" i="17"/>
  <c r="AJ16" i="18" l="1"/>
  <c r="H15" i="18"/>
  <c r="H16" i="18" s="1"/>
  <c r="AE15" i="18"/>
  <c r="B40" i="31"/>
  <c r="B41" i="31" s="1"/>
  <c r="B42" i="31" s="1"/>
  <c r="F32" i="16" l="1"/>
  <c r="B43" i="31"/>
  <c r="B44" i="31" s="1"/>
  <c r="B45" i="31" s="1"/>
  <c r="D34" i="51" l="1"/>
  <c r="B46" i="31"/>
  <c r="B48" i="31" s="1"/>
  <c r="B50" i="31" s="1"/>
  <c r="H34" i="51" l="1"/>
  <c r="B52" i="31"/>
  <c r="P34" i="51" l="1"/>
  <c r="B53" i="31"/>
  <c r="B54" i="31" l="1"/>
  <c r="B55" i="31" s="1"/>
  <c r="AD9" i="22"/>
  <c r="B56" i="31" l="1"/>
  <c r="B58" i="31" s="1"/>
  <c r="F133" i="18"/>
  <c r="F128" i="18"/>
  <c r="F123" i="18"/>
  <c r="F115" i="18"/>
  <c r="F118" i="18"/>
  <c r="F110" i="18"/>
  <c r="F101" i="18"/>
  <c r="F104" i="18"/>
  <c r="F96" i="18"/>
  <c r="F87" i="18"/>
  <c r="F88" i="18"/>
  <c r="F89" i="18"/>
  <c r="F90" i="18"/>
  <c r="F91" i="18"/>
  <c r="F92" i="18"/>
  <c r="F73" i="18"/>
  <c r="F74" i="18"/>
  <c r="F75" i="18"/>
  <c r="F76" i="18"/>
  <c r="F77" i="18"/>
  <c r="F78" i="18"/>
  <c r="F79" i="18"/>
  <c r="F80" i="18"/>
  <c r="F67" i="18"/>
  <c r="F70" i="18"/>
  <c r="F59" i="18"/>
  <c r="F60" i="18"/>
  <c r="F61" i="18"/>
  <c r="F62" i="18"/>
  <c r="F52" i="18"/>
  <c r="F53" i="18"/>
  <c r="F54" i="18"/>
  <c r="F55" i="18"/>
  <c r="F56" i="18"/>
  <c r="F37" i="18"/>
  <c r="F38" i="18"/>
  <c r="F39" i="18"/>
  <c r="F40" i="18"/>
  <c r="F41" i="18"/>
  <c r="F42" i="18"/>
  <c r="AG27" i="18"/>
  <c r="F28" i="18"/>
  <c r="F29" i="18"/>
  <c r="F30" i="18"/>
  <c r="F31" i="18"/>
  <c r="F32" i="18"/>
  <c r="F33" i="18"/>
  <c r="F27" i="18"/>
  <c r="B59" i="31" l="1"/>
  <c r="D73" i="18"/>
  <c r="R73" i="18" s="1"/>
  <c r="V49" i="13"/>
  <c r="J70" i="18" s="1"/>
  <c r="AG70" i="18" s="1"/>
  <c r="AG30" i="18"/>
  <c r="AG29" i="18"/>
  <c r="AG28" i="18"/>
  <c r="D67" i="18"/>
  <c r="AG33" i="18"/>
  <c r="AG32" i="18"/>
  <c r="D70" i="18"/>
  <c r="AG31" i="18"/>
  <c r="J67" i="18"/>
  <c r="AG67" i="18" s="1"/>
  <c r="J81" i="18" l="1"/>
  <c r="AG81" i="18" s="1"/>
  <c r="AJ81" i="18" s="1"/>
  <c r="D81" i="18"/>
  <c r="B60" i="31"/>
  <c r="V52" i="13"/>
  <c r="J73" i="18" s="1"/>
  <c r="AG73" i="18" s="1"/>
  <c r="D63" i="18"/>
  <c r="J63" i="18"/>
  <c r="AG63" i="18" s="1"/>
  <c r="AJ63" i="18" s="1"/>
  <c r="AN63" i="18" l="1"/>
  <c r="AN81" i="18"/>
  <c r="B61" i="31"/>
  <c r="B62" i="31" s="1"/>
  <c r="V53" i="13"/>
  <c r="J74" i="18" s="1"/>
  <c r="AG74" i="18" s="1"/>
  <c r="D74" i="18"/>
  <c r="R74" i="18" s="1"/>
  <c r="B63" i="31" l="1"/>
  <c r="B65" i="31" s="1"/>
  <c r="V54" i="13"/>
  <c r="J75" i="18" s="1"/>
  <c r="AG75" i="18" s="1"/>
  <c r="D75" i="18"/>
  <c r="R75" i="18" s="1"/>
  <c r="V55" i="13" l="1"/>
  <c r="J76" i="18" s="1"/>
  <c r="AG76" i="18" s="1"/>
  <c r="D76" i="18"/>
  <c r="R76" i="18" s="1"/>
  <c r="V56" i="13" l="1"/>
  <c r="J77" i="18" s="1"/>
  <c r="AG77" i="18" s="1"/>
  <c r="D77" i="18"/>
  <c r="R77" i="18" s="1"/>
  <c r="V57" i="13" l="1"/>
  <c r="J78" i="18" s="1"/>
  <c r="AG78" i="18" s="1"/>
  <c r="D78" i="18"/>
  <c r="R78" i="18" s="1"/>
  <c r="V58" i="13" l="1"/>
  <c r="J79" i="18" s="1"/>
  <c r="AG79" i="18" s="1"/>
  <c r="D79" i="18"/>
  <c r="R79" i="18" s="1"/>
  <c r="D80" i="18" l="1"/>
  <c r="R80" i="18" s="1"/>
  <c r="V59" i="13"/>
  <c r="J80" i="18" s="1"/>
  <c r="AG80" i="18" s="1"/>
  <c r="V64" i="13" l="1"/>
  <c r="J87" i="18" s="1"/>
  <c r="AG87" i="18" s="1"/>
  <c r="D87" i="18"/>
  <c r="V65" i="13" l="1"/>
  <c r="J88" i="18" s="1"/>
  <c r="AG88" i="18" s="1"/>
  <c r="D88" i="18"/>
  <c r="V66" i="13" l="1"/>
  <c r="J89" i="18" s="1"/>
  <c r="AG89" i="18" s="1"/>
  <c r="D89" i="18"/>
  <c r="V67" i="13" l="1"/>
  <c r="J90" i="18" s="1"/>
  <c r="AG90" i="18" s="1"/>
  <c r="D90" i="18"/>
  <c r="V68" i="13" l="1"/>
  <c r="J91" i="18" s="1"/>
  <c r="AG91" i="18" s="1"/>
  <c r="D91" i="18"/>
  <c r="V69" i="13" l="1"/>
  <c r="J92" i="18" s="1"/>
  <c r="AG92" i="18" s="1"/>
  <c r="D92" i="18"/>
  <c r="V71" i="13" l="1"/>
  <c r="J96" i="18" s="1"/>
  <c r="AG96" i="18" s="1"/>
  <c r="D96" i="18"/>
  <c r="D97" i="18" l="1"/>
  <c r="J97" i="18"/>
  <c r="AG97" i="18" s="1"/>
  <c r="AJ97" i="18" s="1"/>
  <c r="V74" i="13"/>
  <c r="J101" i="18" s="1"/>
  <c r="AG101" i="18" s="1"/>
  <c r="D101" i="18"/>
  <c r="AN97" i="18" l="1"/>
  <c r="D105" i="18"/>
  <c r="J105" i="18"/>
  <c r="AG105" i="18" s="1"/>
  <c r="AJ105" i="18" s="1"/>
  <c r="V76" i="13"/>
  <c r="J104" i="18" s="1"/>
  <c r="AG104" i="18" s="1"/>
  <c r="D104" i="18"/>
  <c r="AN105" i="18" l="1"/>
  <c r="V79" i="13"/>
  <c r="J110" i="18" s="1"/>
  <c r="AG110" i="18" s="1"/>
  <c r="D110" i="18"/>
  <c r="L158" i="17"/>
  <c r="F155" i="70" s="1"/>
  <c r="L157" i="17"/>
  <c r="F154" i="70" s="1"/>
  <c r="L154" i="17"/>
  <c r="F151" i="70" s="1"/>
  <c r="D154" i="17"/>
  <c r="L146" i="17"/>
  <c r="F143" i="70" s="1"/>
  <c r="D141" i="17"/>
  <c r="D136" i="17"/>
  <c r="L136" i="17"/>
  <c r="F133" i="70" s="1"/>
  <c r="D131" i="17"/>
  <c r="D132" i="17" s="1"/>
  <c r="L128" i="17"/>
  <c r="F125" i="70" s="1"/>
  <c r="L119" i="17"/>
  <c r="F116" i="70" s="1"/>
  <c r="L118" i="17"/>
  <c r="F115" i="70" s="1"/>
  <c r="L115" i="17"/>
  <c r="F112" i="70" s="1"/>
  <c r="E110" i="17"/>
  <c r="L106" i="17"/>
  <c r="F103" i="70" s="1"/>
  <c r="L105" i="17"/>
  <c r="F102" i="70" s="1"/>
  <c r="L102" i="17"/>
  <c r="F99" i="70" s="1"/>
  <c r="L93" i="17"/>
  <c r="F90" i="70" s="1"/>
  <c r="L92" i="17"/>
  <c r="F89" i="70" s="1"/>
  <c r="L89" i="17"/>
  <c r="F86" i="70" s="1"/>
  <c r="L80" i="17"/>
  <c r="F77" i="70" s="1"/>
  <c r="L79" i="17"/>
  <c r="F76" i="70" s="1"/>
  <c r="L76" i="17"/>
  <c r="F73" i="70" s="1"/>
  <c r="L66" i="17"/>
  <c r="F63" i="70" s="1"/>
  <c r="L67" i="17"/>
  <c r="F64" i="70" s="1"/>
  <c r="D63" i="17"/>
  <c r="L63" i="17"/>
  <c r="F60" i="70" s="1"/>
  <c r="E58" i="17"/>
  <c r="D58" i="17"/>
  <c r="D59" i="17" s="1"/>
  <c r="D55" i="17"/>
  <c r="L55" i="17"/>
  <c r="F52" i="70" s="1"/>
  <c r="D48" i="17"/>
  <c r="D47" i="17"/>
  <c r="D43" i="17"/>
  <c r="D42" i="17"/>
  <c r="D41" i="17"/>
  <c r="L43" i="17"/>
  <c r="F40" i="70" s="1"/>
  <c r="L42" i="17"/>
  <c r="F39" i="70" s="1"/>
  <c r="L41" i="17"/>
  <c r="F38" i="70" s="1"/>
  <c r="D35" i="17"/>
  <c r="D34" i="17"/>
  <c r="D31" i="17"/>
  <c r="L31" i="17"/>
  <c r="F28" i="70" s="1"/>
  <c r="J70" i="13"/>
  <c r="J141" i="17" s="1"/>
  <c r="I70" i="13"/>
  <c r="J140" i="17" s="1"/>
  <c r="H68" i="13"/>
  <c r="H56" i="13"/>
  <c r="D70" i="13"/>
  <c r="J136" i="17" s="1"/>
  <c r="D58" i="13"/>
  <c r="J76" i="17" s="1"/>
  <c r="D26" i="17"/>
  <c r="D25" i="17"/>
  <c r="D22" i="17"/>
  <c r="L22" i="17"/>
  <c r="F19" i="70" s="1"/>
  <c r="D17" i="17"/>
  <c r="D16" i="17"/>
  <c r="E118" i="18"/>
  <c r="E110" i="18"/>
  <c r="E104" i="18"/>
  <c r="E80" i="18"/>
  <c r="V53" i="22"/>
  <c r="V52" i="22"/>
  <c r="E70" i="18"/>
  <c r="V47" i="22"/>
  <c r="V28" i="22"/>
  <c r="V30" i="22"/>
  <c r="V17" i="22"/>
  <c r="E161" i="17"/>
  <c r="E149" i="17"/>
  <c r="E131" i="17"/>
  <c r="E123" i="17"/>
  <c r="E122" i="17"/>
  <c r="E109" i="17"/>
  <c r="E97" i="17"/>
  <c r="E96" i="17"/>
  <c r="E84" i="17"/>
  <c r="E83" i="17"/>
  <c r="E71" i="17"/>
  <c r="E70" i="17"/>
  <c r="E48" i="17"/>
  <c r="E47" i="17"/>
  <c r="E46" i="17"/>
  <c r="F52" i="22"/>
  <c r="E35" i="17"/>
  <c r="E34" i="17"/>
  <c r="E26" i="17"/>
  <c r="E25" i="17"/>
  <c r="E17" i="17"/>
  <c r="E16" i="17"/>
  <c r="H54" i="13"/>
  <c r="J52" i="13"/>
  <c r="J48" i="17" s="1"/>
  <c r="I52" i="13"/>
  <c r="J47" i="17" s="1"/>
  <c r="H52" i="13"/>
  <c r="I50" i="13"/>
  <c r="J35" i="17" s="1"/>
  <c r="H50" i="13"/>
  <c r="I48" i="13"/>
  <c r="J26" i="17" s="1"/>
  <c r="H48" i="13"/>
  <c r="I44" i="13"/>
  <c r="J17" i="17" s="1"/>
  <c r="H44" i="13"/>
  <c r="D56" i="13"/>
  <c r="J63" i="17" s="1"/>
  <c r="D54" i="13"/>
  <c r="J55" i="17" s="1"/>
  <c r="F52" i="13"/>
  <c r="J43" i="17" s="1"/>
  <c r="E52" i="13"/>
  <c r="J42" i="17" s="1"/>
  <c r="D52" i="13"/>
  <c r="J41" i="17" s="1"/>
  <c r="D50" i="13"/>
  <c r="J31" i="17" s="1"/>
  <c r="D48" i="13"/>
  <c r="J22" i="17" s="1"/>
  <c r="AH110" i="18" l="1"/>
  <c r="AJ110" i="18" s="1"/>
  <c r="D107" i="75"/>
  <c r="H16" i="17"/>
  <c r="AH70" i="18"/>
  <c r="AJ70" i="18" s="1"/>
  <c r="D67" i="75"/>
  <c r="AH118" i="18"/>
  <c r="D115" i="75"/>
  <c r="AH80" i="18"/>
  <c r="AJ80" i="18" s="1"/>
  <c r="D77" i="75"/>
  <c r="AH104" i="18"/>
  <c r="AJ104" i="18" s="1"/>
  <c r="D101" i="75"/>
  <c r="H17" i="17"/>
  <c r="E16" i="68"/>
  <c r="E35" i="33"/>
  <c r="E36" i="33" s="1"/>
  <c r="E35" i="68"/>
  <c r="E36" i="68" s="1"/>
  <c r="D51" i="17"/>
  <c r="E22" i="17"/>
  <c r="J46" i="17"/>
  <c r="K52" i="13"/>
  <c r="J131" i="17"/>
  <c r="J132" i="17" s="1"/>
  <c r="K68" i="13"/>
  <c r="J16" i="17"/>
  <c r="K44" i="13"/>
  <c r="J58" i="17"/>
  <c r="J59" i="17" s="1"/>
  <c r="K54" i="13"/>
  <c r="J25" i="17"/>
  <c r="K48" i="13"/>
  <c r="J34" i="17"/>
  <c r="J36" i="17" s="1"/>
  <c r="K50" i="13"/>
  <c r="J70" i="17"/>
  <c r="E16" i="16"/>
  <c r="E16" i="33"/>
  <c r="D52" i="22"/>
  <c r="E52" i="22"/>
  <c r="V21" i="22"/>
  <c r="E43" i="17"/>
  <c r="V22" i="22"/>
  <c r="V39" i="22"/>
  <c r="V65" i="22"/>
  <c r="V41" i="22"/>
  <c r="V20" i="22"/>
  <c r="V55" i="22"/>
  <c r="V19" i="22"/>
  <c r="V27" i="22"/>
  <c r="V43" i="22"/>
  <c r="V56" i="22"/>
  <c r="V68" i="22"/>
  <c r="V42" i="22"/>
  <c r="V18" i="22"/>
  <c r="V35" i="22"/>
  <c r="V44" i="22"/>
  <c r="V57" i="22"/>
  <c r="V69" i="22"/>
  <c r="V29" i="22"/>
  <c r="V36" i="22"/>
  <c r="V58" i="22"/>
  <c r="V71" i="22"/>
  <c r="V54" i="22"/>
  <c r="V67" i="22"/>
  <c r="V26" i="22"/>
  <c r="V37" i="22"/>
  <c r="V66" i="22"/>
  <c r="V31" i="22"/>
  <c r="V38" i="22"/>
  <c r="V64" i="22"/>
  <c r="E39" i="18"/>
  <c r="E28" i="18"/>
  <c r="E67" i="18"/>
  <c r="E158" i="17"/>
  <c r="H70" i="18"/>
  <c r="E101" i="18"/>
  <c r="E41" i="18"/>
  <c r="E74" i="18"/>
  <c r="H110" i="18"/>
  <c r="H111" i="18" s="1"/>
  <c r="D120" i="70"/>
  <c r="D81" i="70"/>
  <c r="D55" i="70"/>
  <c r="D26" i="22"/>
  <c r="D158" i="70"/>
  <c r="E79" i="17"/>
  <c r="D67" i="70"/>
  <c r="E80" i="17"/>
  <c r="E66" i="17"/>
  <c r="D93" i="70"/>
  <c r="D119" i="70"/>
  <c r="D111" i="18"/>
  <c r="J111" i="18"/>
  <c r="AG111" i="18" s="1"/>
  <c r="AJ111" i="18" s="1"/>
  <c r="V82" i="13"/>
  <c r="J115" i="18" s="1"/>
  <c r="AG115" i="18" s="1"/>
  <c r="D115" i="18"/>
  <c r="D107" i="70"/>
  <c r="I26" i="22"/>
  <c r="H26" i="22"/>
  <c r="M26" i="22"/>
  <c r="N26" i="22"/>
  <c r="D27" i="17"/>
  <c r="D36" i="17"/>
  <c r="D18" i="17"/>
  <c r="E136" i="17"/>
  <c r="E42" i="17"/>
  <c r="E154" i="17"/>
  <c r="E146" i="17"/>
  <c r="E133" i="18"/>
  <c r="E27" i="18"/>
  <c r="E42" i="18"/>
  <c r="E55" i="18"/>
  <c r="E73" i="18"/>
  <c r="E87" i="18"/>
  <c r="E33" i="18"/>
  <c r="E56" i="18"/>
  <c r="E88" i="18"/>
  <c r="E32" i="18"/>
  <c r="E40" i="18"/>
  <c r="E59" i="18"/>
  <c r="E75" i="18"/>
  <c r="E89" i="18"/>
  <c r="E115" i="18"/>
  <c r="E31" i="18"/>
  <c r="E60" i="18"/>
  <c r="E76" i="18"/>
  <c r="E90" i="18"/>
  <c r="E30" i="18"/>
  <c r="E38" i="18"/>
  <c r="E61" i="18"/>
  <c r="E77" i="18"/>
  <c r="E91" i="18"/>
  <c r="E123" i="18"/>
  <c r="E29" i="18"/>
  <c r="E52" i="18"/>
  <c r="E62" i="18"/>
  <c r="E78" i="18"/>
  <c r="E92" i="18"/>
  <c r="E128" i="18"/>
  <c r="E53" i="18"/>
  <c r="E79" i="18"/>
  <c r="E96" i="18"/>
  <c r="E37" i="18"/>
  <c r="E54" i="18"/>
  <c r="H80" i="18"/>
  <c r="D70" i="17"/>
  <c r="D140" i="17"/>
  <c r="H140" i="17" s="1"/>
  <c r="AF140" i="17" s="1"/>
  <c r="D76" i="17"/>
  <c r="E31" i="17"/>
  <c r="D44" i="70"/>
  <c r="D106" i="70"/>
  <c r="E157" i="17"/>
  <c r="D80" i="70"/>
  <c r="D146" i="70"/>
  <c r="E67" i="17"/>
  <c r="E13" i="17"/>
  <c r="H13" i="17" s="1"/>
  <c r="D45" i="70"/>
  <c r="D94" i="70"/>
  <c r="D13" i="70"/>
  <c r="D68" i="70"/>
  <c r="E128" i="17"/>
  <c r="D14" i="70"/>
  <c r="D22" i="70"/>
  <c r="E115" i="17"/>
  <c r="D128" i="70"/>
  <c r="D23" i="70"/>
  <c r="E41" i="17"/>
  <c r="E118" i="17"/>
  <c r="E55" i="17"/>
  <c r="E76" i="17"/>
  <c r="E89" i="17"/>
  <c r="E102" i="17"/>
  <c r="E119" i="17"/>
  <c r="E63" i="17"/>
  <c r="E92" i="17"/>
  <c r="E105" i="17"/>
  <c r="D31" i="70"/>
  <c r="D43" i="70"/>
  <c r="E93" i="17"/>
  <c r="E106" i="17"/>
  <c r="H141" i="17"/>
  <c r="AF141" i="17" s="1"/>
  <c r="E35" i="16"/>
  <c r="D89" i="17"/>
  <c r="D71" i="17"/>
  <c r="H28" i="18" l="1"/>
  <c r="AH28" i="18"/>
  <c r="AJ28" i="18" s="1"/>
  <c r="D25" i="75"/>
  <c r="H53" i="18"/>
  <c r="D50" i="75"/>
  <c r="AH53" i="18"/>
  <c r="AJ53" i="18" s="1"/>
  <c r="H62" i="18"/>
  <c r="AH62" i="18"/>
  <c r="AJ62" i="18" s="1"/>
  <c r="D59" i="75"/>
  <c r="H88" i="18"/>
  <c r="D85" i="75"/>
  <c r="AH88" i="18"/>
  <c r="AJ88" i="18" s="1"/>
  <c r="H56" i="18"/>
  <c r="AH56" i="18"/>
  <c r="AJ56" i="18" s="1"/>
  <c r="D53" i="75"/>
  <c r="H78" i="18"/>
  <c r="D75" i="75"/>
  <c r="AH78" i="18"/>
  <c r="AJ78" i="18" s="1"/>
  <c r="H61" i="18"/>
  <c r="AH61" i="18"/>
  <c r="AJ61" i="18" s="1"/>
  <c r="D58" i="75"/>
  <c r="H79" i="18"/>
  <c r="AH79" i="18"/>
  <c r="AJ79" i="18" s="1"/>
  <c r="D76" i="75"/>
  <c r="H29" i="18"/>
  <c r="AH29" i="18"/>
  <c r="AJ29" i="18" s="1"/>
  <c r="D26" i="75"/>
  <c r="AH123" i="18"/>
  <c r="D120" i="75"/>
  <c r="H77" i="18"/>
  <c r="D74" i="75"/>
  <c r="AH77" i="18"/>
  <c r="AJ77" i="18" s="1"/>
  <c r="D112" i="75"/>
  <c r="AH115" i="18"/>
  <c r="AJ115" i="18" s="1"/>
  <c r="AH128" i="18"/>
  <c r="D125" i="75"/>
  <c r="H92" i="18"/>
  <c r="D89" i="75"/>
  <c r="AH92" i="18"/>
  <c r="AJ92" i="18" s="1"/>
  <c r="H39" i="18"/>
  <c r="AH39" i="18"/>
  <c r="AJ39" i="18" s="1"/>
  <c r="D36" i="75"/>
  <c r="H87" i="18"/>
  <c r="D84" i="75"/>
  <c r="AH87" i="18"/>
  <c r="AJ87" i="18" s="1"/>
  <c r="H52" i="18"/>
  <c r="D49" i="75"/>
  <c r="AH52" i="18"/>
  <c r="AJ52" i="18" s="1"/>
  <c r="H27" i="18"/>
  <c r="AH27" i="18"/>
  <c r="AJ27" i="18" s="1"/>
  <c r="D24" i="75"/>
  <c r="H54" i="18"/>
  <c r="D51" i="75"/>
  <c r="AH54" i="18"/>
  <c r="AJ54" i="18" s="1"/>
  <c r="H40" i="18"/>
  <c r="AH40" i="18"/>
  <c r="AJ40" i="18" s="1"/>
  <c r="D37" i="75"/>
  <c r="H32" i="18"/>
  <c r="AH32" i="18"/>
  <c r="AJ32" i="18" s="1"/>
  <c r="D29" i="75"/>
  <c r="H67" i="18"/>
  <c r="D64" i="75"/>
  <c r="AH67" i="18"/>
  <c r="AJ67" i="18" s="1"/>
  <c r="H33" i="18"/>
  <c r="AH33" i="18"/>
  <c r="AJ33" i="18" s="1"/>
  <c r="D30" i="75"/>
  <c r="H31" i="18"/>
  <c r="AH31" i="18"/>
  <c r="AJ31" i="18" s="1"/>
  <c r="D28" i="75"/>
  <c r="H73" i="18"/>
  <c r="D70" i="75"/>
  <c r="AH73" i="18"/>
  <c r="AJ73" i="18" s="1"/>
  <c r="H55" i="18"/>
  <c r="AH55" i="18"/>
  <c r="AJ55" i="18" s="1"/>
  <c r="D52" i="75"/>
  <c r="H42" i="18"/>
  <c r="D39" i="75"/>
  <c r="AH42" i="18"/>
  <c r="AJ42" i="18" s="1"/>
  <c r="H91" i="18"/>
  <c r="D88" i="75"/>
  <c r="AH91" i="18"/>
  <c r="AJ91" i="18" s="1"/>
  <c r="AH133" i="18"/>
  <c r="D130" i="75"/>
  <c r="H38" i="18"/>
  <c r="AH38" i="18"/>
  <c r="AJ38" i="18" s="1"/>
  <c r="D35" i="75"/>
  <c r="H30" i="18"/>
  <c r="AH30" i="18"/>
  <c r="AJ30" i="18" s="1"/>
  <c r="D27" i="75"/>
  <c r="H90" i="18"/>
  <c r="D87" i="75"/>
  <c r="AH90" i="18"/>
  <c r="AJ90" i="18" s="1"/>
  <c r="H76" i="18"/>
  <c r="AH76" i="18"/>
  <c r="AJ76" i="18" s="1"/>
  <c r="D73" i="75"/>
  <c r="H60" i="18"/>
  <c r="AH60" i="18"/>
  <c r="AJ60" i="18" s="1"/>
  <c r="D57" i="75"/>
  <c r="H89" i="18"/>
  <c r="D86" i="75"/>
  <c r="AH89" i="18"/>
  <c r="AJ89" i="18" s="1"/>
  <c r="H74" i="18"/>
  <c r="D71" i="75"/>
  <c r="AH74" i="18"/>
  <c r="AJ74" i="18" s="1"/>
  <c r="H37" i="18"/>
  <c r="AH37" i="18"/>
  <c r="AJ37" i="18" s="1"/>
  <c r="D34" i="75"/>
  <c r="H75" i="18"/>
  <c r="D72" i="75"/>
  <c r="AH75" i="18"/>
  <c r="AJ75" i="18" s="1"/>
  <c r="H41" i="18"/>
  <c r="AH41" i="18"/>
  <c r="AJ41" i="18" s="1"/>
  <c r="D38" i="75"/>
  <c r="H96" i="18"/>
  <c r="D93" i="75"/>
  <c r="AH96" i="18"/>
  <c r="AJ96" i="18" s="1"/>
  <c r="H59" i="18"/>
  <c r="AH59" i="18"/>
  <c r="AJ59" i="18" s="1"/>
  <c r="D56" i="75"/>
  <c r="H101" i="18"/>
  <c r="D98" i="75"/>
  <c r="AH101" i="18"/>
  <c r="AJ101" i="18" s="1"/>
  <c r="AN111" i="18"/>
  <c r="D64" i="70"/>
  <c r="D19" i="70"/>
  <c r="D60" i="70"/>
  <c r="D154" i="70"/>
  <c r="D116" i="70"/>
  <c r="D155" i="70"/>
  <c r="D103" i="70"/>
  <c r="D63" i="70"/>
  <c r="D89" i="70"/>
  <c r="D77" i="70"/>
  <c r="D143" i="70"/>
  <c r="D76" i="70"/>
  <c r="D99" i="70"/>
  <c r="D90" i="70"/>
  <c r="D40" i="70"/>
  <c r="D102" i="70"/>
  <c r="D125" i="70"/>
  <c r="D151" i="70"/>
  <c r="D39" i="70"/>
  <c r="D86" i="70"/>
  <c r="D133" i="70"/>
  <c r="D38" i="70"/>
  <c r="D10" i="70"/>
  <c r="D28" i="70"/>
  <c r="D73" i="70"/>
  <c r="D52" i="70"/>
  <c r="D115" i="70"/>
  <c r="D112" i="70"/>
  <c r="D32" i="70"/>
  <c r="D119" i="18"/>
  <c r="J119" i="18"/>
  <c r="AG119" i="18" s="1"/>
  <c r="AJ119" i="18" s="1"/>
  <c r="D141" i="18"/>
  <c r="AF13" i="17"/>
  <c r="E10" i="68"/>
  <c r="E12" i="68"/>
  <c r="E13" i="33"/>
  <c r="E13" i="68"/>
  <c r="E11" i="68"/>
  <c r="E36" i="16"/>
  <c r="J18" i="17"/>
  <c r="X146" i="17"/>
  <c r="X154" i="17"/>
  <c r="X136" i="17"/>
  <c r="X63" i="17"/>
  <c r="X22" i="17"/>
  <c r="X13" i="17"/>
  <c r="W13" i="17" s="1"/>
  <c r="K13" i="17" s="1"/>
  <c r="E10" i="70" s="1"/>
  <c r="X128" i="17"/>
  <c r="X93" i="17"/>
  <c r="X158" i="17"/>
  <c r="X55" i="17"/>
  <c r="W55" i="17" s="1"/>
  <c r="K55" i="17" s="1"/>
  <c r="E52" i="70" s="1"/>
  <c r="X118" i="17"/>
  <c r="X89" i="17"/>
  <c r="X76" i="17"/>
  <c r="X106" i="17"/>
  <c r="X31" i="17"/>
  <c r="X105" i="17"/>
  <c r="X115" i="17"/>
  <c r="X66" i="17"/>
  <c r="X102" i="17"/>
  <c r="X157" i="17"/>
  <c r="X79" i="17"/>
  <c r="X67" i="17"/>
  <c r="X92" i="17"/>
  <c r="X119" i="17"/>
  <c r="X80" i="17"/>
  <c r="H34" i="17"/>
  <c r="AF34" i="17" s="1"/>
  <c r="H63" i="17"/>
  <c r="AF63" i="17" s="1"/>
  <c r="H46" i="17"/>
  <c r="J51" i="17"/>
  <c r="H25" i="17"/>
  <c r="AF25" i="17" s="1"/>
  <c r="H41" i="17"/>
  <c r="AF41" i="17" s="1"/>
  <c r="H58" i="17"/>
  <c r="AF58" i="17" s="1"/>
  <c r="H22" i="17"/>
  <c r="AF22" i="17" s="1"/>
  <c r="AF16" i="17"/>
  <c r="J27" i="17"/>
  <c r="H47" i="17"/>
  <c r="AF47" i="17" s="1"/>
  <c r="H131" i="17"/>
  <c r="AF131" i="17" s="1"/>
  <c r="H146" i="17"/>
  <c r="AF146" i="17" s="1"/>
  <c r="H43" i="17"/>
  <c r="AF43" i="17" s="1"/>
  <c r="H154" i="17"/>
  <c r="AF154" i="17" s="1"/>
  <c r="H42" i="17"/>
  <c r="AF42" i="17" s="1"/>
  <c r="H136" i="17"/>
  <c r="AF136" i="17" s="1"/>
  <c r="H48" i="17"/>
  <c r="AF48" i="17" s="1"/>
  <c r="AF17" i="17"/>
  <c r="H35" i="17"/>
  <c r="AF35" i="17" s="1"/>
  <c r="H26" i="17"/>
  <c r="AF26" i="17" s="1"/>
  <c r="B52" i="22"/>
  <c r="B41" i="22" s="1"/>
  <c r="E10" i="16"/>
  <c r="E10" i="33"/>
  <c r="E12" i="16"/>
  <c r="E12" i="33"/>
  <c r="E11" i="16"/>
  <c r="E11" i="33"/>
  <c r="H70" i="17"/>
  <c r="AF70" i="17" s="1"/>
  <c r="E13" i="16"/>
  <c r="H115" i="18"/>
  <c r="H104" i="18"/>
  <c r="V84" i="13"/>
  <c r="J118" i="18" s="1"/>
  <c r="AG118" i="18" s="1"/>
  <c r="AJ118" i="18" s="1"/>
  <c r="D118" i="18"/>
  <c r="H71" i="17"/>
  <c r="AF71" i="17" s="1"/>
  <c r="H76" i="17"/>
  <c r="AF76" i="17" s="1"/>
  <c r="H31" i="17"/>
  <c r="AF31" i="17" s="1"/>
  <c r="H55" i="17"/>
  <c r="AF55" i="17" s="1"/>
  <c r="H89" i="17"/>
  <c r="AF89" i="17" s="1"/>
  <c r="D72" i="17"/>
  <c r="E21" i="68" s="1"/>
  <c r="J154" i="17"/>
  <c r="H70" i="13"/>
  <c r="K70" i="13" s="1"/>
  <c r="D139" i="17"/>
  <c r="H139" i="17" s="1"/>
  <c r="AF139" i="17" s="1"/>
  <c r="H72" i="13"/>
  <c r="K72" i="13" s="1"/>
  <c r="H58" i="13"/>
  <c r="D83" i="17"/>
  <c r="H83" i="17" s="1"/>
  <c r="AF83" i="17" s="1"/>
  <c r="I56" i="13"/>
  <c r="D67" i="17"/>
  <c r="H67" i="17" s="1"/>
  <c r="AF67" i="17" s="1"/>
  <c r="D84" i="17"/>
  <c r="H84" i="17" s="1"/>
  <c r="AF84" i="17" s="1"/>
  <c r="D66" i="17"/>
  <c r="D60" i="13"/>
  <c r="J89" i="17" s="1"/>
  <c r="D102" i="17"/>
  <c r="H102" i="17" s="1"/>
  <c r="AF102" i="17" s="1"/>
  <c r="H97" i="18" l="1"/>
  <c r="H63" i="18"/>
  <c r="H81" i="18"/>
  <c r="AN119" i="18"/>
  <c r="AF46" i="17"/>
  <c r="H51" i="17"/>
  <c r="AF51" i="17" s="1"/>
  <c r="D137" i="18"/>
  <c r="E31" i="68" s="1"/>
  <c r="E33" i="68" s="1"/>
  <c r="H105" i="18"/>
  <c r="E14" i="68"/>
  <c r="H27" i="17"/>
  <c r="AF27" i="17" s="1"/>
  <c r="H59" i="17"/>
  <c r="H18" i="17"/>
  <c r="AF18" i="17" s="1"/>
  <c r="H36" i="17"/>
  <c r="AF36" i="17" s="1"/>
  <c r="J71" i="17"/>
  <c r="K56" i="13"/>
  <c r="J83" i="17"/>
  <c r="E14" i="16"/>
  <c r="E21" i="16"/>
  <c r="E21" i="33"/>
  <c r="E14" i="33"/>
  <c r="H118" i="18"/>
  <c r="H119" i="18" s="1"/>
  <c r="V87" i="13"/>
  <c r="J123" i="18" s="1"/>
  <c r="AG123" i="18" s="1"/>
  <c r="AJ123" i="18" s="1"/>
  <c r="D123" i="18"/>
  <c r="H66" i="17"/>
  <c r="D85" i="17"/>
  <c r="E25" i="68" s="1"/>
  <c r="H142" i="17"/>
  <c r="AF142" i="17" s="1"/>
  <c r="D142" i="17"/>
  <c r="E18" i="68" s="1"/>
  <c r="R140" i="17"/>
  <c r="H60" i="13"/>
  <c r="D96" i="17"/>
  <c r="H96" i="17" s="1"/>
  <c r="AF96" i="17" s="1"/>
  <c r="J139" i="17"/>
  <c r="H74" i="13"/>
  <c r="K74" i="13" s="1"/>
  <c r="D149" i="17"/>
  <c r="H64" i="13"/>
  <c r="D62" i="13"/>
  <c r="J102" i="17" s="1"/>
  <c r="D115" i="17"/>
  <c r="H115" i="17" s="1"/>
  <c r="AF115" i="17" s="1"/>
  <c r="I58" i="13"/>
  <c r="J84" i="17" s="1"/>
  <c r="D97" i="17"/>
  <c r="H97" i="17" s="1"/>
  <c r="AF97" i="17" s="1"/>
  <c r="N56" i="13"/>
  <c r="J67" i="17" s="1"/>
  <c r="D80" i="17"/>
  <c r="H80" i="17" s="1"/>
  <c r="AF80" i="17" s="1"/>
  <c r="M56" i="13"/>
  <c r="J66" i="17" s="1"/>
  <c r="D79" i="17"/>
  <c r="F16" i="16" l="1"/>
  <c r="D18" i="51" s="1"/>
  <c r="AF59" i="17"/>
  <c r="H72" i="17"/>
  <c r="AF72" i="17" s="1"/>
  <c r="AF66" i="17"/>
  <c r="F12" i="16"/>
  <c r="D14" i="51" s="1"/>
  <c r="F13" i="16"/>
  <c r="D15" i="51" s="1"/>
  <c r="F10" i="16"/>
  <c r="F11" i="16"/>
  <c r="E31" i="16"/>
  <c r="E31" i="33"/>
  <c r="E33" i="33" s="1"/>
  <c r="D139" i="18"/>
  <c r="J96" i="17"/>
  <c r="J72" i="17"/>
  <c r="K58" i="13"/>
  <c r="E18" i="16"/>
  <c r="E18" i="33"/>
  <c r="F18" i="16"/>
  <c r="E25" i="16"/>
  <c r="E25" i="33"/>
  <c r="V90" i="13"/>
  <c r="J128" i="18" s="1"/>
  <c r="AG128" i="18" s="1"/>
  <c r="AJ128" i="18" s="1"/>
  <c r="D128" i="18"/>
  <c r="D124" i="18"/>
  <c r="H123" i="18"/>
  <c r="H124" i="18" s="1"/>
  <c r="J124" i="18"/>
  <c r="AG124" i="18" s="1"/>
  <c r="AJ124" i="18" s="1"/>
  <c r="H79" i="17"/>
  <c r="H149" i="17"/>
  <c r="D98" i="17"/>
  <c r="E22" i="68" s="1"/>
  <c r="E23" i="68" s="1"/>
  <c r="J85" i="17"/>
  <c r="J142" i="17"/>
  <c r="D161" i="17"/>
  <c r="H62" i="13"/>
  <c r="D109" i="17"/>
  <c r="H109" i="17" s="1"/>
  <c r="AF109" i="17" s="1"/>
  <c r="J149" i="17"/>
  <c r="J161" i="17"/>
  <c r="D150" i="17"/>
  <c r="E17" i="68" s="1"/>
  <c r="E19" i="68" s="1"/>
  <c r="M58" i="13"/>
  <c r="J79" i="17" s="1"/>
  <c r="H92" i="17"/>
  <c r="AF92" i="17" s="1"/>
  <c r="N58" i="13"/>
  <c r="J80" i="17" s="1"/>
  <c r="D93" i="17"/>
  <c r="H93" i="17" s="1"/>
  <c r="AF93" i="17" s="1"/>
  <c r="I60" i="13"/>
  <c r="J97" i="17" s="1"/>
  <c r="D66" i="13"/>
  <c r="J115" i="17" s="1"/>
  <c r="L13" i="17"/>
  <c r="F10" i="70" s="1"/>
  <c r="D45" i="16"/>
  <c r="G41" i="16"/>
  <c r="AN124" i="18" l="1"/>
  <c r="H161" i="17"/>
  <c r="AF161" i="17" s="1"/>
  <c r="F21" i="16"/>
  <c r="D23" i="51" s="1"/>
  <c r="H85" i="17"/>
  <c r="AF85" i="17" s="1"/>
  <c r="AF79" i="17"/>
  <c r="H150" i="17"/>
  <c r="AF150" i="17" s="1"/>
  <c r="AF149" i="17"/>
  <c r="D12" i="51"/>
  <c r="D13" i="51"/>
  <c r="F14" i="16"/>
  <c r="H18" i="51"/>
  <c r="H15" i="51"/>
  <c r="H14" i="51"/>
  <c r="D20" i="51"/>
  <c r="K60" i="13"/>
  <c r="E17" i="16"/>
  <c r="E17" i="33"/>
  <c r="E19" i="33" s="1"/>
  <c r="E22" i="16"/>
  <c r="E22" i="33"/>
  <c r="E23" i="33" s="1"/>
  <c r="D133" i="18"/>
  <c r="V93" i="13"/>
  <c r="J133" i="18" s="1"/>
  <c r="AG133" i="18" s="1"/>
  <c r="AJ133" i="18" s="1"/>
  <c r="D129" i="18"/>
  <c r="H128" i="18"/>
  <c r="H129" i="18" s="1"/>
  <c r="J129" i="18"/>
  <c r="AG129" i="18" s="1"/>
  <c r="AJ129" i="18" s="1"/>
  <c r="I64" i="13"/>
  <c r="K64" i="13" s="1"/>
  <c r="D158" i="17"/>
  <c r="H158" i="17" s="1"/>
  <c r="N74" i="13"/>
  <c r="J158" i="17" s="1"/>
  <c r="D122" i="17"/>
  <c r="H122" i="17" s="1"/>
  <c r="AF122" i="17" s="1"/>
  <c r="H66" i="13"/>
  <c r="J162" i="17"/>
  <c r="J150" i="17"/>
  <c r="D162" i="17"/>
  <c r="H98" i="17"/>
  <c r="AF98" i="17" s="1"/>
  <c r="J98" i="17"/>
  <c r="R139" i="17"/>
  <c r="I62" i="13"/>
  <c r="K62" i="13" s="1"/>
  <c r="D110" i="17"/>
  <c r="H110" i="17" s="1"/>
  <c r="AF110" i="17" s="1"/>
  <c r="D68" i="13"/>
  <c r="J128" i="17" s="1"/>
  <c r="D128" i="17"/>
  <c r="J109" i="17"/>
  <c r="N60" i="13"/>
  <c r="J93" i="17" s="1"/>
  <c r="M60" i="13"/>
  <c r="J92" i="17" s="1"/>
  <c r="M64" i="13"/>
  <c r="K41" i="16"/>
  <c r="I41" i="16"/>
  <c r="G40" i="16"/>
  <c r="F17" i="16" l="1"/>
  <c r="F19" i="16" s="1"/>
  <c r="AN129" i="18"/>
  <c r="F25" i="16"/>
  <c r="D27" i="51" s="1"/>
  <c r="Q14" i="51"/>
  <c r="P14" i="51"/>
  <c r="Q15" i="51"/>
  <c r="P15" i="51"/>
  <c r="P18" i="51"/>
  <c r="Q18" i="51"/>
  <c r="D16" i="51"/>
  <c r="H16" i="51" s="1"/>
  <c r="H12" i="51"/>
  <c r="H13" i="51"/>
  <c r="H23" i="51"/>
  <c r="H20" i="51"/>
  <c r="D19" i="51"/>
  <c r="E28" i="33"/>
  <c r="E28" i="68"/>
  <c r="E23" i="16"/>
  <c r="J122" i="17"/>
  <c r="E19" i="16"/>
  <c r="F22" i="16"/>
  <c r="E28" i="16"/>
  <c r="D134" i="18"/>
  <c r="H133" i="18"/>
  <c r="H134" i="18" s="1"/>
  <c r="H137" i="18" s="1"/>
  <c r="J134" i="18"/>
  <c r="AG134" i="18" s="1"/>
  <c r="AJ134" i="18" s="1"/>
  <c r="AJ137" i="18" s="1"/>
  <c r="D106" i="17"/>
  <c r="H106" i="17" s="1"/>
  <c r="AF106" i="17" s="1"/>
  <c r="N64" i="13"/>
  <c r="D105" i="17"/>
  <c r="H128" i="17"/>
  <c r="R158" i="17"/>
  <c r="D123" i="17"/>
  <c r="H123" i="17" s="1"/>
  <c r="AF123" i="17" s="1"/>
  <c r="I66" i="13"/>
  <c r="J123" i="17" s="1"/>
  <c r="D111" i="17"/>
  <c r="E26" i="68" s="1"/>
  <c r="I40" i="16"/>
  <c r="K40" i="16"/>
  <c r="J110" i="17"/>
  <c r="M62" i="13"/>
  <c r="J105" i="17" s="1"/>
  <c r="N62" i="13"/>
  <c r="J106" i="17" s="1"/>
  <c r="H132" i="17" l="1"/>
  <c r="AF132" i="17" s="1"/>
  <c r="AF128" i="17"/>
  <c r="P20" i="51"/>
  <c r="Q20" i="51"/>
  <c r="Q13" i="51"/>
  <c r="P13" i="51"/>
  <c r="Q16" i="51"/>
  <c r="P16" i="51"/>
  <c r="P23" i="51"/>
  <c r="Q23" i="51"/>
  <c r="Q12" i="51"/>
  <c r="P12" i="51"/>
  <c r="T14" i="51"/>
  <c r="T13" i="51"/>
  <c r="H27" i="51"/>
  <c r="H19" i="51"/>
  <c r="D21" i="51"/>
  <c r="D24" i="51"/>
  <c r="H105" i="17"/>
  <c r="AF105" i="17" s="1"/>
  <c r="F31" i="16"/>
  <c r="K66" i="13"/>
  <c r="F23" i="16"/>
  <c r="E26" i="16"/>
  <c r="E26" i="33"/>
  <c r="H139" i="18"/>
  <c r="D124" i="17"/>
  <c r="E27" i="68" s="1"/>
  <c r="E29" i="68" s="1"/>
  <c r="E38" i="68" s="1"/>
  <c r="J111" i="17"/>
  <c r="J124" i="17"/>
  <c r="N66" i="13"/>
  <c r="J119" i="17" s="1"/>
  <c r="D119" i="17"/>
  <c r="H119" i="17" s="1"/>
  <c r="M66" i="13"/>
  <c r="J118" i="17" s="1"/>
  <c r="D118" i="17"/>
  <c r="F35" i="16" l="1"/>
  <c r="F36" i="16" s="1"/>
  <c r="P27" i="51"/>
  <c r="Q27" i="51"/>
  <c r="P19" i="51"/>
  <c r="Q19" i="51"/>
  <c r="H24" i="51"/>
  <c r="H21" i="51"/>
  <c r="D25" i="51"/>
  <c r="D33" i="51"/>
  <c r="H111" i="17"/>
  <c r="D164" i="17"/>
  <c r="D143" i="18" s="1"/>
  <c r="E27" i="33"/>
  <c r="E29" i="33" s="1"/>
  <c r="E27" i="16"/>
  <c r="H118" i="17"/>
  <c r="R123" i="17"/>
  <c r="D37" i="51" l="1"/>
  <c r="H37" i="51" s="1"/>
  <c r="H124" i="17"/>
  <c r="AF124" i="17" s="1"/>
  <c r="AF118" i="17"/>
  <c r="F26" i="16"/>
  <c r="D28" i="51" s="1"/>
  <c r="AF111" i="17"/>
  <c r="P21" i="51"/>
  <c r="Q21" i="51"/>
  <c r="Q24" i="51"/>
  <c r="P24" i="51"/>
  <c r="H33" i="51"/>
  <c r="H25" i="51"/>
  <c r="D38" i="51"/>
  <c r="E38" i="33"/>
  <c r="E29" i="16"/>
  <c r="E48" i="16" s="1"/>
  <c r="E50" i="16" s="1"/>
  <c r="R119" i="17"/>
  <c r="F27" i="16" l="1"/>
  <c r="D29" i="51" s="1"/>
  <c r="Q25" i="51"/>
  <c r="P25" i="51"/>
  <c r="P37" i="51"/>
  <c r="P33" i="51"/>
  <c r="H28" i="51"/>
  <c r="H38" i="51"/>
  <c r="Q38" i="51" l="1"/>
  <c r="P38" i="51"/>
  <c r="P28" i="51"/>
  <c r="Q28" i="51"/>
  <c r="H29" i="51"/>
  <c r="R31" i="16"/>
  <c r="R17" i="16"/>
  <c r="R16" i="16"/>
  <c r="R28" i="16"/>
  <c r="R27" i="16"/>
  <c r="R13" i="16"/>
  <c r="R26" i="16"/>
  <c r="R12" i="16"/>
  <c r="R25" i="16"/>
  <c r="R11" i="16"/>
  <c r="R10" i="16"/>
  <c r="R22" i="16"/>
  <c r="R35" i="16"/>
  <c r="R36" i="16" s="1"/>
  <c r="R21" i="16"/>
  <c r="R32" i="16"/>
  <c r="R18" i="16"/>
  <c r="E33" i="16"/>
  <c r="R23" i="16" l="1"/>
  <c r="R14" i="16"/>
  <c r="R19" i="16"/>
  <c r="R29" i="16"/>
  <c r="G31" i="16"/>
  <c r="R33" i="16"/>
  <c r="T16" i="18"/>
  <c r="G32" i="16"/>
  <c r="Q29" i="51"/>
  <c r="P29" i="51"/>
  <c r="T137" i="18"/>
  <c r="AK137" i="18" s="1"/>
  <c r="T18" i="17"/>
  <c r="E38" i="16"/>
  <c r="K15" i="18" l="1"/>
  <c r="E12" i="75" s="1"/>
  <c r="K14" i="18"/>
  <c r="E11" i="75" s="1"/>
  <c r="T138" i="18"/>
  <c r="T139" i="18"/>
  <c r="R40" i="16"/>
  <c r="R38" i="16"/>
  <c r="AL137" i="18"/>
  <c r="AK16" i="18"/>
  <c r="AL16" i="18" s="1"/>
  <c r="AG18" i="17"/>
  <c r="AH18" i="17" s="1"/>
  <c r="AJ17" i="17" s="1"/>
  <c r="AL17" i="17" s="1"/>
  <c r="E49" i="16"/>
  <c r="AB15" i="13"/>
  <c r="AB13" i="13"/>
  <c r="AB5" i="13"/>
  <c r="AB5" i="22" s="1"/>
  <c r="AB17" i="13"/>
  <c r="AB17" i="22" s="1"/>
  <c r="AD17" i="22" s="1"/>
  <c r="AB11" i="13"/>
  <c r="AC11" i="13" s="1"/>
  <c r="AB7" i="13"/>
  <c r="F33" i="16"/>
  <c r="N28" i="18" l="1"/>
  <c r="P28" i="18" s="1"/>
  <c r="N14" i="18"/>
  <c r="P14" i="18" s="1"/>
  <c r="N15" i="18"/>
  <c r="AM14" i="18"/>
  <c r="AN14" i="18" s="1"/>
  <c r="AM15" i="18"/>
  <c r="AN15" i="18" s="1"/>
  <c r="AM78" i="18"/>
  <c r="AN78" i="18" s="1"/>
  <c r="AM56" i="18"/>
  <c r="AN56" i="18" s="1"/>
  <c r="AM53" i="18"/>
  <c r="AN53" i="18" s="1"/>
  <c r="AM52" i="18"/>
  <c r="AN52" i="18" s="1"/>
  <c r="AM115" i="18"/>
  <c r="AN115" i="18" s="1"/>
  <c r="AM70" i="18"/>
  <c r="AN70" i="18" s="1"/>
  <c r="AM88" i="18"/>
  <c r="AN88" i="18" s="1"/>
  <c r="AM42" i="18"/>
  <c r="AN42" i="18" s="1"/>
  <c r="AM41" i="18"/>
  <c r="AN41" i="18" s="1"/>
  <c r="AM128" i="18"/>
  <c r="AN128" i="18" s="1"/>
  <c r="AM39" i="18"/>
  <c r="AN39" i="18" s="1"/>
  <c r="AM77" i="18"/>
  <c r="AN77" i="18" s="1"/>
  <c r="AM55" i="18"/>
  <c r="AN55" i="18" s="1"/>
  <c r="AM33" i="18"/>
  <c r="AN33" i="18" s="1"/>
  <c r="AM31" i="18"/>
  <c r="AN31" i="18" s="1"/>
  <c r="AM96" i="18"/>
  <c r="AN96" i="18" s="1"/>
  <c r="AM30" i="18"/>
  <c r="AN30" i="18" s="1"/>
  <c r="AM29" i="18"/>
  <c r="AN29" i="18" s="1"/>
  <c r="AM28" i="18"/>
  <c r="AN28" i="18" s="1"/>
  <c r="AM92" i="18"/>
  <c r="AN92" i="18" s="1"/>
  <c r="AM48" i="18"/>
  <c r="AN48" i="18" s="1"/>
  <c r="AM91" i="18"/>
  <c r="AN91" i="18" s="1"/>
  <c r="AM47" i="18"/>
  <c r="AN47" i="18" s="1"/>
  <c r="AM90" i="18"/>
  <c r="AN90" i="18" s="1"/>
  <c r="AM46" i="18"/>
  <c r="AN46" i="18" s="1"/>
  <c r="AM38" i="18"/>
  <c r="AN38" i="18" s="1"/>
  <c r="AM37" i="18"/>
  <c r="AN37" i="18" s="1"/>
  <c r="AM76" i="18"/>
  <c r="AN76" i="18" s="1"/>
  <c r="AM54" i="18"/>
  <c r="AN54" i="18" s="1"/>
  <c r="AM32" i="18"/>
  <c r="AN32" i="18" s="1"/>
  <c r="AM75" i="18"/>
  <c r="AN75" i="18" s="1"/>
  <c r="AM118" i="18"/>
  <c r="AN118" i="18" s="1"/>
  <c r="AM74" i="18"/>
  <c r="AN74" i="18" s="1"/>
  <c r="AM73" i="18"/>
  <c r="AN73" i="18" s="1"/>
  <c r="AM27" i="18"/>
  <c r="AN27" i="18" s="1"/>
  <c r="AM110" i="18"/>
  <c r="AN110" i="18" s="1"/>
  <c r="AM87" i="18"/>
  <c r="AN87" i="18" s="1"/>
  <c r="AM59" i="18"/>
  <c r="AN59" i="18" s="1"/>
  <c r="AM101" i="18"/>
  <c r="AN101" i="18" s="1"/>
  <c r="AM133" i="18"/>
  <c r="AN133" i="18" s="1"/>
  <c r="AM89" i="18"/>
  <c r="AN89" i="18" s="1"/>
  <c r="AM67" i="18"/>
  <c r="AN67" i="18" s="1"/>
  <c r="AM40" i="18"/>
  <c r="AN40" i="18" s="1"/>
  <c r="AM61" i="18"/>
  <c r="AN61" i="18" s="1"/>
  <c r="AM104" i="18"/>
  <c r="AN104" i="18" s="1"/>
  <c r="AM60" i="18"/>
  <c r="AN60" i="18" s="1"/>
  <c r="AM123" i="18"/>
  <c r="AN123" i="18" s="1"/>
  <c r="AM79" i="18"/>
  <c r="AN79" i="18" s="1"/>
  <c r="AM62" i="18"/>
  <c r="AN62" i="18" s="1"/>
  <c r="AM80" i="18"/>
  <c r="AN80" i="18" s="1"/>
  <c r="AJ16" i="17"/>
  <c r="AL16" i="17" s="1"/>
  <c r="AJ13" i="17"/>
  <c r="AL13" i="17" s="1"/>
  <c r="K80" i="18"/>
  <c r="E77" i="75" s="1"/>
  <c r="K110" i="18"/>
  <c r="E107" i="75" s="1"/>
  <c r="K70" i="18"/>
  <c r="E67" i="75" s="1"/>
  <c r="K118" i="18"/>
  <c r="E115" i="75" s="1"/>
  <c r="K104" i="18"/>
  <c r="E101" i="75" s="1"/>
  <c r="D35" i="51"/>
  <c r="N55" i="17"/>
  <c r="AB13" i="22"/>
  <c r="AB7" i="22"/>
  <c r="AB15" i="22"/>
  <c r="AB11" i="22"/>
  <c r="AC13" i="13"/>
  <c r="AC17" i="13"/>
  <c r="AC15" i="13"/>
  <c r="AC7" i="13"/>
  <c r="AC5" i="13"/>
  <c r="AN137" i="18" l="1"/>
  <c r="R28" i="18"/>
  <c r="R14" i="18"/>
  <c r="N16" i="18"/>
  <c r="R16" i="18" s="1"/>
  <c r="N70" i="18"/>
  <c r="R70" i="18" s="1"/>
  <c r="N42" i="18"/>
  <c r="P42" i="18" s="1"/>
  <c r="N37" i="18"/>
  <c r="P37" i="18" s="1"/>
  <c r="N78" i="18"/>
  <c r="P78" i="18" s="1"/>
  <c r="N91" i="18"/>
  <c r="R91" i="18" s="1"/>
  <c r="N60" i="18"/>
  <c r="P60" i="18" s="1"/>
  <c r="N55" i="18"/>
  <c r="R55" i="18" s="1"/>
  <c r="N39" i="18"/>
  <c r="R39" i="18" s="1"/>
  <c r="N110" i="18"/>
  <c r="P110" i="18" s="1"/>
  <c r="N87" i="18"/>
  <c r="R87" i="18" s="1"/>
  <c r="N133" i="18"/>
  <c r="P133" i="18" s="1"/>
  <c r="N89" i="18"/>
  <c r="R89" i="18" s="1"/>
  <c r="N123" i="18"/>
  <c r="P123" i="18" s="1"/>
  <c r="N76" i="18"/>
  <c r="P76" i="18" s="1"/>
  <c r="N38" i="18"/>
  <c r="R38" i="18" s="1"/>
  <c r="N61" i="18"/>
  <c r="P61" i="18" s="1"/>
  <c r="N90" i="18"/>
  <c r="R90" i="18" s="1"/>
  <c r="N73" i="18"/>
  <c r="P73" i="18" s="1"/>
  <c r="N30" i="18"/>
  <c r="P30" i="18" s="1"/>
  <c r="N96" i="18"/>
  <c r="P96" i="18" s="1"/>
  <c r="N74" i="18"/>
  <c r="P74" i="18" s="1"/>
  <c r="N59" i="18"/>
  <c r="P59" i="18" s="1"/>
  <c r="N75" i="18"/>
  <c r="P75" i="18" s="1"/>
  <c r="N27" i="18"/>
  <c r="P27" i="18" s="1"/>
  <c r="P15" i="18"/>
  <c r="R15" i="18"/>
  <c r="N67" i="18"/>
  <c r="R67" i="18" s="1"/>
  <c r="N31" i="18"/>
  <c r="R31" i="18" s="1"/>
  <c r="N118" i="18"/>
  <c r="R118" i="18" s="1"/>
  <c r="N80" i="18"/>
  <c r="P80" i="18" s="1"/>
  <c r="N79" i="18"/>
  <c r="P79" i="18" s="1"/>
  <c r="N33" i="18"/>
  <c r="P33" i="18" s="1"/>
  <c r="N53" i="18"/>
  <c r="P53" i="18" s="1"/>
  <c r="N52" i="18"/>
  <c r="P52" i="18" s="1"/>
  <c r="N32" i="18"/>
  <c r="P32" i="18" s="1"/>
  <c r="N54" i="18"/>
  <c r="P54" i="18" s="1"/>
  <c r="N128" i="18"/>
  <c r="R128" i="18" s="1"/>
  <c r="N77" i="18"/>
  <c r="P77" i="18" s="1"/>
  <c r="N56" i="18"/>
  <c r="R56" i="18" s="1"/>
  <c r="N62" i="18"/>
  <c r="P62" i="18" s="1"/>
  <c r="N29" i="18"/>
  <c r="P29" i="18" s="1"/>
  <c r="N115" i="18"/>
  <c r="P115" i="18" s="1"/>
  <c r="N88" i="18"/>
  <c r="R88" i="18" s="1"/>
  <c r="N104" i="18"/>
  <c r="P104" i="18" s="1"/>
  <c r="N101" i="18"/>
  <c r="N41" i="18"/>
  <c r="R41" i="18" s="1"/>
  <c r="N92" i="18"/>
  <c r="P92" i="18" s="1"/>
  <c r="N40" i="18"/>
  <c r="P40" i="18" s="1"/>
  <c r="AN16" i="18"/>
  <c r="AL18" i="17"/>
  <c r="H35" i="51"/>
  <c r="F34" i="51"/>
  <c r="N32" i="16"/>
  <c r="O32" i="16" s="1"/>
  <c r="I32" i="16"/>
  <c r="K32" i="16"/>
  <c r="P55" i="17"/>
  <c r="F31" i="68"/>
  <c r="F18" i="68"/>
  <c r="F22" i="68"/>
  <c r="F32" i="68"/>
  <c r="R55" i="17"/>
  <c r="AD11" i="22"/>
  <c r="AD13" i="22"/>
  <c r="AD15" i="22"/>
  <c r="AD5" i="22"/>
  <c r="AD7" i="22"/>
  <c r="D68" i="51" l="1"/>
  <c r="H68" i="51" s="1"/>
  <c r="P16" i="18"/>
  <c r="R32" i="18"/>
  <c r="P70" i="18"/>
  <c r="R53" i="18"/>
  <c r="R59" i="18"/>
  <c r="P89" i="18"/>
  <c r="R54" i="18"/>
  <c r="R96" i="18"/>
  <c r="R30" i="18"/>
  <c r="R37" i="18"/>
  <c r="R42" i="18"/>
  <c r="P38" i="18"/>
  <c r="N105" i="18"/>
  <c r="P105" i="18" s="1"/>
  <c r="N124" i="18"/>
  <c r="R124" i="18" s="1"/>
  <c r="N129" i="18"/>
  <c r="P129" i="18" s="1"/>
  <c r="P67" i="18"/>
  <c r="P90" i="18"/>
  <c r="P41" i="18"/>
  <c r="P91" i="18"/>
  <c r="R123" i="18"/>
  <c r="R101" i="18"/>
  <c r="R61" i="18"/>
  <c r="P39" i="18"/>
  <c r="R104" i="18"/>
  <c r="P128" i="18"/>
  <c r="P56" i="18"/>
  <c r="P101" i="18"/>
  <c r="R27" i="18"/>
  <c r="R52" i="18"/>
  <c r="P31" i="18"/>
  <c r="R92" i="18"/>
  <c r="N63" i="18"/>
  <c r="P63" i="18" s="1"/>
  <c r="P87" i="18"/>
  <c r="R110" i="18"/>
  <c r="P88" i="18"/>
  <c r="R60" i="18"/>
  <c r="N119" i="18"/>
  <c r="R119" i="18" s="1"/>
  <c r="R133" i="18"/>
  <c r="R29" i="18"/>
  <c r="N134" i="18"/>
  <c r="P134" i="18" s="1"/>
  <c r="P55" i="18"/>
  <c r="R33" i="18"/>
  <c r="N97" i="18"/>
  <c r="R97" i="18" s="1"/>
  <c r="P118" i="18"/>
  <c r="N81" i="18"/>
  <c r="R81" i="18" s="1"/>
  <c r="N111" i="18"/>
  <c r="R111" i="18" s="1"/>
  <c r="R115" i="18"/>
  <c r="R62" i="18"/>
  <c r="R40" i="18"/>
  <c r="Q35" i="51"/>
  <c r="P35" i="51"/>
  <c r="F33" i="68"/>
  <c r="D54" i="51"/>
  <c r="E54" i="51"/>
  <c r="D67" i="51"/>
  <c r="D58" i="51"/>
  <c r="E58" i="51"/>
  <c r="J34" i="51"/>
  <c r="F68" i="51"/>
  <c r="J68" i="51" s="1"/>
  <c r="F22" i="33"/>
  <c r="F18" i="33"/>
  <c r="F31" i="33"/>
  <c r="F32" i="33"/>
  <c r="G32" i="33"/>
  <c r="F11" i="68"/>
  <c r="F35" i="68"/>
  <c r="F28" i="68"/>
  <c r="F10" i="68"/>
  <c r="F21" i="68"/>
  <c r="F27" i="68"/>
  <c r="F16" i="68"/>
  <c r="F26" i="68"/>
  <c r="F13" i="68"/>
  <c r="F25" i="68"/>
  <c r="F17" i="68"/>
  <c r="F12" i="68"/>
  <c r="F23" i="68" l="1"/>
  <c r="E59" i="51" s="1"/>
  <c r="I59" i="51" s="1"/>
  <c r="E64" i="51"/>
  <c r="I64" i="51" s="1"/>
  <c r="F36" i="68"/>
  <c r="E72" i="51" s="1"/>
  <c r="I72" i="51" s="1"/>
  <c r="R105" i="18"/>
  <c r="P124" i="18"/>
  <c r="R129" i="18"/>
  <c r="R134" i="18"/>
  <c r="P111" i="18"/>
  <c r="P81" i="18"/>
  <c r="R63" i="18"/>
  <c r="N137" i="18"/>
  <c r="P119" i="18"/>
  <c r="P97" i="18"/>
  <c r="R68" i="51"/>
  <c r="R34" i="51"/>
  <c r="E69" i="51"/>
  <c r="I69" i="51" s="1"/>
  <c r="D69" i="51"/>
  <c r="F29" i="68"/>
  <c r="F19" i="68"/>
  <c r="F14" i="68"/>
  <c r="D71" i="51"/>
  <c r="D47" i="51"/>
  <c r="H47" i="51" s="1"/>
  <c r="E47" i="51"/>
  <c r="D53" i="51"/>
  <c r="E53" i="51"/>
  <c r="D49" i="51"/>
  <c r="E49" i="51"/>
  <c r="D62" i="51"/>
  <c r="E62" i="51"/>
  <c r="I58" i="51"/>
  <c r="D52" i="51"/>
  <c r="E52" i="51"/>
  <c r="D48" i="51"/>
  <c r="E48" i="51"/>
  <c r="D63" i="51"/>
  <c r="E63" i="51"/>
  <c r="D57" i="51"/>
  <c r="E57" i="51"/>
  <c r="D61" i="51"/>
  <c r="E61" i="51"/>
  <c r="D46" i="51"/>
  <c r="E46" i="51"/>
  <c r="I54" i="51"/>
  <c r="G31" i="33"/>
  <c r="F33" i="51"/>
  <c r="N31" i="16"/>
  <c r="O31" i="16" s="1"/>
  <c r="G33" i="16"/>
  <c r="I31" i="16"/>
  <c r="K31" i="16"/>
  <c r="P68" i="51"/>
  <c r="F35" i="33"/>
  <c r="F11" i="33"/>
  <c r="F17" i="33"/>
  <c r="K32" i="33"/>
  <c r="F13" i="33"/>
  <c r="F26" i="33"/>
  <c r="F16" i="33"/>
  <c r="F27" i="33"/>
  <c r="F12" i="33"/>
  <c r="F25" i="33"/>
  <c r="M24" i="51"/>
  <c r="F21" i="33"/>
  <c r="F10" i="33"/>
  <c r="M20" i="51"/>
  <c r="F33" i="33"/>
  <c r="I32" i="33"/>
  <c r="P137" i="18" l="1"/>
  <c r="N139" i="18"/>
  <c r="D72" i="51"/>
  <c r="D59" i="51"/>
  <c r="D50" i="51"/>
  <c r="E65" i="51"/>
  <c r="I65" i="51" s="1"/>
  <c r="E55" i="51"/>
  <c r="I55" i="51" s="1"/>
  <c r="D55" i="51"/>
  <c r="F38" i="68"/>
  <c r="E50" i="51"/>
  <c r="K31" i="33"/>
  <c r="G33" i="33"/>
  <c r="I57" i="51"/>
  <c r="I52" i="51"/>
  <c r="I62" i="51"/>
  <c r="I49" i="51"/>
  <c r="I63" i="51"/>
  <c r="I48" i="51"/>
  <c r="I53" i="51"/>
  <c r="I46" i="51"/>
  <c r="I47" i="51"/>
  <c r="I61" i="51"/>
  <c r="I31" i="33"/>
  <c r="J33" i="51"/>
  <c r="F67" i="51"/>
  <c r="J67" i="51" s="1"/>
  <c r="F35" i="51"/>
  <c r="H69" i="51" s="1"/>
  <c r="Q69" i="51" s="1"/>
  <c r="I33" i="16"/>
  <c r="K33" i="16"/>
  <c r="N33" i="16"/>
  <c r="O33" i="16" s="1"/>
  <c r="F14" i="33"/>
  <c r="F23" i="33"/>
  <c r="M29" i="51"/>
  <c r="M23" i="51"/>
  <c r="M15" i="51"/>
  <c r="F19" i="33"/>
  <c r="M38" i="51"/>
  <c r="M40" i="51"/>
  <c r="M35" i="51"/>
  <c r="M21" i="51"/>
  <c r="M31" i="51"/>
  <c r="M16" i="51"/>
  <c r="M25" i="51"/>
  <c r="M14" i="51"/>
  <c r="M13" i="51"/>
  <c r="M30" i="51"/>
  <c r="M18" i="51"/>
  <c r="M28" i="51"/>
  <c r="M19" i="51"/>
  <c r="M27" i="51"/>
  <c r="M12" i="51"/>
  <c r="F36" i="33"/>
  <c r="R33" i="51" l="1"/>
  <c r="I33" i="33"/>
  <c r="K33" i="33"/>
  <c r="E74" i="51"/>
  <c r="I50" i="51"/>
  <c r="H67" i="51"/>
  <c r="P67" i="51"/>
  <c r="P69" i="51"/>
  <c r="J35" i="51"/>
  <c r="F69" i="51"/>
  <c r="R67" i="51" l="1"/>
  <c r="R35" i="51"/>
  <c r="M50" i="51"/>
  <c r="M74" i="51"/>
  <c r="I74" i="51"/>
  <c r="M72" i="51"/>
  <c r="M64" i="51"/>
  <c r="M58" i="51"/>
  <c r="M65" i="51"/>
  <c r="M59" i="51"/>
  <c r="M54" i="51"/>
  <c r="M69" i="51"/>
  <c r="M46" i="51"/>
  <c r="M57" i="51"/>
  <c r="M63" i="51"/>
  <c r="M47" i="51"/>
  <c r="M55" i="51"/>
  <c r="M61" i="51"/>
  <c r="M52" i="51"/>
  <c r="M49" i="51"/>
  <c r="M62" i="51"/>
  <c r="M48" i="51"/>
  <c r="M53" i="51"/>
  <c r="J69" i="51"/>
  <c r="R69" i="51" l="1"/>
  <c r="T162" i="17" l="1"/>
  <c r="AG162" i="17" s="1"/>
  <c r="T98" i="17"/>
  <c r="T142" i="17"/>
  <c r="AG142" i="17" s="1"/>
  <c r="AH142" i="17" s="1"/>
  <c r="T132" i="17"/>
  <c r="T27" i="17"/>
  <c r="T59" i="17"/>
  <c r="T72" i="17"/>
  <c r="T150" i="17"/>
  <c r="T85" i="17"/>
  <c r="T36" i="17"/>
  <c r="T124" i="17"/>
  <c r="T51" i="17"/>
  <c r="T111" i="17"/>
  <c r="AG111" i="17" l="1"/>
  <c r="AH111" i="17" s="1"/>
  <c r="AJ102" i="17" s="1"/>
  <c r="AL102" i="17" s="1"/>
  <c r="AG124" i="17"/>
  <c r="AH124" i="17" s="1"/>
  <c r="AJ122" i="17" s="1"/>
  <c r="AL122" i="17" s="1"/>
  <c r="AG72" i="17"/>
  <c r="AH72" i="17" s="1"/>
  <c r="AJ63" i="17" s="1"/>
  <c r="AL63" i="17" s="1"/>
  <c r="AG98" i="17"/>
  <c r="AH98" i="17" s="1"/>
  <c r="AJ92" i="17" s="1"/>
  <c r="AL92" i="17" s="1"/>
  <c r="AG85" i="17"/>
  <c r="AH85" i="17" s="1"/>
  <c r="AJ84" i="17" s="1"/>
  <c r="AL84" i="17" s="1"/>
  <c r="AG36" i="17"/>
  <c r="AH36" i="17" s="1"/>
  <c r="AJ35" i="17" s="1"/>
  <c r="AL35" i="17" s="1"/>
  <c r="AG51" i="17"/>
  <c r="AH51" i="17" s="1"/>
  <c r="AL51" i="17"/>
  <c r="AG150" i="17"/>
  <c r="AH150" i="17" s="1"/>
  <c r="AG132" i="17"/>
  <c r="AH132" i="17" s="1"/>
  <c r="K58" i="17"/>
  <c r="E55" i="70" s="1"/>
  <c r="AG59" i="17"/>
  <c r="AH59" i="17" s="1"/>
  <c r="AG27" i="17"/>
  <c r="AH27" i="17" s="1"/>
  <c r="AJ141" i="17"/>
  <c r="AL141" i="17" s="1"/>
  <c r="AJ136" i="17"/>
  <c r="AL136" i="17" s="1"/>
  <c r="AJ140" i="17"/>
  <c r="AJ139" i="17"/>
  <c r="T164" i="17"/>
  <c r="AJ123" i="17" l="1"/>
  <c r="AJ119" i="17"/>
  <c r="AJ118" i="17"/>
  <c r="AL118" i="17" s="1"/>
  <c r="AJ115" i="17"/>
  <c r="AL115" i="17" s="1"/>
  <c r="AJ97" i="17"/>
  <c r="AL97" i="17" s="1"/>
  <c r="AJ109" i="17"/>
  <c r="AL109" i="17" s="1"/>
  <c r="AJ106" i="17"/>
  <c r="AL106" i="17" s="1"/>
  <c r="AJ110" i="17"/>
  <c r="AL110" i="17" s="1"/>
  <c r="AJ105" i="17"/>
  <c r="AL105" i="17" s="1"/>
  <c r="AJ67" i="17"/>
  <c r="AL67" i="17" s="1"/>
  <c r="AJ70" i="17"/>
  <c r="AL70" i="17" s="1"/>
  <c r="AJ71" i="17"/>
  <c r="AL71" i="17" s="1"/>
  <c r="AJ66" i="17"/>
  <c r="AL66" i="17" s="1"/>
  <c r="AJ76" i="17"/>
  <c r="AL76" i="17" s="1"/>
  <c r="AJ83" i="17"/>
  <c r="AL83" i="17" s="1"/>
  <c r="AJ80" i="17"/>
  <c r="AL80" i="17" s="1"/>
  <c r="AJ79" i="17"/>
  <c r="AL79" i="17" s="1"/>
  <c r="AJ89" i="17"/>
  <c r="AL89" i="17" s="1"/>
  <c r="AJ96" i="17"/>
  <c r="AL96" i="17" s="1"/>
  <c r="AJ93" i="17"/>
  <c r="AL93" i="17" s="1"/>
  <c r="AJ31" i="17"/>
  <c r="AL31" i="17" s="1"/>
  <c r="AJ34" i="17"/>
  <c r="AL34" i="17" s="1"/>
  <c r="AL142" i="17"/>
  <c r="AJ131" i="17"/>
  <c r="AL131" i="17" s="1"/>
  <c r="AJ128" i="17"/>
  <c r="AL128" i="17" s="1"/>
  <c r="AJ146" i="17"/>
  <c r="AL146" i="17" s="1"/>
  <c r="AJ149" i="17"/>
  <c r="AL149" i="17" s="1"/>
  <c r="AJ22" i="17"/>
  <c r="AL22" i="17" s="1"/>
  <c r="AJ26" i="17"/>
  <c r="AL26" i="17" s="1"/>
  <c r="AJ25" i="17"/>
  <c r="AL25" i="17" s="1"/>
  <c r="AJ58" i="17"/>
  <c r="AL58" i="17" s="1"/>
  <c r="AJ55" i="17"/>
  <c r="AL55" i="17" s="1"/>
  <c r="N58" i="17"/>
  <c r="N59" i="17" s="1"/>
  <c r="AL72" i="17" l="1"/>
  <c r="AL124" i="17"/>
  <c r="AL98" i="17"/>
  <c r="AL85" i="17"/>
  <c r="AL111" i="17"/>
  <c r="AL36" i="17"/>
  <c r="AL132" i="17"/>
  <c r="AL59" i="17"/>
  <c r="AL27" i="17"/>
  <c r="AL150" i="17"/>
  <c r="P59" i="17"/>
  <c r="G16" i="16"/>
  <c r="R58" i="17"/>
  <c r="R59" i="17"/>
  <c r="P58" i="17"/>
  <c r="F18" i="51" l="1"/>
  <c r="N16" i="16"/>
  <c r="O16" i="16" s="1"/>
  <c r="G16" i="33"/>
  <c r="I16" i="33" s="1"/>
  <c r="K16" i="16"/>
  <c r="I16" i="16"/>
  <c r="J18" i="51" l="1"/>
  <c r="H71" i="51"/>
  <c r="P71" i="51"/>
  <c r="F52" i="51"/>
  <c r="K16" i="33"/>
  <c r="R18" i="51" l="1"/>
  <c r="H72" i="51"/>
  <c r="P72" i="51"/>
  <c r="H52" i="51"/>
  <c r="Q52" i="51" s="1"/>
  <c r="P52" i="51"/>
  <c r="H53" i="51"/>
  <c r="P53" i="51"/>
  <c r="J52" i="51"/>
  <c r="N13" i="17"/>
  <c r="K16" i="17" s="1"/>
  <c r="K17" i="17" s="1"/>
  <c r="Q53" i="51" l="1"/>
  <c r="Q72" i="51"/>
  <c r="R52" i="51"/>
  <c r="P47" i="51"/>
  <c r="E13" i="70"/>
  <c r="R13" i="17"/>
  <c r="P13" i="17"/>
  <c r="Q47" i="51" l="1"/>
  <c r="E14" i="70"/>
  <c r="N16" i="17"/>
  <c r="N17" i="17" l="1"/>
  <c r="N18" i="17" s="1"/>
  <c r="P16" i="17"/>
  <c r="R16" i="17"/>
  <c r="P17" i="17" l="1"/>
  <c r="R17" i="17"/>
  <c r="G10" i="16"/>
  <c r="R18" i="17"/>
  <c r="P18" i="17"/>
  <c r="F12" i="51" l="1"/>
  <c r="F46" i="51" s="1"/>
  <c r="J46" i="51" s="1"/>
  <c r="G10" i="33"/>
  <c r="I10" i="33" s="1"/>
  <c r="I10" i="16"/>
  <c r="K10" i="16"/>
  <c r="N10" i="16"/>
  <c r="O10" i="16" s="1"/>
  <c r="M36" i="13"/>
  <c r="D157" i="17" s="1"/>
  <c r="J12" i="51" l="1"/>
  <c r="R12" i="51" s="1"/>
  <c r="K10" i="33"/>
  <c r="M74" i="13"/>
  <c r="J157" i="17" s="1"/>
  <c r="H157" i="17"/>
  <c r="H162" i="17" l="1"/>
  <c r="AF162" i="17" s="1"/>
  <c r="AH162" i="17" s="1"/>
  <c r="AF157" i="17"/>
  <c r="H46" i="51"/>
  <c r="P46" i="51"/>
  <c r="F28" i="16" l="1"/>
  <c r="F28" i="33" s="1"/>
  <c r="H164" i="17"/>
  <c r="AG163" i="17" s="1"/>
  <c r="AJ161" i="17"/>
  <c r="AL161" i="17" s="1"/>
  <c r="AJ154" i="17"/>
  <c r="AL154" i="17" s="1"/>
  <c r="AJ158" i="17"/>
  <c r="AJ157" i="17"/>
  <c r="AL157" i="17" s="1"/>
  <c r="Q46" i="51"/>
  <c r="R46" i="51"/>
  <c r="T47" i="51"/>
  <c r="D30" i="51" l="1"/>
  <c r="H30" i="51" s="1"/>
  <c r="F29" i="16"/>
  <c r="F38" i="16" s="1"/>
  <c r="AL162" i="17"/>
  <c r="AL164" i="17" s="1"/>
  <c r="F29" i="33"/>
  <c r="D31" i="51" l="1"/>
  <c r="D65" i="51" s="1"/>
  <c r="D64" i="51"/>
  <c r="Q30" i="51"/>
  <c r="P30" i="51"/>
  <c r="H55" i="51"/>
  <c r="P55" i="51"/>
  <c r="H54" i="51"/>
  <c r="P54" i="51"/>
  <c r="D40" i="51"/>
  <c r="F43" i="16"/>
  <c r="F38" i="33"/>
  <c r="H31" i="51" l="1"/>
  <c r="Q31" i="51" s="1"/>
  <c r="Y66" i="17"/>
  <c r="Y63" i="17"/>
  <c r="Y76" i="17"/>
  <c r="Y157" i="17"/>
  <c r="Y106" i="17"/>
  <c r="Y115" i="17"/>
  <c r="Y158" i="17"/>
  <c r="W158" i="17" s="1"/>
  <c r="K158" i="17" s="1"/>
  <c r="Y92" i="17"/>
  <c r="Y128" i="17"/>
  <c r="Y93" i="17"/>
  <c r="Y118" i="17"/>
  <c r="Q55" i="51"/>
  <c r="Q54" i="51"/>
  <c r="H40" i="51"/>
  <c r="D74" i="51"/>
  <c r="L18" i="51"/>
  <c r="L12" i="51"/>
  <c r="L34" i="51"/>
  <c r="L40" i="51"/>
  <c r="L31" i="51"/>
  <c r="L30" i="51"/>
  <c r="L35" i="51"/>
  <c r="L29" i="51"/>
  <c r="L28" i="51"/>
  <c r="L13" i="51"/>
  <c r="L38" i="51"/>
  <c r="L33" i="51"/>
  <c r="Y136" i="17"/>
  <c r="Y31" i="17"/>
  <c r="Y102" i="17"/>
  <c r="L37" i="51"/>
  <c r="L25" i="51"/>
  <c r="L27" i="51"/>
  <c r="L24" i="51"/>
  <c r="L21" i="51"/>
  <c r="L19" i="51"/>
  <c r="L16" i="51"/>
  <c r="L20" i="51"/>
  <c r="L23" i="51"/>
  <c r="L15" i="51"/>
  <c r="Y105" i="17"/>
  <c r="L14" i="51"/>
  <c r="W115" i="17"/>
  <c r="K115" i="17" s="1"/>
  <c r="W102" i="17" l="1"/>
  <c r="K102" i="17" s="1"/>
  <c r="E99" i="70" s="1"/>
  <c r="P31" i="51"/>
  <c r="W157" i="17"/>
  <c r="K157" i="17" s="1"/>
  <c r="N157" i="17" s="1"/>
  <c r="W63" i="17"/>
  <c r="K63" i="17" s="1"/>
  <c r="E60" i="70" s="1"/>
  <c r="W118" i="17"/>
  <c r="K118" i="17" s="1"/>
  <c r="E115" i="70" s="1"/>
  <c r="W31" i="17"/>
  <c r="K31" i="17" s="1"/>
  <c r="N31" i="17" s="1"/>
  <c r="E112" i="70"/>
  <c r="N115" i="17"/>
  <c r="W106" i="17"/>
  <c r="K106" i="17" s="1"/>
  <c r="N106" i="17" s="1"/>
  <c r="E155" i="70"/>
  <c r="N158" i="17"/>
  <c r="P158" i="17" s="1"/>
  <c r="Q40" i="51"/>
  <c r="P40" i="51"/>
  <c r="H61" i="51"/>
  <c r="P61" i="51"/>
  <c r="H48" i="51"/>
  <c r="P48" i="51"/>
  <c r="Y154" i="17"/>
  <c r="W42" i="17"/>
  <c r="K42" i="17" s="1"/>
  <c r="W92" i="17"/>
  <c r="K92" i="17" s="1"/>
  <c r="Y139" i="17"/>
  <c r="W66" i="17"/>
  <c r="K66" i="17" s="1"/>
  <c r="W76" i="17"/>
  <c r="K76" i="17" s="1"/>
  <c r="E73" i="70" s="1"/>
  <c r="W105" i="17"/>
  <c r="K105" i="17" s="1"/>
  <c r="Y119" i="17"/>
  <c r="W93" i="17"/>
  <c r="K93" i="17" s="1"/>
  <c r="Y140" i="17"/>
  <c r="W136" i="17"/>
  <c r="K136" i="17" s="1"/>
  <c r="Y89" i="17"/>
  <c r="W128" i="17"/>
  <c r="K128" i="17" s="1"/>
  <c r="E125" i="70" s="1"/>
  <c r="N102" i="17" l="1"/>
  <c r="P102" i="17" s="1"/>
  <c r="Y80" i="17"/>
  <c r="W80" i="17" s="1"/>
  <c r="K80" i="17" s="1"/>
  <c r="Y67" i="17"/>
  <c r="W67" i="17" s="1"/>
  <c r="K67" i="17" s="1"/>
  <c r="W146" i="17"/>
  <c r="K146" i="17" s="1"/>
  <c r="N146" i="17" s="1"/>
  <c r="P146" i="17" s="1"/>
  <c r="Y146" i="17"/>
  <c r="W79" i="17"/>
  <c r="K79" i="17" s="1"/>
  <c r="E76" i="70" s="1"/>
  <c r="Y79" i="17"/>
  <c r="W22" i="17"/>
  <c r="K22" i="17" s="1"/>
  <c r="E154" i="70"/>
  <c r="N63" i="17"/>
  <c r="E28" i="70"/>
  <c r="N118" i="17"/>
  <c r="R118" i="17" s="1"/>
  <c r="W89" i="17"/>
  <c r="K89" i="17" s="1"/>
  <c r="N89" i="17" s="1"/>
  <c r="W154" i="17"/>
  <c r="K154" i="17" s="1"/>
  <c r="E151" i="70" s="1"/>
  <c r="W41" i="17"/>
  <c r="K41" i="17" s="1"/>
  <c r="E38" i="70" s="1"/>
  <c r="E39" i="70"/>
  <c r="N42" i="17"/>
  <c r="R42" i="17" s="1"/>
  <c r="W140" i="17"/>
  <c r="K140" i="17" s="1"/>
  <c r="E137" i="70" s="1"/>
  <c r="W119" i="17"/>
  <c r="K119" i="17" s="1"/>
  <c r="N119" i="17" s="1"/>
  <c r="P119" i="17" s="1"/>
  <c r="W139" i="17"/>
  <c r="K139" i="17" s="1"/>
  <c r="E136" i="70" s="1"/>
  <c r="W43" i="17"/>
  <c r="K43" i="17" s="1"/>
  <c r="N43" i="17" s="1"/>
  <c r="R43" i="17" s="1"/>
  <c r="E133" i="70"/>
  <c r="N136" i="17"/>
  <c r="P136" i="17" s="1"/>
  <c r="N128" i="17"/>
  <c r="R128" i="17" s="1"/>
  <c r="N76" i="17"/>
  <c r="P31" i="17"/>
  <c r="R31" i="17"/>
  <c r="P115" i="17"/>
  <c r="R115" i="17"/>
  <c r="E103" i="70"/>
  <c r="R157" i="17"/>
  <c r="P157" i="17"/>
  <c r="E102" i="70"/>
  <c r="N105" i="17"/>
  <c r="R106" i="17"/>
  <c r="P106" i="17"/>
  <c r="E90" i="70"/>
  <c r="N93" i="17"/>
  <c r="E89" i="70"/>
  <c r="N92" i="17"/>
  <c r="E63" i="70"/>
  <c r="N66" i="17"/>
  <c r="T48" i="51"/>
  <c r="Q48" i="51"/>
  <c r="Q61" i="51"/>
  <c r="H62" i="51"/>
  <c r="Q62" i="51" s="1"/>
  <c r="P62" i="51"/>
  <c r="H63" i="51"/>
  <c r="Q63" i="51" s="1"/>
  <c r="P63" i="51"/>
  <c r="H58" i="51"/>
  <c r="P58" i="51"/>
  <c r="H49" i="51"/>
  <c r="Q49" i="51" s="1"/>
  <c r="P49" i="51"/>
  <c r="H64" i="51"/>
  <c r="P64" i="51"/>
  <c r="H57" i="51"/>
  <c r="Q57" i="51" s="1"/>
  <c r="P57" i="51"/>
  <c r="N80" i="17" l="1"/>
  <c r="P80" i="17" s="1"/>
  <c r="E77" i="70"/>
  <c r="E64" i="70"/>
  <c r="N67" i="17"/>
  <c r="P67" i="17" s="1"/>
  <c r="E143" i="70"/>
  <c r="R89" i="17"/>
  <c r="K96" i="17"/>
  <c r="K97" i="17" s="1"/>
  <c r="R76" i="17"/>
  <c r="R102" i="17"/>
  <c r="K109" i="17"/>
  <c r="K110" i="17" s="1"/>
  <c r="P63" i="17"/>
  <c r="K70" i="17"/>
  <c r="K71" i="17" s="1"/>
  <c r="K122" i="17"/>
  <c r="K123" i="17" s="1"/>
  <c r="R63" i="17"/>
  <c r="N79" i="17"/>
  <c r="P79" i="17" s="1"/>
  <c r="E19" i="70"/>
  <c r="N22" i="17"/>
  <c r="P22" i="17" s="1"/>
  <c r="R80" i="17"/>
  <c r="E86" i="70"/>
  <c r="P118" i="17"/>
  <c r="N154" i="17"/>
  <c r="P154" i="17" s="1"/>
  <c r="R146" i="17"/>
  <c r="K149" i="17"/>
  <c r="E146" i="70" s="1"/>
  <c r="N41" i="17"/>
  <c r="P42" i="17"/>
  <c r="N139" i="17"/>
  <c r="P139" i="17" s="1"/>
  <c r="N140" i="17"/>
  <c r="P140" i="17" s="1"/>
  <c r="E116" i="70"/>
  <c r="E40" i="70"/>
  <c r="P89" i="17"/>
  <c r="K131" i="17"/>
  <c r="E128" i="70" s="1"/>
  <c r="P43" i="17"/>
  <c r="P76" i="17"/>
  <c r="P128" i="17"/>
  <c r="R136" i="17"/>
  <c r="R105" i="17"/>
  <c r="P105" i="17"/>
  <c r="R92" i="17"/>
  <c r="P92" i="17"/>
  <c r="R93" i="17"/>
  <c r="P93" i="17"/>
  <c r="R66" i="17"/>
  <c r="P66" i="17"/>
  <c r="Q58" i="51"/>
  <c r="Q64" i="51"/>
  <c r="H59" i="51"/>
  <c r="P59" i="51"/>
  <c r="L59" i="51"/>
  <c r="H65" i="51"/>
  <c r="Q65" i="51" s="1"/>
  <c r="P65" i="51"/>
  <c r="L65" i="51"/>
  <c r="H50" i="51"/>
  <c r="P50" i="51"/>
  <c r="L50" i="51"/>
  <c r="R67" i="17" l="1"/>
  <c r="P41" i="17"/>
  <c r="K46" i="17"/>
  <c r="K47" i="17" s="1"/>
  <c r="K48" i="17" s="1"/>
  <c r="K83" i="17"/>
  <c r="K84" i="17" s="1"/>
  <c r="E81" i="70" s="1"/>
  <c r="R79" i="17"/>
  <c r="R22" i="17"/>
  <c r="R154" i="17"/>
  <c r="K161" i="17"/>
  <c r="E158" i="70" s="1"/>
  <c r="R41" i="17"/>
  <c r="K141" i="17"/>
  <c r="E138" i="70" s="1"/>
  <c r="N149" i="17"/>
  <c r="P149" i="17" s="1"/>
  <c r="N131" i="17"/>
  <c r="P131" i="17" s="1"/>
  <c r="N122" i="17"/>
  <c r="R122" i="17" s="1"/>
  <c r="E119" i="70"/>
  <c r="E120" i="70"/>
  <c r="N123" i="17"/>
  <c r="P123" i="17" s="1"/>
  <c r="E106" i="70"/>
  <c r="N109" i="17"/>
  <c r="E93" i="70"/>
  <c r="N96" i="17"/>
  <c r="E67" i="70"/>
  <c r="N70" i="17"/>
  <c r="Q59" i="51"/>
  <c r="Q50" i="51"/>
  <c r="H74" i="51"/>
  <c r="Q74" i="51" s="1"/>
  <c r="L67" i="51"/>
  <c r="L71" i="51"/>
  <c r="L68" i="51"/>
  <c r="L53" i="51"/>
  <c r="L46" i="51"/>
  <c r="L72" i="51"/>
  <c r="L47" i="51"/>
  <c r="L52" i="51"/>
  <c r="L55" i="51"/>
  <c r="L69" i="51"/>
  <c r="L74" i="51"/>
  <c r="L54" i="51"/>
  <c r="P74" i="51"/>
  <c r="L61" i="51"/>
  <c r="L48" i="51"/>
  <c r="L49" i="51"/>
  <c r="L64" i="51"/>
  <c r="L57" i="51"/>
  <c r="L62" i="51"/>
  <c r="L63" i="51"/>
  <c r="L58" i="51"/>
  <c r="N47" i="17" l="1"/>
  <c r="P47" i="17" s="1"/>
  <c r="N83" i="17"/>
  <c r="P83" i="17" s="1"/>
  <c r="E80" i="70"/>
  <c r="N84" i="17"/>
  <c r="R84" i="17" s="1"/>
  <c r="E43" i="70"/>
  <c r="N161" i="17"/>
  <c r="N162" i="17" s="1"/>
  <c r="P162" i="17" s="1"/>
  <c r="N46" i="17"/>
  <c r="P46" i="17" s="1"/>
  <c r="E45" i="70"/>
  <c r="E44" i="70"/>
  <c r="N141" i="17"/>
  <c r="R141" i="17" s="1"/>
  <c r="N150" i="17"/>
  <c r="P150" i="17" s="1"/>
  <c r="R149" i="17"/>
  <c r="R131" i="17"/>
  <c r="N132" i="17"/>
  <c r="R132" i="17" s="1"/>
  <c r="P122" i="17"/>
  <c r="N124" i="17"/>
  <c r="R109" i="17"/>
  <c r="P109" i="17"/>
  <c r="E107" i="70"/>
  <c r="N110" i="17"/>
  <c r="N111" i="17" s="1"/>
  <c r="E94" i="70"/>
  <c r="N97" i="17"/>
  <c r="N98" i="17" s="1"/>
  <c r="R96" i="17"/>
  <c r="P96" i="17"/>
  <c r="P70" i="17"/>
  <c r="R70" i="17"/>
  <c r="E68" i="70"/>
  <c r="N71" i="17"/>
  <c r="R47" i="17" l="1"/>
  <c r="N85" i="17"/>
  <c r="P85" i="17" s="1"/>
  <c r="P161" i="17"/>
  <c r="P84" i="17"/>
  <c r="R83" i="17"/>
  <c r="N48" i="17"/>
  <c r="R48" i="17" s="1"/>
  <c r="R161" i="17"/>
  <c r="R46" i="17"/>
  <c r="G28" i="16"/>
  <c r="F30" i="51" s="1"/>
  <c r="R162" i="17"/>
  <c r="G17" i="16"/>
  <c r="K17" i="16" s="1"/>
  <c r="R150" i="17"/>
  <c r="P141" i="17"/>
  <c r="N142" i="17"/>
  <c r="R142" i="17" s="1"/>
  <c r="G35" i="16"/>
  <c r="N35" i="16" s="1"/>
  <c r="O35" i="16" s="1"/>
  <c r="P132" i="17"/>
  <c r="P71" i="17"/>
  <c r="R71" i="17"/>
  <c r="R124" i="17"/>
  <c r="P124" i="17"/>
  <c r="G27" i="16"/>
  <c r="P111" i="17"/>
  <c r="G26" i="16"/>
  <c r="R111" i="17"/>
  <c r="P110" i="17"/>
  <c r="R110" i="17"/>
  <c r="G22" i="16"/>
  <c r="R98" i="17"/>
  <c r="P98" i="17"/>
  <c r="P97" i="17"/>
  <c r="R97" i="17"/>
  <c r="N72" i="17"/>
  <c r="G25" i="16" l="1"/>
  <c r="G29" i="16" s="1"/>
  <c r="R85" i="17"/>
  <c r="N51" i="17"/>
  <c r="P48" i="17"/>
  <c r="I28" i="16"/>
  <c r="N28" i="16"/>
  <c r="O28" i="16" s="1"/>
  <c r="K28" i="16"/>
  <c r="G28" i="33"/>
  <c r="F19" i="51"/>
  <c r="F53" i="51" s="1"/>
  <c r="J53" i="51" s="1"/>
  <c r="N17" i="16"/>
  <c r="O17" i="16" s="1"/>
  <c r="I17" i="16"/>
  <c r="G18" i="16"/>
  <c r="G18" i="33" s="1"/>
  <c r="G17" i="33"/>
  <c r="K17" i="33" s="1"/>
  <c r="P142" i="17"/>
  <c r="F37" i="51"/>
  <c r="G35" i="33"/>
  <c r="K35" i="16"/>
  <c r="I35" i="16"/>
  <c r="G36" i="16"/>
  <c r="K36" i="16" s="1"/>
  <c r="J30" i="51"/>
  <c r="F64" i="51"/>
  <c r="J64" i="51" s="1"/>
  <c r="F29" i="51"/>
  <c r="I27" i="16"/>
  <c r="N27" i="16"/>
  <c r="O27" i="16" s="1"/>
  <c r="K27" i="16"/>
  <c r="G27" i="33"/>
  <c r="F28" i="51"/>
  <c r="G26" i="33"/>
  <c r="K26" i="16"/>
  <c r="N26" i="16"/>
  <c r="O26" i="16" s="1"/>
  <c r="I26" i="16"/>
  <c r="I22" i="16"/>
  <c r="N22" i="16"/>
  <c r="O22" i="16" s="1"/>
  <c r="F24" i="51"/>
  <c r="K22" i="16"/>
  <c r="G22" i="33"/>
  <c r="P72" i="17"/>
  <c r="G21" i="16"/>
  <c r="R72" i="17"/>
  <c r="G25" i="33" l="1"/>
  <c r="K25" i="33" s="1"/>
  <c r="F27" i="51"/>
  <c r="F61" i="51" s="1"/>
  <c r="K25" i="16"/>
  <c r="I25" i="16"/>
  <c r="N25" i="16"/>
  <c r="O25" i="16" s="1"/>
  <c r="R51" i="17"/>
  <c r="F71" i="51"/>
  <c r="J71" i="51" s="1"/>
  <c r="G13" i="16"/>
  <c r="N13" i="16" s="1"/>
  <c r="O13" i="16" s="1"/>
  <c r="P51" i="17"/>
  <c r="J19" i="51"/>
  <c r="K28" i="33"/>
  <c r="I28" i="33"/>
  <c r="K18" i="16"/>
  <c r="I18" i="16"/>
  <c r="I19" i="16" s="1"/>
  <c r="N18" i="16"/>
  <c r="O18" i="16" s="1"/>
  <c r="G19" i="16"/>
  <c r="F21" i="51" s="1"/>
  <c r="J21" i="51" s="1"/>
  <c r="F20" i="51"/>
  <c r="J20" i="51" s="1"/>
  <c r="I17" i="33"/>
  <c r="J37" i="51"/>
  <c r="I36" i="16"/>
  <c r="K35" i="33"/>
  <c r="I35" i="33"/>
  <c r="G36" i="33"/>
  <c r="I36" i="33" s="1"/>
  <c r="F38" i="51"/>
  <c r="J38" i="51" s="1"/>
  <c r="R38" i="51" s="1"/>
  <c r="N36" i="16"/>
  <c r="O36" i="16" s="1"/>
  <c r="R53" i="51"/>
  <c r="R30" i="51"/>
  <c r="R64" i="51"/>
  <c r="G19" i="33"/>
  <c r="I18" i="33"/>
  <c r="K18" i="33"/>
  <c r="I27" i="33"/>
  <c r="K27" i="33"/>
  <c r="J29" i="51"/>
  <c r="F63" i="51"/>
  <c r="J63" i="51" s="1"/>
  <c r="I26" i="33"/>
  <c r="K26" i="33"/>
  <c r="F62" i="51"/>
  <c r="J62" i="51" s="1"/>
  <c r="J28" i="51"/>
  <c r="I22" i="33"/>
  <c r="K22" i="33"/>
  <c r="F58" i="51"/>
  <c r="J58" i="51" s="1"/>
  <c r="J24" i="51"/>
  <c r="F31" i="51"/>
  <c r="J31" i="51" s="1"/>
  <c r="I29" i="16"/>
  <c r="N29" i="16"/>
  <c r="O29" i="16" s="1"/>
  <c r="K29" i="16"/>
  <c r="F23" i="51"/>
  <c r="I21" i="16"/>
  <c r="N21" i="16"/>
  <c r="O21" i="16" s="1"/>
  <c r="G21" i="33"/>
  <c r="K21" i="16"/>
  <c r="G23" i="16"/>
  <c r="G29" i="33" l="1"/>
  <c r="I29" i="33" s="1"/>
  <c r="I25" i="33"/>
  <c r="J27" i="51"/>
  <c r="R27" i="51" s="1"/>
  <c r="F72" i="51"/>
  <c r="J72" i="51" s="1"/>
  <c r="I13" i="16"/>
  <c r="G13" i="33"/>
  <c r="K13" i="33" s="1"/>
  <c r="K13" i="16"/>
  <c r="F15" i="51"/>
  <c r="J15" i="51" s="1"/>
  <c r="R19" i="51"/>
  <c r="I19" i="33"/>
  <c r="F54" i="51"/>
  <c r="F55" i="51" s="1"/>
  <c r="J55" i="51" s="1"/>
  <c r="K19" i="16"/>
  <c r="N19" i="16"/>
  <c r="O19" i="16" s="1"/>
  <c r="R37" i="51"/>
  <c r="K36" i="33"/>
  <c r="R71" i="51"/>
  <c r="K19" i="33"/>
  <c r="R20" i="51"/>
  <c r="R21" i="51"/>
  <c r="R63" i="51"/>
  <c r="R29" i="51"/>
  <c r="R62" i="51"/>
  <c r="R28" i="51"/>
  <c r="R24" i="51"/>
  <c r="R58" i="51"/>
  <c r="J61" i="51"/>
  <c r="F65" i="51"/>
  <c r="J65" i="51" s="1"/>
  <c r="R31" i="51"/>
  <c r="I21" i="33"/>
  <c r="G23" i="33"/>
  <c r="K21" i="33"/>
  <c r="F57" i="51"/>
  <c r="J23" i="51"/>
  <c r="I23" i="16"/>
  <c r="K23" i="16"/>
  <c r="N23" i="16"/>
  <c r="O23" i="16" s="1"/>
  <c r="F25" i="51"/>
  <c r="K29" i="33" l="1"/>
  <c r="R72" i="51"/>
  <c r="F49" i="51"/>
  <c r="J49" i="51" s="1"/>
  <c r="I13" i="33"/>
  <c r="J54" i="51"/>
  <c r="R15" i="51"/>
  <c r="R55" i="51"/>
  <c r="R65" i="51"/>
  <c r="R61" i="51"/>
  <c r="J25" i="51"/>
  <c r="R23" i="51"/>
  <c r="F59" i="51"/>
  <c r="J57" i="51"/>
  <c r="I23" i="33"/>
  <c r="K23" i="33"/>
  <c r="R54" i="51" l="1"/>
  <c r="R49" i="51"/>
  <c r="R57" i="51"/>
  <c r="J59" i="51"/>
  <c r="R25" i="51"/>
  <c r="R59" i="51" l="1"/>
  <c r="K26" i="17" l="1"/>
  <c r="N26" i="17"/>
  <c r="K25" i="17" s="1"/>
  <c r="E23" i="70"/>
  <c r="P26" i="17"/>
  <c r="R26" i="17"/>
  <c r="E22" i="70" l="1"/>
  <c r="N25" i="17"/>
  <c r="N27" i="17" l="1"/>
  <c r="P25" i="17"/>
  <c r="R25" i="17"/>
  <c r="G11" i="16" l="1"/>
  <c r="R27" i="17"/>
  <c r="P27" i="17"/>
  <c r="G11" i="33" l="1"/>
  <c r="I11" i="16"/>
  <c r="N11" i="16"/>
  <c r="O11" i="16" s="1"/>
  <c r="K11" i="16"/>
  <c r="F13" i="51"/>
  <c r="J13" i="51" l="1"/>
  <c r="F47" i="51"/>
  <c r="I11" i="33"/>
  <c r="K11" i="33"/>
  <c r="J47" i="51" l="1"/>
  <c r="R13" i="51"/>
  <c r="U13" i="51"/>
  <c r="R47" i="51" l="1"/>
  <c r="U47" i="51"/>
  <c r="K35" i="17"/>
  <c r="N35" i="17"/>
  <c r="K34" i="17"/>
  <c r="N34" i="17"/>
  <c r="N36" i="17"/>
  <c r="G12" i="16"/>
  <c r="G14" i="16" s="1"/>
  <c r="G12" i="33"/>
  <c r="I12" i="33" s="1"/>
  <c r="I14" i="33" s="1"/>
  <c r="I12" i="16"/>
  <c r="I14" i="16"/>
  <c r="F14" i="51"/>
  <c r="J14" i="51" s="1"/>
  <c r="F48" i="51"/>
  <c r="J48" i="51" s="1"/>
  <c r="F50" i="51"/>
  <c r="J50" i="51" s="1"/>
  <c r="R50" i="51" s="1"/>
  <c r="F74" i="51"/>
  <c r="N61" i="51" s="1"/>
  <c r="G14" i="33"/>
  <c r="K14" i="33" s="1"/>
  <c r="G38" i="33"/>
  <c r="I38" i="33"/>
  <c r="K38" i="33"/>
  <c r="N164" i="17"/>
  <c r="P164" i="17"/>
  <c r="K12" i="33"/>
  <c r="K12" i="16"/>
  <c r="N12" i="16"/>
  <c r="O12" i="16"/>
  <c r="R36" i="17"/>
  <c r="P36" i="17"/>
  <c r="R34" i="17"/>
  <c r="P34" i="17"/>
  <c r="E31" i="70"/>
  <c r="E32" i="70"/>
  <c r="R35" i="17"/>
  <c r="P35" i="17"/>
  <c r="U14" i="51" l="1"/>
  <c r="R14" i="51"/>
  <c r="U48" i="51"/>
  <c r="R48" i="51"/>
  <c r="G38" i="16"/>
  <c r="K14" i="16"/>
  <c r="N14" i="16"/>
  <c r="O14" i="16" s="1"/>
  <c r="F16" i="51"/>
  <c r="M14" i="16"/>
  <c r="N53" i="51"/>
  <c r="N69" i="51"/>
  <c r="J74" i="51"/>
  <c r="R74" i="51" s="1"/>
  <c r="N68" i="51"/>
  <c r="N48" i="51"/>
  <c r="N72" i="51"/>
  <c r="N49" i="51"/>
  <c r="N50" i="51"/>
  <c r="N64" i="51"/>
  <c r="N67" i="51"/>
  <c r="N63" i="51"/>
  <c r="N57" i="51"/>
  <c r="N62" i="51"/>
  <c r="N71" i="51"/>
  <c r="N59" i="51"/>
  <c r="N74" i="51"/>
  <c r="N52" i="51"/>
  <c r="N47" i="51"/>
  <c r="N65" i="51"/>
  <c r="N58" i="51"/>
  <c r="N54" i="51"/>
  <c r="N55" i="51"/>
  <c r="N46" i="51"/>
  <c r="J16" i="51" l="1"/>
  <c r="R16" i="51" s="1"/>
  <c r="M22" i="16"/>
  <c r="M17" i="16"/>
  <c r="M35" i="16"/>
  <c r="M36" i="16"/>
  <c r="K38" i="16"/>
  <c r="I38" i="16"/>
  <c r="M13" i="16"/>
  <c r="M26" i="16"/>
  <c r="M38" i="16"/>
  <c r="G46" i="16"/>
  <c r="M29" i="16"/>
  <c r="M33" i="16"/>
  <c r="M32" i="16"/>
  <c r="M11" i="16"/>
  <c r="M19" i="16"/>
  <c r="F39" i="16"/>
  <c r="M12" i="16"/>
  <c r="M31" i="16"/>
  <c r="G43" i="16"/>
  <c r="K43" i="16" s="1"/>
  <c r="M28" i="16"/>
  <c r="M27" i="16"/>
  <c r="M21" i="16"/>
  <c r="N38" i="16"/>
  <c r="O38" i="16" s="1"/>
  <c r="M10" i="16"/>
  <c r="M25" i="16"/>
  <c r="M16" i="16"/>
  <c r="F40" i="51"/>
  <c r="M23" i="16"/>
  <c r="M18" i="16"/>
  <c r="I43" i="16" l="1"/>
  <c r="I51" i="16"/>
  <c r="R1" i="22" s="1"/>
  <c r="N34" i="51"/>
  <c r="N19" i="51"/>
  <c r="N28" i="51"/>
  <c r="N33" i="51"/>
  <c r="N12" i="51"/>
  <c r="N20" i="51"/>
  <c r="N35" i="51"/>
  <c r="N38" i="51"/>
  <c r="N31" i="51"/>
  <c r="J40" i="51"/>
  <c r="R40" i="51" s="1"/>
  <c r="N15" i="51"/>
  <c r="N37" i="51"/>
  <c r="N23" i="51"/>
  <c r="N18" i="51"/>
  <c r="N21" i="51"/>
  <c r="N29" i="51"/>
  <c r="N30" i="51"/>
  <c r="N13" i="51"/>
  <c r="N24" i="51"/>
  <c r="N25" i="51"/>
  <c r="N40" i="51"/>
  <c r="N27" i="51"/>
  <c r="N14" i="51"/>
  <c r="N16"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Singletary, Corey  PSC</author>
  </authors>
  <commentList>
    <comment ref="C41" authorId="0" shapeId="0" xr:uid="{19927E1B-5578-4342-B15F-862BDB9CBD6E}">
      <text>
        <r>
          <rPr>
            <sz val="9"/>
            <color indexed="81"/>
            <rFont val="Tahoma"/>
            <family val="2"/>
          </rPr>
          <t xml:space="preserve">Adjust if Necessary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Singletary, Corey  PSC</author>
  </authors>
  <commentList>
    <comment ref="C41" authorId="0" shapeId="0" xr:uid="{0052ACFB-BA6D-433C-95D1-C19601F80180}">
      <text>
        <r>
          <rPr>
            <sz val="9"/>
            <color indexed="81"/>
            <rFont val="Tahoma"/>
            <family val="2"/>
          </rPr>
          <t xml:space="preserve">Adjust if Necessary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<sst xmlns="http://schemas.openxmlformats.org/spreadsheetml/2006/main" count="4487" uniqueCount="700">
  <si>
    <t xml:space="preserve"> </t>
  </si>
  <si>
    <t>PLG</t>
  </si>
  <si>
    <t>Public Lighting Rate for Streets and Roadways Systems Owned by PREPA (Codification 420)</t>
  </si>
  <si>
    <t>GRS</t>
  </si>
  <si>
    <t>Customer Charge</t>
  </si>
  <si>
    <t>Energy Charge</t>
  </si>
  <si>
    <t>LRS</t>
  </si>
  <si>
    <t>Monthly Basic Charge</t>
  </si>
  <si>
    <t>RH3</t>
  </si>
  <si>
    <t>RFR</t>
  </si>
  <si>
    <t>GSS</t>
  </si>
  <si>
    <t>Public Lighting Rate for Streets and Roadways Systems without Operation, Maintenance and Materials Renewal Costs</t>
  </si>
  <si>
    <t>GSP</t>
  </si>
  <si>
    <t>GST</t>
  </si>
  <si>
    <t>TOU-P</t>
  </si>
  <si>
    <t>Weekdays, excluding holidays</t>
  </si>
  <si>
    <t>TOU-T</t>
  </si>
  <si>
    <t>LIS</t>
  </si>
  <si>
    <t>Dusk to Dawn Luminaires</t>
  </si>
  <si>
    <t>GAS</t>
  </si>
  <si>
    <t>LP-13</t>
  </si>
  <si>
    <t>CATV</t>
  </si>
  <si>
    <t>USSL</t>
  </si>
  <si>
    <t>Public Plazas (Codification 422)</t>
  </si>
  <si>
    <t>PPBB</t>
  </si>
  <si>
    <t>Traffic Lights (Codification 423)</t>
  </si>
  <si>
    <t>Ball Parks and Other Free Admission Parks (Codification 424)</t>
  </si>
  <si>
    <t>Telephone Booths</t>
  </si>
  <si>
    <t>Bus Shelter</t>
  </si>
  <si>
    <t>Police Strobe Lights</t>
  </si>
  <si>
    <t>Test Year Billing Units - Present</t>
  </si>
  <si>
    <t>Convert from M kWH to kWh (only necessary for energy charge bc they are reported in MkWh)</t>
  </si>
  <si>
    <t>LP-13 - Outdoor Sports Field Lighting for Parks Where Admission Rights are Collected</t>
  </si>
  <si>
    <t>Riders</t>
  </si>
  <si>
    <t>Customer (Monthly Count)</t>
  </si>
  <si>
    <t>Energy Consumption (Annual kWh)</t>
  </si>
  <si>
    <t>Demand (Annual kW)</t>
  </si>
  <si>
    <t>Type</t>
  </si>
  <si>
    <t>Present Billing Units</t>
  </si>
  <si>
    <t>Proposed Billing Units</t>
  </si>
  <si>
    <t>Rider</t>
  </si>
  <si>
    <t>Energy Charge - Present</t>
  </si>
  <si>
    <t>Energy Charge - Proposed</t>
  </si>
  <si>
    <t>Applicable Rates</t>
  </si>
  <si>
    <t>First 425 kWh</t>
  </si>
  <si>
    <t>Additional kWh</t>
  </si>
  <si>
    <t>Total kWh</t>
  </si>
  <si>
    <t>LP-13 414</t>
  </si>
  <si>
    <t>First 100 kWh per kW maximum demand</t>
  </si>
  <si>
    <t>FCA - Fuel Charge Adjustment Rider</t>
  </si>
  <si>
    <t>GRS, LRS, RH3, RFR, GSS, GSP, GST, TOU-P, TOU-T, LIS, GAS, LP-13, CATV, PLG, USSL, PPBB</t>
  </si>
  <si>
    <t>TOU - Period 1</t>
  </si>
  <si>
    <t>TOU - Period 2</t>
  </si>
  <si>
    <t>TOU - Period 3</t>
  </si>
  <si>
    <t xml:space="preserve">PPCA - Purchased Power Charge Adjustment </t>
  </si>
  <si>
    <t>TOU-EV</t>
  </si>
  <si>
    <t>PLG - Public Lighting General</t>
  </si>
  <si>
    <t xml:space="preserve">FOS - Fuel Oil Subsidy </t>
  </si>
  <si>
    <t>GRS, LRS, RH3</t>
  </si>
  <si>
    <t>Convert from annual billing units to monthly billing units for Monthly Basic Charge:</t>
  </si>
  <si>
    <t>Group</t>
  </si>
  <si>
    <t xml:space="preserve">CILTA - Contributions in Lieu of Taxes (CILT) – Municipalities </t>
  </si>
  <si>
    <t>TOTAL kWh</t>
  </si>
  <si>
    <t>1 Room</t>
  </si>
  <si>
    <t>2-3 Room</t>
  </si>
  <si>
    <t>4-5 Room</t>
  </si>
  <si>
    <t>1 Room - Energy in Excess of 600 kWh</t>
  </si>
  <si>
    <t>2-3 Room - Energy in Excess of 800 kWh</t>
  </si>
  <si>
    <t>4-5 Room - Energy in Excess of 1000 kWh</t>
  </si>
  <si>
    <t xml:space="preserve">SUBA-HH – Subsidies, Public Lighting (Municipal) and Other Subventions Help to Humans Subsidies </t>
  </si>
  <si>
    <t>High Pressure Sodium Lamps (system built at customer expense, ownership transferred to PREPA)</t>
  </si>
  <si>
    <t>All kWh</t>
  </si>
  <si>
    <t>Monthly Basic Charge (based on Lamp Capacity (Watts), Lumens, Monthly kWh)</t>
  </si>
  <si>
    <t xml:space="preserve">SUBA-NHH - Subsidies, Public Lighting (Municipal) and Other SubventionsNon Help to Humans Subsidies </t>
  </si>
  <si>
    <t>PLGUM 001</t>
  </si>
  <si>
    <t>50 W; 3,300 Lumens; 19.7 kWh/month</t>
  </si>
  <si>
    <t>First 300 kWh per kW of maximum demand</t>
  </si>
  <si>
    <t>Contracted Load</t>
  </si>
  <si>
    <t>Excess Demand</t>
  </si>
  <si>
    <t>PLGUM 002</t>
  </si>
  <si>
    <t>70 W; 5,800 Lumens; 27.7 kWh/month</t>
  </si>
  <si>
    <t>TUP - True-Up Provisional Rate Increase Rider</t>
  </si>
  <si>
    <t>PLGUM 003</t>
  </si>
  <si>
    <t>100 W; 9,500 Lumens; 39 kWh/month</t>
  </si>
  <si>
    <t>PLGUM 004</t>
  </si>
  <si>
    <t>150 W; 16,000 Lumens; 57 kWh/month</t>
  </si>
  <si>
    <t>PLGUM 005</t>
  </si>
  <si>
    <t>200 W; 22,000 Lumens; 84.7 kWh/month</t>
  </si>
  <si>
    <t>On-Peak Period (15 consecutive min)</t>
  </si>
  <si>
    <t>Off-Peak Period (15 consecutive min)</t>
  </si>
  <si>
    <t>PLGUM 006</t>
  </si>
  <si>
    <t>250 W; 25,500 Lumens; 105 kWh/month</t>
  </si>
  <si>
    <t>PLGUM 007</t>
  </si>
  <si>
    <t>400 W; 50,000 Lumens; 161.7 kWh/month</t>
  </si>
  <si>
    <t>High Pressure Sodium Lamps (New systems constructed with PREPA's funds exclusively)</t>
  </si>
  <si>
    <t>SBS TOU-T</t>
  </si>
  <si>
    <t>PLGUM 010</t>
  </si>
  <si>
    <t>First 584 kWh per kW of max demand</t>
  </si>
  <si>
    <t>Contracted Load (shall not include offsets due to Net Metering or the output of other customer owned generation equipment)</t>
  </si>
  <si>
    <t>PLGUM 011</t>
  </si>
  <si>
    <t>PLGUM 012</t>
  </si>
  <si>
    <t>PLGUM 013</t>
  </si>
  <si>
    <t>PLGUM 014</t>
  </si>
  <si>
    <t>60 Volts, 656 kWh (per month)</t>
  </si>
  <si>
    <t>90 Volts, 494 kWh</t>
  </si>
  <si>
    <t>Different Consumption</t>
  </si>
  <si>
    <t>PLGUM 015</t>
  </si>
  <si>
    <t>Mercury Vapor Lamps (existing lighting systems)</t>
  </si>
  <si>
    <t>Monthly Basic Charge - Urban Zone (based on Lamp Capacity (Watts), Lumens, Monthly kWh)</t>
  </si>
  <si>
    <t>PLGUM 020</t>
  </si>
  <si>
    <t>100 W; 3,850 Lumens; 41.33 kWh/month</t>
  </si>
  <si>
    <t>PLGUM 021</t>
  </si>
  <si>
    <t>175 W; 7,950 Lumens; 68.33 kWh/month</t>
  </si>
  <si>
    <t>PLGUM 022</t>
  </si>
  <si>
    <t>250 W; 11,200 Lumens; 98 kWh/month</t>
  </si>
  <si>
    <t>PLGUM 023</t>
  </si>
  <si>
    <t>400 W; 21,000 Lumens; 151 kWh/month</t>
  </si>
  <si>
    <t>PLGUM 024</t>
  </si>
  <si>
    <t>400 W (Highway and Transportation Authority); 21,000 Lumens; 151 kWh/month</t>
  </si>
  <si>
    <t>Monthly Basic Charge - Rural Zone (based on Lamp Capacity (Watts), Lumens, Monthly kWh)</t>
  </si>
  <si>
    <t>Test Year Billing Units - Proposed</t>
  </si>
  <si>
    <t>PLGUM 025</t>
  </si>
  <si>
    <t>PLGUM 026</t>
  </si>
  <si>
    <t>PLGUM 027</t>
  </si>
  <si>
    <t>PLGUM 028</t>
  </si>
  <si>
    <t>PLG 421</t>
  </si>
  <si>
    <t>Any other type of luminaries</t>
  </si>
  <si>
    <t>High Pressure Sodium Lamp</t>
  </si>
  <si>
    <t>PLGUM 050</t>
  </si>
  <si>
    <t>PLGUM 051</t>
  </si>
  <si>
    <t>PLGUM 052</t>
  </si>
  <si>
    <t>PLGUM 053</t>
  </si>
  <si>
    <t>PLGUM 054</t>
  </si>
  <si>
    <t>60 Volts, 656 kWh</t>
  </si>
  <si>
    <t>PLGUM 055</t>
  </si>
  <si>
    <t>Mercury Vapor</t>
  </si>
  <si>
    <t>PLGUM 056</t>
  </si>
  <si>
    <t>175 W; 7,950 Lumens; 68.3 kWh/month</t>
  </si>
  <si>
    <t>PLG 422</t>
  </si>
  <si>
    <t>PLG 423</t>
  </si>
  <si>
    <t>PLG 424</t>
  </si>
  <si>
    <t>PHONE CABIN 060</t>
  </si>
  <si>
    <t>PLG BUS SHELTER 072</t>
  </si>
  <si>
    <t>PLG POLICE 073</t>
  </si>
  <si>
    <t>LED Street Lights</t>
  </si>
  <si>
    <t>Option 1</t>
  </si>
  <si>
    <t>Option 2</t>
  </si>
  <si>
    <t>Option 3</t>
  </si>
  <si>
    <t>Option 4</t>
  </si>
  <si>
    <t>Option 5</t>
  </si>
  <si>
    <t>&lt;&lt; Target % Increase</t>
  </si>
  <si>
    <t>Test Year Rate Inputs - Present</t>
  </si>
  <si>
    <t>Customer Charge (per month)</t>
  </si>
  <si>
    <t>Energy Charge (per kWh)</t>
  </si>
  <si>
    <t>Demand Charge (per kW)</t>
  </si>
  <si>
    <t>Charge</t>
  </si>
  <si>
    <t>Units</t>
  </si>
  <si>
    <t>per kWh</t>
  </si>
  <si>
    <t>Present Rates</t>
  </si>
  <si>
    <t>Proposed Rates</t>
  </si>
  <si>
    <t>per month</t>
  </si>
  <si>
    <t>EE - Energy Efficiency Rider</t>
  </si>
  <si>
    <t>Monthly Energy Charge - 60 Volts, 656 kWh (per month)</t>
  </si>
  <si>
    <t>Monthly Energy Charge - 90 Volts, 494 kWh (per month)</t>
  </si>
  <si>
    <t>Different Consumption (per kWh)</t>
  </si>
  <si>
    <t>&lt;&lt; Target % Fixed Charge Increase</t>
  </si>
  <si>
    <t>&lt;&lt; Target % Energy Charge Increase</t>
  </si>
  <si>
    <t>Test Year Rate Inputs - Proposed</t>
  </si>
  <si>
    <t>Demand Charge</t>
  </si>
  <si>
    <t>per booth</t>
  </si>
  <si>
    <t>per bus shelter</t>
  </si>
  <si>
    <t>per strobe light</t>
  </si>
  <si>
    <t>35W 1500 lumen</t>
  </si>
  <si>
    <t>65W 4000 lumen</t>
  </si>
  <si>
    <t>125W 9000 lumen</t>
  </si>
  <si>
    <t>GH - Mapping</t>
  </si>
  <si>
    <t>Consumo</t>
  </si>
  <si>
    <t>Consumo Proyectado</t>
  </si>
  <si>
    <t>Combustible</t>
  </si>
  <si>
    <t>1 bloque RFR</t>
  </si>
  <si>
    <t>2nd bloque</t>
  </si>
  <si>
    <t>Costo de Combustible</t>
  </si>
  <si>
    <t>Compra de energía</t>
  </si>
  <si>
    <t>Barriles equivalentes</t>
  </si>
  <si>
    <t>CILT</t>
  </si>
  <si>
    <t xml:space="preserve">Precio por Barril </t>
  </si>
  <si>
    <t>Subsidies HTH</t>
  </si>
  <si>
    <t>Costo Compra Energía</t>
  </si>
  <si>
    <t>Subsidies NHTH</t>
  </si>
  <si>
    <t>Sub  comb</t>
  </si>
  <si>
    <t>Clase de Servicio</t>
  </si>
  <si>
    <t>kWh</t>
  </si>
  <si>
    <t>Clients</t>
  </si>
  <si>
    <t>Residencial</t>
  </si>
  <si>
    <t>Comercial</t>
  </si>
  <si>
    <t>Industrial</t>
  </si>
  <si>
    <t>Alumbrado Público</t>
  </si>
  <si>
    <t>Otras</t>
  </si>
  <si>
    <t>Agricultura</t>
  </si>
  <si>
    <t>Total</t>
  </si>
  <si>
    <t>Alumbrado no medido</t>
  </si>
  <si>
    <t>Alumbrado medido</t>
  </si>
  <si>
    <t>Fixed charge</t>
  </si>
  <si>
    <t>1 BLQ 0 ON PEAK</t>
  </si>
  <si>
    <t>2 BLQ O OFFF PEAK</t>
  </si>
  <si>
    <t>CARGO ENERGÍA</t>
  </si>
  <si>
    <t>CARGO DEMANDA</t>
  </si>
  <si>
    <t xml:space="preserve"> ON PEAK</t>
  </si>
  <si>
    <t>OFFF PEAK</t>
  </si>
  <si>
    <t xml:space="preserve">REVENUE BUDGET </t>
  </si>
  <si>
    <t>Conversion to MM</t>
  </si>
  <si>
    <t>mes/año</t>
  </si>
  <si>
    <t>Months/Year</t>
  </si>
  <si>
    <t>CONSUMO (MKWH)</t>
  </si>
  <si>
    <t>Max Demand</t>
  </si>
  <si>
    <t>DEMAND (KVA)</t>
  </si>
  <si>
    <t>CARGOS POR SERVICIO EN MILLONES DE $</t>
  </si>
  <si>
    <t>CLAUSES AND RIDER</t>
  </si>
  <si>
    <t>PURCHASED</t>
  </si>
  <si>
    <t>SUBSIDIES</t>
  </si>
  <si>
    <t>VOLTAJE</t>
  </si>
  <si>
    <t>TARIFA</t>
  </si>
  <si>
    <t>TOTAL</t>
  </si>
  <si>
    <t>PRIMER BLOQUE</t>
  </si>
  <si>
    <t>SEGUNDO BLOQUE</t>
  </si>
  <si>
    <t>EN HORAS PICO</t>
  </si>
  <si>
    <t>FUERA HORAS PICO</t>
  </si>
  <si>
    <t>UNIDADES DE SERVICIO</t>
  </si>
  <si>
    <t>MW</t>
  </si>
  <si>
    <t>DEMADA ON PEAK</t>
  </si>
  <si>
    <t>DEMADA OFF PEAK</t>
  </si>
  <si>
    <t>CARGO FIJO</t>
  </si>
  <si>
    <t>CARGO ENERGÍA 1 BLQ</t>
  </si>
  <si>
    <t>CARGO ENERGÍA 2 BLQ</t>
  </si>
  <si>
    <t>CARGO ON PEAK</t>
  </si>
  <si>
    <t>CARGO OFF PEAK</t>
  </si>
  <si>
    <t>TOTAL CARGO DEMANDA</t>
  </si>
  <si>
    <t>DEMANDA ON PEAK</t>
  </si>
  <si>
    <t>DEMENDA OFF PEAK</t>
  </si>
  <si>
    <t>TOTAL TARIFA BÁSICA</t>
  </si>
  <si>
    <t>AJUSTE Fleet Dispatch</t>
  </si>
  <si>
    <t>AJUSTE COMPRA DE ENERGÍA</t>
  </si>
  <si>
    <t>CELI</t>
  </si>
  <si>
    <t>SUB HTH</t>
  </si>
  <si>
    <t>SUN NHTH</t>
  </si>
  <si>
    <t>TOTAL REVENUES</t>
  </si>
  <si>
    <t>BASIC ¢/kWh</t>
  </si>
  <si>
    <t>FUEL ¢/kWh</t>
  </si>
  <si>
    <t>POWER ¢/kWh</t>
  </si>
  <si>
    <t>TOTAL   ¢/kWh</t>
  </si>
  <si>
    <t>HTH ¢/kWh</t>
  </si>
  <si>
    <t>NHTH ¢/kWh</t>
  </si>
  <si>
    <t>CLASE RESIDENCIAL</t>
  </si>
  <si>
    <t>SEC</t>
  </si>
  <si>
    <t>RH3 103</t>
  </si>
  <si>
    <t>RH3 104</t>
  </si>
  <si>
    <t>RFR 105</t>
  </si>
  <si>
    <t>RFR 106</t>
  </si>
  <si>
    <t>RFR 107</t>
  </si>
  <si>
    <t>LRS 109</t>
  </si>
  <si>
    <t>LRS 110</t>
  </si>
  <si>
    <t>GRS 111</t>
  </si>
  <si>
    <t>GRS 112</t>
  </si>
  <si>
    <t>CLASE COMERCIAL</t>
  </si>
  <si>
    <t>CATV 070</t>
  </si>
  <si>
    <t>CATV 071</t>
  </si>
  <si>
    <t>CATV 080</t>
  </si>
  <si>
    <t>USSL 082</t>
  </si>
  <si>
    <t>GSS 211</t>
  </si>
  <si>
    <t>PRIM</t>
  </si>
  <si>
    <t>GSP 212</t>
  </si>
  <si>
    <t>TRANSM</t>
  </si>
  <si>
    <t>GST 213</t>
  </si>
  <si>
    <t>TOU-P 862</t>
  </si>
  <si>
    <t>CLASE INDUSTRIAL</t>
  </si>
  <si>
    <t>GSS 311</t>
  </si>
  <si>
    <t>GSP 312</t>
  </si>
  <si>
    <t>GST 313</t>
  </si>
  <si>
    <t>LIS 333</t>
  </si>
  <si>
    <t>PPBB 343</t>
  </si>
  <si>
    <t>TOU-T 363</t>
  </si>
  <si>
    <t>TOU-T 963</t>
  </si>
  <si>
    <t>ALUMBRADO PÚBLICO</t>
  </si>
  <si>
    <t>TOTAL PLG UNMETER</t>
  </si>
  <si>
    <t>PLGUM 094</t>
  </si>
  <si>
    <t>DUSK TO DAWN 050-056</t>
  </si>
  <si>
    <t xml:space="preserve"> PLG 422</t>
  </si>
  <si>
    <t xml:space="preserve"> PLG 423</t>
  </si>
  <si>
    <t>OTRAS AUTORIDADES PÚBLICAS</t>
  </si>
  <si>
    <t>GST 513</t>
  </si>
  <si>
    <t>AGRICULTURA</t>
  </si>
  <si>
    <t>GAS 711</t>
  </si>
  <si>
    <t>Lighting</t>
  </si>
  <si>
    <t>Non-Lighting, Non RFR Total</t>
  </si>
  <si>
    <t>Reconciliation</t>
  </si>
  <si>
    <t>LUMA 2025 Total</t>
  </si>
  <si>
    <t>Formula oversight - Per LUMA calc using $2 for LRS customer charge</t>
  </si>
  <si>
    <t xml:space="preserve">Formula oversight </t>
  </si>
  <si>
    <t xml:space="preserve">Tariff vs Forecast Discrepancy: </t>
  </si>
  <si>
    <t>Reconciled Total</t>
  </si>
  <si>
    <t>GH 2025 Total</t>
  </si>
  <si>
    <t>Tariff vs FY2025 Forecast Discrepancy: LRS Customer Charge $3 vs $2</t>
  </si>
  <si>
    <t>Tariff vs FY2025 Forecast Discrepancy: RFR customer charges of $30, $40, or $50 for 1, 2-3, or 4-5 rooms respectively, vs no customer charges</t>
  </si>
  <si>
    <t>Unexplained Diff</t>
  </si>
  <si>
    <t>Description</t>
  </si>
  <si>
    <t>Other Income</t>
  </si>
  <si>
    <t>Support Services</t>
  </si>
  <si>
    <t>Labor</t>
  </si>
  <si>
    <t xml:space="preserve">Total Labor </t>
  </si>
  <si>
    <t>Non-Labor</t>
  </si>
  <si>
    <t>Materials &amp; Supplies</t>
  </si>
  <si>
    <t>Transportation, Per Diem, and Mileage</t>
  </si>
  <si>
    <t>Property &amp; Casualty Insurance</t>
  </si>
  <si>
    <t>Security</t>
  </si>
  <si>
    <t>IT Service Agreements</t>
  </si>
  <si>
    <t>Utilities &amp; Rents</t>
  </si>
  <si>
    <t>Legal Services</t>
  </si>
  <si>
    <t>Communications Expenses</t>
  </si>
  <si>
    <t>Professional &amp; Technical Outsourced Services</t>
  </si>
  <si>
    <t>Vegetation Management</t>
  </si>
  <si>
    <t>Other Miscellaneous Expenses</t>
  </si>
  <si>
    <t>Total Non-Labor / Other Operating Expense</t>
  </si>
  <si>
    <t>Subtotal Labor and Non-Labor/Other Operating Expenses</t>
  </si>
  <si>
    <t>LUMA Fees</t>
  </si>
  <si>
    <t>2% Reserve for Excess Expenditures</t>
  </si>
  <si>
    <t>Customer Experience</t>
  </si>
  <si>
    <t>Substations</t>
  </si>
  <si>
    <t>Control Center &amp; Buildings</t>
  </si>
  <si>
    <t>Enabling</t>
  </si>
  <si>
    <t>LIGHTING</t>
  </si>
  <si>
    <t>OTHER</t>
  </si>
  <si>
    <t>Other Sales of Electricity</t>
  </si>
  <si>
    <t>Transmission</t>
  </si>
  <si>
    <t>Distribution</t>
  </si>
  <si>
    <t>Revenue Requirement</t>
  </si>
  <si>
    <t>Revenue</t>
  </si>
  <si>
    <t>Energy</t>
  </si>
  <si>
    <t>Salaries, Wages and Benefits</t>
  </si>
  <si>
    <t>COSS</t>
  </si>
  <si>
    <t>TEST YEAR</t>
  </si>
  <si>
    <t>PRESENT</t>
  </si>
  <si>
    <t>DOLLAR</t>
  </si>
  <si>
    <t>PERCENT</t>
  </si>
  <si>
    <t>RATE CLASS</t>
  </si>
  <si>
    <t>KWH</t>
  </si>
  <si>
    <t>REVENUES</t>
  </si>
  <si>
    <t>INCREASE</t>
  </si>
  <si>
    <t>General Residential Service</t>
  </si>
  <si>
    <t>Lifeline Residential Service</t>
  </si>
  <si>
    <t>Residential Service for Public Housing</t>
  </si>
  <si>
    <t>Residential Fixed Rate for Public Housing Under Ownership of the Public Housing Administration</t>
  </si>
  <si>
    <t>TOTAL RESIDENTIAL</t>
  </si>
  <si>
    <t>General Service at Secondary Distribution Voltage</t>
  </si>
  <si>
    <t>Unmetered Service for Small Loads</t>
  </si>
  <si>
    <t>Cable TV Power Supplies</t>
  </si>
  <si>
    <t>SMALL COMMERCIAL</t>
  </si>
  <si>
    <t>General Service at Primary Distribution Voltage</t>
  </si>
  <si>
    <t>Time of Use at Primary Distribution Voltage</t>
  </si>
  <si>
    <t>MEDIUM C&amp;I</t>
  </si>
  <si>
    <t>General Service at Transmission Voltage</t>
  </si>
  <si>
    <t>Time of Use at Transmission Voltage</t>
  </si>
  <si>
    <t>Large Industrial Service</t>
  </si>
  <si>
    <t>Power Producers Connected at PREPA Bus Bar</t>
  </si>
  <si>
    <t>LARGE C&amp;I</t>
  </si>
  <si>
    <t>Public Lighting General</t>
  </si>
  <si>
    <t>Outdoor Sports Field Lighting</t>
  </si>
  <si>
    <t>TOTAL PUBLIC LIGHTING</t>
  </si>
  <si>
    <t>General Agricultural Service and Aqueduct Pumps Operated by Rural Communities</t>
  </si>
  <si>
    <t>TOTAL OTHER</t>
  </si>
  <si>
    <t>TOTAL ELECTRIC RETAIL REVENUE</t>
  </si>
  <si>
    <t>Other Revenue</t>
  </si>
  <si>
    <t>TOTAL ELECTRIC UTILITY REVENUE</t>
  </si>
  <si>
    <t>Notes</t>
  </si>
  <si>
    <t>Total Non-Lighting Energy Consumption</t>
  </si>
  <si>
    <t>Total Additional Revenue Requirement</t>
  </si>
  <si>
    <t>Remaining to Recover</t>
  </si>
  <si>
    <t>Type of Service</t>
  </si>
  <si>
    <t>GRS - General Residential Service</t>
  </si>
  <si>
    <t>Monthly Customer Charge</t>
  </si>
  <si>
    <t>Monthly Energy Charge</t>
  </si>
  <si>
    <t>First 425 kWh of monthly consumption</t>
  </si>
  <si>
    <t>Additional monthly consumption</t>
  </si>
  <si>
    <t>LRS - Lifeline Residential Service</t>
  </si>
  <si>
    <t>RH3 - Residential Service for Public Housing</t>
  </si>
  <si>
    <t>RFR - Residential Fixed Rate for Public Housing Under Ownership of the Public Housing Administration</t>
  </si>
  <si>
    <t>1 Room Housing</t>
  </si>
  <si>
    <t>Fixed Charge</t>
  </si>
  <si>
    <t>Energy - In Excess of 600 kWh</t>
  </si>
  <si>
    <t>2 or 3 Room Housing</t>
  </si>
  <si>
    <t>Energy - In Excess of 800 kWh</t>
  </si>
  <si>
    <t>4 or 5 Room Housing</t>
  </si>
  <si>
    <t>Energy - In Excess of 1000 kWh</t>
  </si>
  <si>
    <t>GSS - General Service at Secondary Distribution Voltage</t>
  </si>
  <si>
    <t>GSP - General Service at Primary Distribution Voltage</t>
  </si>
  <si>
    <t>per kVA</t>
  </si>
  <si>
    <t>Excess Demand Charge (higher than contracted load)</t>
  </si>
  <si>
    <t>GST - General Service at Transmission Voltage</t>
  </si>
  <si>
    <t>TOU-P - Time of Use at Primary Distribution Voltage</t>
  </si>
  <si>
    <t>On-Peak Period</t>
  </si>
  <si>
    <t>Off-Peak Period</t>
  </si>
  <si>
    <t>Minimum Bill</t>
  </si>
  <si>
    <t>Customers w demand of 3,000 kVA or greater (plus energy charge, reconcilliation clauses, and riders)</t>
  </si>
  <si>
    <t>Customers w demand of 1,000 kVA or greater (plus energy charge, reconcilliation clauses, and riders)</t>
  </si>
  <si>
    <t>Periods</t>
  </si>
  <si>
    <t>9:00 AM - 10:00 PM</t>
  </si>
  <si>
    <t>10:00 PM - 9:00 AM</t>
  </si>
  <si>
    <t>Weekdays, all weekend hours, all holiday hours</t>
  </si>
  <si>
    <t>Holidays</t>
  </si>
  <si>
    <t>New Year’s Day; Three Kings Day; Good Friday; United States Independence Day; Constitution of the Commonwealth of Puerto Rico; Labor Day; Discovery of Puerto Rico; Thanksgiving Day; Christmas Day</t>
  </si>
  <si>
    <t>TOU-T - Time of Use at Transmission Voltage</t>
  </si>
  <si>
    <t>New Year’s Day; Three Kings Day; Good Friday; United States Independence Day; Constitution of the Commonwealth of Puerto Rico; Labor Day; Discovery of Puerto Rico; Thanksgiving Day; Christmas Day.</t>
  </si>
  <si>
    <t>LIS - Large Industrial Service</t>
  </si>
  <si>
    <t>First 584 kWh per kW of maximum demand</t>
  </si>
  <si>
    <t>Demand Charge (shall not include offsets due to Net Metering or the output of other customer owned generation equipment)</t>
  </si>
  <si>
    <t>Minimum Bill (plus energy charge, reconcilliation clauses, and riders)</t>
  </si>
  <si>
    <t>PPBB - Power Producers Connected at PREPA Bus Bar</t>
  </si>
  <si>
    <t>Excess Demand Charge (Max demand above the contracted load)</t>
  </si>
  <si>
    <t>CATV - Cable TV Power Supplies</t>
  </si>
  <si>
    <t>Different consumption than shown above</t>
  </si>
  <si>
    <t>USSL - Unmetered Service for Small Loads</t>
  </si>
  <si>
    <t>per installation</t>
  </si>
  <si>
    <t>GAS - General Agricultural Service and Aqueduct Pumps Operated by Rural Communities</t>
  </si>
  <si>
    <t>First 100 kWh per kW of maximum demand</t>
  </si>
  <si>
    <t>35W; 1500 lumen</t>
  </si>
  <si>
    <t>65W; 4000 lumen</t>
  </si>
  <si>
    <t>125W; 9000 lumen</t>
  </si>
  <si>
    <t xml:space="preserve">Build this out with all eight documents… </t>
  </si>
  <si>
    <t>Line No</t>
  </si>
  <si>
    <t>Allocator</t>
  </si>
  <si>
    <t>Sales (GWh)</t>
  </si>
  <si>
    <t>Sales ($)</t>
  </si>
  <si>
    <t>Other Cost Recovery Directly Allocated</t>
  </si>
  <si>
    <t xml:space="preserve">Total Revenue </t>
  </si>
  <si>
    <t>T&amp;D Operating Expense</t>
  </si>
  <si>
    <t>Weighted customer</t>
  </si>
  <si>
    <t>Total T&amp;D Operating Expense</t>
  </si>
  <si>
    <t>T&amp;D Capital Expense</t>
  </si>
  <si>
    <t>Improvement Portfolio</t>
  </si>
  <si>
    <t>Subtotal Improvement Portfolio</t>
  </si>
  <si>
    <t>Total T&amp;D Capital Expenditures</t>
  </si>
  <si>
    <t>T&amp;D Rate Funded Subtotal</t>
  </si>
  <si>
    <t>T&amp;D Federally Funded Capital Expenditures</t>
  </si>
  <si>
    <t xml:space="preserve">Generation </t>
  </si>
  <si>
    <t>GenCo Operating and Capital Expenditures</t>
  </si>
  <si>
    <t>HydroCo Operating and Capital Expenditures</t>
  </si>
  <si>
    <t>HoldCo Operating Expenditures</t>
  </si>
  <si>
    <t>Total Generation Budget</t>
  </si>
  <si>
    <t>Other Expenses</t>
  </si>
  <si>
    <t>Indirect: T&amp;D resulting above</t>
  </si>
  <si>
    <t>Genera Fees</t>
  </si>
  <si>
    <t>Bad Debts</t>
  </si>
  <si>
    <t>Bankruptcy and Advisor Costs</t>
  </si>
  <si>
    <t>Total Other Expenses (Advisor Fees and Bad Debt)</t>
  </si>
  <si>
    <t>Total Amount to Recover Through Rates</t>
  </si>
  <si>
    <t>PROPOSED</t>
  </si>
  <si>
    <t>PROPOSED REVENUE</t>
  </si>
  <si>
    <t>BILLING</t>
  </si>
  <si>
    <t>TYPE OF SERVICE</t>
  </si>
  <si>
    <t>UNITS</t>
  </si>
  <si>
    <t>RATES</t>
  </si>
  <si>
    <t>AMOUNT</t>
  </si>
  <si>
    <t>CUSTOMER CHARGE</t>
  </si>
  <si>
    <t>ELECTRICITY SERVICE</t>
  </si>
  <si>
    <t>Energy (first 425 kWh)</t>
  </si>
  <si>
    <t>Energy (&gt;425 kWh)</t>
  </si>
  <si>
    <t>TOTAL GRS</t>
  </si>
  <si>
    <t>LRS - Lifeline Residnetial Service</t>
  </si>
  <si>
    <t>TOTAL LRS</t>
  </si>
  <si>
    <t>TOTAL RH3</t>
  </si>
  <si>
    <t>Energy (1 Room, in Excess of 600 kWh)</t>
  </si>
  <si>
    <t>Energy (2-3 Room, in Excess of 800 kWh)</t>
  </si>
  <si>
    <t>Energy (4-5 Room, in Excess of 1000 kWh)</t>
  </si>
  <si>
    <t>Unbilled Rider Energy</t>
  </si>
  <si>
    <t>TOTAL RFR</t>
  </si>
  <si>
    <t>Energy (All kWh)</t>
  </si>
  <si>
    <t>TOTAL GSS</t>
  </si>
  <si>
    <t>DISTRIBUTION SERVICE</t>
  </si>
  <si>
    <t>Contracted Demand Demand</t>
  </si>
  <si>
    <t>Energy (first 300 kWh per kW of maximum demand)</t>
  </si>
  <si>
    <t>Energy (&gt;300 kWh per kW of maximum demand)</t>
  </si>
  <si>
    <t>TOTAL GSP</t>
  </si>
  <si>
    <t>TOTAL GST</t>
  </si>
  <si>
    <t>Demand (On-Peak Period, 15 consecutive min)</t>
  </si>
  <si>
    <t>Demand (Off-Peak Period, 15 consecutive min)</t>
  </si>
  <si>
    <t>Energy (On-Peak Period)</t>
  </si>
  <si>
    <t>Energy (Off-Peak Period)</t>
  </si>
  <si>
    <t>TOTAL TOU-P</t>
  </si>
  <si>
    <t>TOTAL TOU-T</t>
  </si>
  <si>
    <t>Contracted Demand Demand (shall not include offsets due to Net Metering or the output of other customer owned generation equipment)</t>
  </si>
  <si>
    <t>Energy (first 584 kWh per kW of maximum demand)</t>
  </si>
  <si>
    <t>Energy (&gt;584 kWh per kW of maximum demand)</t>
  </si>
  <si>
    <t>TOTAL LIS</t>
  </si>
  <si>
    <t>TOTAL GAS</t>
  </si>
  <si>
    <t>Energy (60 Volts, 656 kWh)</t>
  </si>
  <si>
    <t>Energy (90 Volts, 494 kWh)</t>
  </si>
  <si>
    <t>Energy (Different Consumption)</t>
  </si>
  <si>
    <t>TOTAL CATV</t>
  </si>
  <si>
    <t>TOTAL USSL</t>
  </si>
  <si>
    <t>TOTAL PPBB</t>
  </si>
  <si>
    <t>LP-13 - OUTDOOR SPORTS FIELD LIGHTING FOR PARKS WHERE ADMISSION RIGHTS ARE COLLECTED</t>
  </si>
  <si>
    <t>Energy (first 100 kWh per kW of maximum demand)</t>
  </si>
  <si>
    <t>Energy (&gt;100 kWh)</t>
  </si>
  <si>
    <t>TOTAL LP-13</t>
  </si>
  <si>
    <t>PUBLIC LIGHTING GENERAL - PLG</t>
  </si>
  <si>
    <t>MONTHLY BASIC CHARGE</t>
  </si>
  <si>
    <t>MONTHLY BASIC CHARGE - URBAN ZONE</t>
  </si>
  <si>
    <t>MONTHLY BASIC CHARGE - RURAL ZONE</t>
  </si>
  <si>
    <t>Total Public Lighting Rate for Streets and Roadways Systems Owned by PREPA (Codification 420) (Lamps Count)</t>
  </si>
  <si>
    <t>Total Public Lighting Rate for Streets and Roadways Systems without Operation, Maintenance and Materials Renewal Costs (Lamps Count)</t>
  </si>
  <si>
    <t>Total Dusk to Dawn Luminaires (Lamps Count)</t>
  </si>
  <si>
    <t>Total Public Plazas (Lamps Count)</t>
  </si>
  <si>
    <t>Total Traffic Lights (kWh)</t>
  </si>
  <si>
    <t>Total Ball Parks and Other Free Admission Parks (Lamps Count)</t>
  </si>
  <si>
    <t>Total Telephone Booths (Lamps Count)</t>
  </si>
  <si>
    <t>Total Bus Shelter (Lamps Count)</t>
  </si>
  <si>
    <t>Total Police Strobe Lights (Lamps Count)</t>
  </si>
  <si>
    <t>TOTAL PLG</t>
  </si>
  <si>
    <t>billed kWh</t>
  </si>
  <si>
    <t>N/A - Some of the above totals are Lamp Counts, others are kWh.</t>
  </si>
  <si>
    <t>TOTAL LIGHTING</t>
  </si>
  <si>
    <t>Target % Allocation at Proposed Rates</t>
  </si>
  <si>
    <t>Target $ Allocation at Proposed Rates</t>
  </si>
  <si>
    <t>Rate Class ID</t>
  </si>
  <si>
    <t>Helpers</t>
  </si>
  <si>
    <t>Total Revenue to Allocate</t>
  </si>
  <si>
    <t>Ratio of Tier 2/Tier 1 or On Peak/Off Peak</t>
  </si>
  <si>
    <t>Fiscal Year</t>
  </si>
  <si>
    <t>Rate Inputs</t>
  </si>
  <si>
    <t>Input Target Revenue on Revenue Summary Sheet</t>
  </si>
  <si>
    <t>Revenue Allocation Proposal</t>
  </si>
  <si>
    <t>Revenue Allocation Inputs</t>
  </si>
  <si>
    <t>Selected on Dashboard</t>
  </si>
  <si>
    <t>Rate Design Proposal</t>
  </si>
  <si>
    <t>Lookup</t>
  </si>
  <si>
    <t>Existing</t>
  </si>
  <si>
    <t>Year</t>
  </si>
  <si>
    <t>RIDER REVENUES</t>
  </si>
  <si>
    <t>E3 Additions, based on hardcoded values in GH Billing Units sheet</t>
  </si>
  <si>
    <t>Fix All Components</t>
  </si>
  <si>
    <t>Flat GRS Energy Charge</t>
  </si>
  <si>
    <t>Active Proposal</t>
  </si>
  <si>
    <t>Increase from present revenues, minus revenues from new LED lighting class</t>
  </si>
  <si>
    <t>Increase from present revenues</t>
  </si>
  <si>
    <t>TARGET PROPOSED</t>
  </si>
  <si>
    <t>SELECTED YEAR</t>
  </si>
  <si>
    <t>COSS Results</t>
  </si>
  <si>
    <t>Rider Revenues</t>
  </si>
  <si>
    <t>COSS minus Rider Revenues</t>
  </si>
  <si>
    <t>COSS minus Rider Revenues, %</t>
  </si>
  <si>
    <t>* Rider revenues depend only on year, not on selected revenue requirement, revenue allocation, or rate design.</t>
  </si>
  <si>
    <t>COSS Year</t>
  </si>
  <si>
    <t>Revenue with Riders</t>
  </si>
  <si>
    <t>Revenue without Riders</t>
  </si>
  <si>
    <t>Total Revenue Requirement (base rates)</t>
  </si>
  <si>
    <t>True/False</t>
  </si>
  <si>
    <t>Present Rates include Provisional Rider</t>
  </si>
  <si>
    <t>Provisional Rate Rider ($/kWh)</t>
  </si>
  <si>
    <t>Pension Rider ($/kWh)</t>
  </si>
  <si>
    <t>Total Provisional Rate Rider ($/kWh)</t>
  </si>
  <si>
    <t>Does not apply to LRS, RH3, RFR</t>
  </si>
  <si>
    <t>Applies to all customers</t>
  </si>
  <si>
    <t>Present Rates use FY26 Determinants</t>
  </si>
  <si>
    <t>PRESENT REVENUES, FY26 BT</t>
  </si>
  <si>
    <t>Average Rate ($/kWh) without Riders</t>
  </si>
  <si>
    <t>TOTAL USAGE (kWh)</t>
  </si>
  <si>
    <t>Average Rate ($/kWh) with Riders</t>
  </si>
  <si>
    <t>Percent Allocation without Riders</t>
  </si>
  <si>
    <t>Percent Increase from Present Rates without Riders</t>
  </si>
  <si>
    <t>Percent Allocation with Riders</t>
  </si>
  <si>
    <t>Percent Increase from Present Rates with Riders</t>
  </si>
  <si>
    <t>COSS with Proposed Revenue Requirement</t>
  </si>
  <si>
    <t>Discount Relative to GRS</t>
  </si>
  <si>
    <t>Proposed Revenue (%)</t>
  </si>
  <si>
    <t>Increase in Allocation from Present (%)</t>
  </si>
  <si>
    <t>Increase in Allocation from Present ($)</t>
  </si>
  <si>
    <t>Consumption (kWh)</t>
  </si>
  <si>
    <t>Pension Rider</t>
  </si>
  <si>
    <t>Provisional Rate Rider</t>
  </si>
  <si>
    <t>Revenue Requirement ($)</t>
  </si>
  <si>
    <t>Rider ($/kWh)</t>
  </si>
  <si>
    <t>Total Provisional Rate Rider</t>
  </si>
  <si>
    <t>Keep Fixed</t>
  </si>
  <si>
    <t>Adjust to collect undercollection</t>
  </si>
  <si>
    <t>Total Allocation ($)</t>
  </si>
  <si>
    <t>Total Allocation (%)</t>
  </si>
  <si>
    <t>Existing Revenue Allocation (No provisional rider, selected FY)</t>
  </si>
  <si>
    <t>Proposed Revenue Allocation (PREB 1 allocation, selected FY)</t>
  </si>
  <si>
    <t>Rates Scaled by Class Revenue</t>
  </si>
  <si>
    <t>Ratio of Proposed to Present</t>
  </si>
  <si>
    <t>FY2026</t>
  </si>
  <si>
    <t>Proposed Revenues</t>
  </si>
  <si>
    <t>FY2027</t>
  </si>
  <si>
    <t>FY2028</t>
  </si>
  <si>
    <t>Revenue Collected with LUMA Proposed FY2026 and Residential allocation adjusted based on PREB decisions</t>
  </si>
  <si>
    <t>PREB FY2026</t>
  </si>
  <si>
    <t>PREB FY2027</t>
  </si>
  <si>
    <t>PREB FY2028</t>
  </si>
  <si>
    <t>Total Revenue Requirement</t>
  </si>
  <si>
    <t>Revenue Collected with PREB FY2026 and with Residential adjusted to get correct RFR energy charge</t>
  </si>
  <si>
    <t>Flat LRS Energy Charge</t>
  </si>
  <si>
    <t>Flat RH3 Energy Charge</t>
  </si>
  <si>
    <t>Tier 2 Energy equal to GRS Energy</t>
  </si>
  <si>
    <t>LUMA FY2028 Value, Note used by E3 because it seems unreasonable relative to energy</t>
  </si>
  <si>
    <t>PPBB Billing Determinants</t>
  </si>
  <si>
    <t>Present Rates with Prov Rider, FY2026</t>
  </si>
  <si>
    <t>FY2026, Present rates with provisional and pension rider</t>
  </si>
  <si>
    <t>Rate to Add to Base Rates to Account for Riders</t>
  </si>
  <si>
    <t>$/customer-month</t>
  </si>
  <si>
    <t/>
  </si>
  <si>
    <t>Count</t>
  </si>
  <si>
    <t>LUMA Proposed Rate</t>
  </si>
  <si>
    <t>Revenues at LUMA Proposed Rate</t>
  </si>
  <si>
    <t>LUMA Proposed PLG RR FY2026</t>
  </si>
  <si>
    <t>Current PLG RR FY2026</t>
  </si>
  <si>
    <t>Rate Scaled down to Present RR</t>
  </si>
  <si>
    <t>Revenues at Scaled Rate</t>
  </si>
  <si>
    <t>Reconciliation Amount</t>
  </si>
  <si>
    <t>Proposed Revenue Allocation (PREB allocation, selected FY)</t>
  </si>
  <si>
    <t>Provisional ARR FY26</t>
  </si>
  <si>
    <t>Other Income (July 3, 2025 Application)</t>
  </si>
  <si>
    <t>Pension Amount</t>
  </si>
  <si>
    <t>Revenue at Present Rates</t>
  </si>
  <si>
    <t>https://energia.pr.gov/wp-content/uploads/sites/7/2025/08/20250813-AP20230003-Motion-in-Compl-with-Aug-11th-Order.pdf</t>
  </si>
  <si>
    <t>PREB Approved Revenue Requirement</t>
  </si>
  <si>
    <t>PREB Approved, Reconciliation in FY27</t>
  </si>
  <si>
    <t>From Final Order Chapter 2</t>
  </si>
  <si>
    <t>Undercollection</t>
  </si>
  <si>
    <t>Total Revenue from Class to Adjust</t>
  </si>
  <si>
    <t>Adjustment %</t>
  </si>
  <si>
    <t>Revenue from Base Rates</t>
  </si>
  <si>
    <t>Existing Revenue Allocation</t>
  </si>
  <si>
    <t>Proposed Revenue Allocation</t>
  </si>
  <si>
    <t>Revenue Requirement and Billing Determinants Fiscal Year</t>
  </si>
  <si>
    <t>Active</t>
  </si>
  <si>
    <t>FY2026. Based on LUMA Proposed FY2026 with adjustments to residential and GSS. All other rate classes adjusted to make up revenue deficiency.</t>
  </si>
  <si>
    <t>Current Selection</t>
  </si>
  <si>
    <t>Rate Design Inputs</t>
  </si>
  <si>
    <t>Selected FY</t>
  </si>
  <si>
    <t>Final Rounded Values</t>
  </si>
  <si>
    <t>Revenue Allocation Without Riders (includes Provisional and Pension Riders if selected above)</t>
  </si>
  <si>
    <t>Revenue Allocation with Riders (includes Provisional and Pension Riders if selected above)</t>
  </si>
  <si>
    <t>Table of Contents</t>
  </si>
  <si>
    <t>Sheet</t>
  </si>
  <si>
    <t>Section</t>
  </si>
  <si>
    <t>Inputs</t>
  </si>
  <si>
    <t>Calculations</t>
  </si>
  <si>
    <t>Lists and Mapping</t>
  </si>
  <si>
    <t>Cell Style Legend</t>
  </si>
  <si>
    <t>User Inputs</t>
  </si>
  <si>
    <t>Aug 13, 2025 LUMA Compliance Filing</t>
  </si>
  <si>
    <t>Model Overview</t>
  </si>
  <si>
    <t>April, 2026</t>
  </si>
  <si>
    <t>Dashboard</t>
  </si>
  <si>
    <t>Rates</t>
  </si>
  <si>
    <t>Lighting Rates</t>
  </si>
  <si>
    <t>Summary of rates for all classes except lighting classes.</t>
  </si>
  <si>
    <t>Select FY and display options. Summary of revenue allocations.</t>
  </si>
  <si>
    <t>Summary of rates for lighting classes.</t>
  </si>
  <si>
    <t>Revenue Summary</t>
  </si>
  <si>
    <t>Consumer Analysis</t>
  </si>
  <si>
    <t>Consumer Analysis - Lighting</t>
  </si>
  <si>
    <t>Revenue Summary w Riders</t>
  </si>
  <si>
    <t>Shows input and calculated rate design components for all classes except lighting classes.</t>
  </si>
  <si>
    <t>Shows input and calculated rate design components for lighting classes.</t>
  </si>
  <si>
    <t>Calculates total rider revenues by rate class.</t>
  </si>
  <si>
    <t>Shows input revenue allocation percentage and calculates resulting revenue allocation in dollars ($). Does not include riders except for Provisional and Pension riders if selected on Dashboard.</t>
  </si>
  <si>
    <t>Calculates revenue allocation including all riders.</t>
  </si>
  <si>
    <t>COSS input from LUMA's COSS.</t>
  </si>
  <si>
    <t>Revenue requirement input.</t>
  </si>
  <si>
    <t>Billing Determinant Forecast</t>
  </si>
  <si>
    <t>Billing determinants for the selected FY.</t>
  </si>
  <si>
    <t>2026 Forecast</t>
  </si>
  <si>
    <t>2027 Forecast</t>
  </si>
  <si>
    <t>2028 Forecast</t>
  </si>
  <si>
    <t>LUMA's billing determinant forecast for FY2026.</t>
  </si>
  <si>
    <t>LUMA's billing determinant forecast for FY2027.</t>
  </si>
  <si>
    <t>LUMA's billing determinant forecast for FY2028.</t>
  </si>
  <si>
    <t>Lists and mapping used throughout model.</t>
  </si>
  <si>
    <t>Billing Units</t>
  </si>
  <si>
    <t>LUMA's rate inputs summary. Used to pass through present rates to calculation sheets.</t>
  </si>
  <si>
    <t>LUMA's billing units summary. Passes through LUMA's billing determinant forecasts to calculation sheets.</t>
  </si>
  <si>
    <t>Rate Summary</t>
  </si>
  <si>
    <t>LUMA's rate summary. Used as input for present rates.</t>
  </si>
  <si>
    <t>Hard-coded Inputs</t>
  </si>
  <si>
    <t>Mapped values</t>
  </si>
  <si>
    <t>Cells in this model are color-coded to indicate intent:</t>
  </si>
  <si>
    <t>Ratio of Tier 2/Tier 1 or On Peak/Off Peak in Present Rats</t>
  </si>
  <si>
    <t>Differential between Tier 2 and Tier 1 in Present Rates</t>
  </si>
  <si>
    <t>Proposed Billing Determinants (selected FY)</t>
  </si>
  <si>
    <t>Present Rates include Provisional and Pension Rider</t>
  </si>
  <si>
    <t>Reduction in revenue with FY26 permanent budget vs provisional budget</t>
  </si>
  <si>
    <t>Reduction in revenue per customer-month</t>
  </si>
  <si>
    <t>If False, "Present" values on Dashboard use the same billing determinants as the selected FY. Only impacts Dashboard values.</t>
  </si>
  <si>
    <t>Present Rates include Provisional and Pension Riders</t>
  </si>
  <si>
    <t>Total class cost allocation from LUMA's COSS.
Schedule K-1 (August 13 revision) Row 36 (Total Income Deficiency) plus Schedule L-1 L-2 (Present Revenues)</t>
  </si>
  <si>
    <t>Calculated in "Riders" tab and copy-and-pasted here.</t>
  </si>
  <si>
    <t>If True, "Present" rates and revenues throughout the model include Provisional and Pension riders. If False, "Present" rates and revenues through the model are only present base rates.</t>
  </si>
  <si>
    <t>PREB DECISION</t>
  </si>
  <si>
    <t>The Puerto Rico Energy Bureau (PREB) and its consultants developed this model to calculate revenue allocations and rates for NEPR-AP-2023-0003. It uses data and calculations from rate design schedules filed by LUMA in its July 3, 2025 application and subsequent revisions to those schedules, with additions and modification made by the PREB’s consultants. The revenue allocations and rate designs shown in this model reflect the decisions of the Energy Bureau, as described in the Final Resolution and Order. The Order and Appendix A and B represent the Energy Bureau's decisions. The Energy Bureau is providing this model for informational purposes only.
Use the Dashboard sheet to select the Fiscal Year (FY). Revenue allocations for the selected FY are shown on the Dashboard sheet. Rates for all classes except lighting classes are shown on the Rates sheet. Rates for lighting classes are shown on the Lighting Rates sheet.
The Calculations section of the model shows all calculations used to determine the revenue allocations and rates.
The Inputs section of the model includes revenue requirement and billing determinant inputs for all fiscal years. All billing determinants use LUMA's billing determinant forecast directly, as summarized in their schedules and Excel workbooks.
Additional details of the contents of each sheet are shown in the Table of Contents below.</t>
  </si>
  <si>
    <t>Appendix H: Puerto Rico Energy Bureau Rate Design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</si>
</sst>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0000_);[Red]\(&quot;$&quot;#,##0.00000\)"/>
    <numFmt numFmtId="165" formatCode="0.0000"/>
    <numFmt numFmtId="166" formatCode="&quot;$&quot;#,##0.0000_);\(&quot;$&quot;#,##0.0000\)"/>
    <numFmt numFmtId="167" formatCode="0.0%"/>
    <numFmt numFmtId="168" formatCode="&quot;$&quot;#,##0.00000_);\(&quot;$&quot;#,##0.00000\)"/>
    <numFmt numFmtId="169" formatCode="&quot;$&quot;#,##0.0000_);[Red]\(&quot;$&quot;#,##0.0000\)"/>
    <numFmt numFmtId="170" formatCode="_(* #,##0_);_(* \(#,##0\);_(* &quot; - &quot;_);_(@_)"/>
    <numFmt numFmtId="171" formatCode="&quot;$&quot;#,##0.00"/>
    <numFmt numFmtId="172" formatCode="&quot;$&quot;#,##0.00000"/>
    <numFmt numFmtId="173" formatCode="&quot;$&quot;#,##0.000000"/>
    <numFmt numFmtId="174" formatCode="_(* #,##0_);_(* \(#,##0\);_(* &quot;-&quot;??_);_(@_)"/>
    <numFmt numFmtId="175" formatCode="&quot;$&quot;#,##0"/>
    <numFmt numFmtId="176" formatCode="_(* #,##0.00_);_(* \(#,##0.00\);_(* &quot;-&quot;_);_(@_)"/>
    <numFmt numFmtId="177" formatCode="0.000"/>
    <numFmt numFmtId="178" formatCode="#,##0.0000"/>
    <numFmt numFmtId="179" formatCode="_(* #,##0.0000_);_(* \(#,##0.0000\);_(* &quot;-&quot;??_);_(@_)"/>
    <numFmt numFmtId="180" formatCode="_(* #,##0.00000_);_(* \(#,##0.00000\);_(* &quot;-&quot;??_);_(@_)"/>
    <numFmt numFmtId="181" formatCode="#,##0.0"/>
    <numFmt numFmtId="182" formatCode="_(* #,##0.0_);_(* \(#,##0.0\);_(* &quot;-&quot;??_);_(@_)"/>
    <numFmt numFmtId="183" formatCode="#,##0.000"/>
    <numFmt numFmtId="184" formatCode="_(* #,##0.000_);_(* \(#,##0.000\);_(* &quot;-&quot;??_);_(@_)"/>
    <numFmt numFmtId="185" formatCode="#,##0.00000000"/>
    <numFmt numFmtId="186" formatCode="#,##0.00000"/>
    <numFmt numFmtId="187" formatCode="_(&quot;$&quot;* #,##0_);_(&quot;$&quot;* \(#,##0\);_(&quot;$&quot;* &quot;-&quot;??_);_(@_)"/>
    <numFmt numFmtId="188" formatCode="0.00000"/>
    <numFmt numFmtId="189" formatCode="0.000000"/>
    <numFmt numFmtId="190" formatCode="&quot;$&quot;#,##0.000"/>
    <numFmt numFmtId="191" formatCode="_(&quot;$&quot;* #,##0.0000_);_(&quot;$&quot;* \(#,##0.0000\);_(&quot;$&quot;* &quot;-&quot;??_);_(@_)"/>
    <numFmt numFmtId="192" formatCode="_(&quot;$&quot;* #,##0.00000_);_(&quot;$&quot;* \(#,##0.00000\);_(&quot;$&quot;* &quot;-&quot;??_);_(@_)"/>
    <numFmt numFmtId="193" formatCode="0.00000000000000%"/>
    <numFmt numFmtId="194" formatCode="&quot;$&quot;#,##0.000_);\(&quot;$&quot;#,##0.000\)"/>
    <numFmt numFmtId="195" formatCode="0.000%"/>
    <numFmt numFmtId="196" formatCode="mmmm\ dd\,\ yyyy"/>
    <numFmt numFmtId="197" formatCode="&quot;$&quot;#,##0.000000_);\(&quot;$&quot;#,##0.000000\)"/>
  </numFmts>
  <fonts count="83">
    <font>
      <sz val="11"/>
      <color theme="1"/>
      <name val="Arial"/>
      <family val="2"/>
      <scheme val="minor"/>
    </font>
    <font>
      <sz val="11"/>
      <color theme="1"/>
      <name val="Arial"/>
      <family val="2"/>
    </font>
    <font>
      <sz val="11"/>
      <color theme="1"/>
      <name val="Arial"/>
      <family val="2"/>
      <scheme val="minor"/>
    </font>
    <font>
      <sz val="10"/>
      <color theme="1"/>
      <name val="Times New Roman"/>
      <family val="1"/>
    </font>
    <font>
      <sz val="9"/>
      <color theme="1"/>
      <name val="Arial"/>
      <family val="2"/>
      <scheme val="minor"/>
    </font>
    <font>
      <sz val="9"/>
      <color indexed="81"/>
      <name val="Tahoma"/>
      <family val="2"/>
    </font>
    <font>
      <sz val="10"/>
      <name val="Times New Roman"/>
      <family val="1"/>
    </font>
    <font>
      <sz val="12"/>
      <name val="Helv"/>
    </font>
    <font>
      <b/>
      <sz val="10"/>
      <name val="Times New Roman"/>
      <family val="1"/>
    </font>
    <font>
      <sz val="10"/>
      <name val="Arial"/>
      <family val="2"/>
    </font>
    <font>
      <sz val="10"/>
      <color rgb="FFFF0000"/>
      <name val="Times New Roman"/>
      <family val="1"/>
    </font>
    <font>
      <b/>
      <sz val="10"/>
      <color theme="1"/>
      <name val="Times New Roman"/>
      <family val="1"/>
    </font>
    <font>
      <sz val="8"/>
      <name val="Arial"/>
      <family val="2"/>
      <scheme val="minor"/>
    </font>
    <font>
      <sz val="9"/>
      <color rgb="FFFF0000"/>
      <name val="Arial"/>
      <family val="2"/>
      <scheme val="minor"/>
    </font>
    <font>
      <sz val="10"/>
      <color indexed="8"/>
      <name val="Times New Roman"/>
      <family val="1"/>
    </font>
    <font>
      <sz val="12"/>
      <color theme="1"/>
      <name val="Arial"/>
      <family val="2"/>
    </font>
    <font>
      <sz val="9"/>
      <color theme="1"/>
      <name val="Arial"/>
      <family val="2"/>
    </font>
    <font>
      <b/>
      <sz val="10"/>
      <color theme="1"/>
      <name val="Arial"/>
      <family val="2"/>
    </font>
    <font>
      <sz val="10"/>
      <color theme="4"/>
      <name val="Times New Roman"/>
      <family val="1"/>
    </font>
    <font>
      <sz val="8"/>
      <color theme="1"/>
      <name val="Arial"/>
      <family val="2"/>
    </font>
    <font>
      <b/>
      <sz val="10"/>
      <name val="Arial"/>
      <family val="2"/>
    </font>
    <font>
      <sz val="9"/>
      <name val="Arial"/>
      <family val="2"/>
    </font>
    <font>
      <sz val="8"/>
      <name val="Arial"/>
      <family val="2"/>
    </font>
    <font>
      <sz val="9"/>
      <color indexed="8"/>
      <name val="Arial"/>
      <family val="2"/>
    </font>
    <font>
      <b/>
      <sz val="9"/>
      <color indexed="8"/>
      <name val="Arial"/>
      <family val="2"/>
    </font>
    <font>
      <sz val="9"/>
      <color rgb="FFC00000"/>
      <name val="Arial"/>
      <family val="2"/>
    </font>
    <font>
      <b/>
      <sz val="9"/>
      <name val="Arial"/>
      <family val="2"/>
    </font>
    <font>
      <sz val="12"/>
      <color rgb="FFC00000"/>
      <name val="Arial"/>
      <family val="2"/>
    </font>
    <font>
      <b/>
      <i/>
      <sz val="9"/>
      <name val="Arial"/>
      <family val="2"/>
    </font>
    <font>
      <b/>
      <sz val="8"/>
      <name val="Arial"/>
      <family val="2"/>
    </font>
    <font>
      <sz val="10"/>
      <color indexed="8"/>
      <name val="Arial"/>
      <family val="2"/>
    </font>
    <font>
      <b/>
      <sz val="9"/>
      <color theme="1"/>
      <name val="Arial"/>
      <family val="2"/>
    </font>
    <font>
      <b/>
      <sz val="12"/>
      <color theme="1"/>
      <name val="Arial"/>
      <family val="2"/>
    </font>
    <font>
      <b/>
      <sz val="10"/>
      <color theme="0"/>
      <name val="Times New Roman"/>
      <family val="1"/>
    </font>
    <font>
      <b/>
      <sz val="12"/>
      <color rgb="FFFFFFFF"/>
      <name val="Arial"/>
      <family val="2"/>
    </font>
    <font>
      <b/>
      <sz val="18"/>
      <color rgb="FFFFFFFF"/>
      <name val="Arial"/>
      <family val="2"/>
    </font>
    <font>
      <sz val="11"/>
      <color rgb="FF031E4E"/>
      <name val="Arial"/>
      <family val="2"/>
    </font>
    <font>
      <b/>
      <sz val="14"/>
      <color rgb="FF031E4E"/>
      <name val="Arial"/>
      <family val="2"/>
    </font>
    <font>
      <b/>
      <sz val="11"/>
      <color rgb="FF031E4E"/>
      <name val="Arial"/>
      <family val="2"/>
    </font>
    <font>
      <sz val="18"/>
      <name val="Arial"/>
      <family val="2"/>
    </font>
    <font>
      <sz val="14"/>
      <color rgb="FF031E4E"/>
      <name val="Arial"/>
      <family val="2"/>
    </font>
    <font>
      <sz val="11"/>
      <name val="Arial"/>
      <family val="2"/>
    </font>
    <font>
      <sz val="16"/>
      <color theme="1"/>
      <name val="Arial"/>
      <family val="2"/>
    </font>
    <font>
      <sz val="10"/>
      <color theme="1"/>
      <name val="Arial (body)"/>
      <family val="2"/>
    </font>
    <font>
      <sz val="12"/>
      <name val="Arial"/>
      <family val="2"/>
    </font>
    <font>
      <sz val="11"/>
      <color theme="1"/>
      <name val="Times New Roman"/>
      <family val="1"/>
    </font>
    <font>
      <sz val="11"/>
      <name val="Times New Roman"/>
      <family val="1"/>
    </font>
    <font>
      <b/>
      <sz val="10"/>
      <color indexed="8"/>
      <name val="Times New Roman"/>
      <family val="1"/>
    </font>
    <font>
      <sz val="10"/>
      <color rgb="FFC00000"/>
      <name val="Times New Roman"/>
      <family val="1"/>
    </font>
    <font>
      <b/>
      <i/>
      <sz val="10"/>
      <name val="Times New Roman"/>
      <family val="1"/>
    </font>
    <font>
      <b/>
      <sz val="11"/>
      <color theme="0"/>
      <name val="Arial"/>
      <family val="2"/>
      <scheme val="minor"/>
    </font>
    <font>
      <sz val="10"/>
      <color theme="1"/>
      <name val="Arial"/>
      <family val="2"/>
    </font>
    <font>
      <u/>
      <sz val="11"/>
      <color theme="10"/>
      <name val="Arial"/>
      <family val="2"/>
      <scheme val="minor"/>
    </font>
    <font>
      <b/>
      <sz val="22"/>
      <color theme="3"/>
      <name val="Arial"/>
      <family val="2"/>
      <scheme val="major"/>
    </font>
    <font>
      <b/>
      <sz val="14"/>
      <name val="Arial"/>
      <family val="2"/>
      <scheme val="minor"/>
    </font>
    <font>
      <b/>
      <sz val="10"/>
      <color theme="0"/>
      <name val="Arial"/>
      <family val="2"/>
    </font>
    <font>
      <sz val="9"/>
      <name val="Arial"/>
      <family val="2"/>
      <scheme val="minor"/>
    </font>
    <font>
      <i/>
      <sz val="9"/>
      <name val="Arial"/>
      <family val="2"/>
      <scheme val="minor"/>
    </font>
    <font>
      <b/>
      <sz val="22"/>
      <color theme="3"/>
      <name val="Cambria"/>
      <family val="1"/>
    </font>
    <font>
      <sz val="9"/>
      <color theme="1"/>
      <name val="Cambria"/>
      <family val="1"/>
    </font>
    <font>
      <b/>
      <sz val="14"/>
      <name val="Cambria"/>
      <family val="1"/>
    </font>
    <font>
      <sz val="11"/>
      <color theme="1"/>
      <name val="Cambria"/>
      <family val="1"/>
    </font>
    <font>
      <b/>
      <sz val="11"/>
      <color theme="1"/>
      <name val="Cambria"/>
      <family val="1"/>
    </font>
    <font>
      <sz val="10"/>
      <color theme="1"/>
      <name val="Cambria"/>
      <family val="1"/>
    </font>
    <font>
      <b/>
      <sz val="11"/>
      <color theme="0"/>
      <name val="Cambria"/>
      <family val="1"/>
    </font>
    <font>
      <sz val="10"/>
      <color theme="0" tint="-0.14999847407452621"/>
      <name val="Cambria"/>
      <family val="1"/>
    </font>
    <font>
      <i/>
      <sz val="10"/>
      <color theme="1"/>
      <name val="Cambria"/>
      <family val="1"/>
    </font>
    <font>
      <b/>
      <sz val="10"/>
      <color theme="1"/>
      <name val="Cambria"/>
      <family val="1"/>
    </font>
    <font>
      <b/>
      <sz val="11"/>
      <color theme="4"/>
      <name val="Cambria"/>
      <family val="1"/>
    </font>
    <font>
      <sz val="10"/>
      <color rgb="FF000000"/>
      <name val="Cambria"/>
      <family val="1"/>
    </font>
    <font>
      <b/>
      <sz val="10"/>
      <color rgb="FF000000"/>
      <name val="Cambria"/>
      <family val="1"/>
    </font>
    <font>
      <u/>
      <sz val="10"/>
      <color rgb="FF000000"/>
      <name val="Cambria"/>
      <family val="1"/>
    </font>
    <font>
      <u/>
      <sz val="10"/>
      <color theme="1"/>
      <name val="Cambria"/>
      <family val="1"/>
    </font>
    <font>
      <b/>
      <i/>
      <sz val="10"/>
      <color rgb="FF000000"/>
      <name val="Cambria"/>
      <family val="1"/>
    </font>
    <font>
      <b/>
      <i/>
      <sz val="10"/>
      <color theme="1"/>
      <name val="Cambria"/>
      <family val="1"/>
    </font>
    <font>
      <i/>
      <sz val="10"/>
      <color rgb="FF000000"/>
      <name val="Cambria"/>
      <family val="1"/>
    </font>
    <font>
      <b/>
      <u/>
      <sz val="10"/>
      <color theme="1"/>
      <name val="Cambria"/>
      <family val="1"/>
    </font>
    <font>
      <b/>
      <sz val="11"/>
      <name val="Cambria"/>
      <family val="1"/>
    </font>
    <font>
      <sz val="11"/>
      <color rgb="FF202022"/>
      <name val="Cambria"/>
      <family val="1"/>
    </font>
    <font>
      <sz val="11"/>
      <name val="Cambria"/>
      <family val="1"/>
    </font>
    <font>
      <sz val="11"/>
      <color theme="0"/>
      <name val="Cambria"/>
      <family val="1"/>
    </font>
    <font>
      <i/>
      <sz val="11"/>
      <color theme="1"/>
      <name val="Cambria"/>
      <family val="1"/>
    </font>
    <font>
      <u/>
      <sz val="10"/>
      <color theme="10"/>
      <name val="Cambria"/>
      <family val="1"/>
    </font>
  </fonts>
  <fills count="34">
    <fill>
      <patternFill patternType="none"/>
    </fill>
    <fill>
      <patternFill patternType="gray125"/>
    </fill>
    <fill>
      <patternFill patternType="solid">
        <fgColor rgb="FFFFFF00"/>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5"/>
        <bgColor indexed="64"/>
      </patternFill>
    </fill>
    <fill>
      <patternFill patternType="solid">
        <fgColor rgb="FF031E4E"/>
        <bgColor indexed="64"/>
      </patternFill>
    </fill>
    <fill>
      <patternFill patternType="solid">
        <fgColor theme="0" tint="-0.14999847407452621"/>
        <bgColor indexed="64"/>
      </patternFill>
    </fill>
    <fill>
      <patternFill patternType="solid">
        <fgColor theme="4"/>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CC"/>
        <bgColor indexed="64"/>
      </patternFill>
    </fill>
    <fill>
      <patternFill patternType="solid">
        <fgColor theme="0" tint="-0.499984740745262"/>
        <bgColor indexed="64"/>
      </patternFill>
    </fill>
    <fill>
      <patternFill patternType="solid">
        <fgColor rgb="FFFFFFCC"/>
      </patternFill>
    </fill>
    <fill>
      <patternFill patternType="solid">
        <fgColor theme="6" tint="0.79998168889431442"/>
        <bgColor indexed="64"/>
      </patternFill>
    </fill>
    <fill>
      <patternFill patternType="solid">
        <fgColor theme="9"/>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2"/>
        <bgColor indexed="64"/>
      </patternFill>
    </fill>
    <fill>
      <patternFill patternType="solid">
        <fgColor theme="4" tint="0.59996337778862885"/>
        <bgColor indexed="64"/>
      </patternFill>
    </fill>
    <fill>
      <patternFill patternType="solid">
        <fgColor theme="3" tint="0.79998168889431442"/>
        <bgColor indexed="64"/>
      </patternFill>
    </fill>
  </fills>
  <borders count="9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uble">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hair">
        <color indexed="64"/>
      </left>
      <right style="dotted">
        <color indexed="64"/>
      </right>
      <top style="hair">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style="medium">
        <color indexed="64"/>
      </bottom>
      <diagonal/>
    </border>
    <border>
      <left/>
      <right style="dotted">
        <color indexed="64"/>
      </right>
      <top style="hair">
        <color indexed="64"/>
      </top>
      <bottom style="medium">
        <color indexed="64"/>
      </bottom>
      <diagonal/>
    </border>
    <border>
      <left style="hair">
        <color indexed="64"/>
      </left>
      <right/>
      <top/>
      <bottom style="medium">
        <color indexed="64"/>
      </bottom>
      <diagonal/>
    </border>
    <border>
      <left style="hair">
        <color indexed="64"/>
      </left>
      <right style="hair">
        <color indexed="64"/>
      </right>
      <top/>
      <bottom style="medium">
        <color indexed="64"/>
      </bottom>
      <diagonal/>
    </border>
    <border>
      <left/>
      <right style="hair">
        <color indexed="64"/>
      </right>
      <top/>
      <bottom/>
      <diagonal/>
    </border>
    <border>
      <left style="hair">
        <color indexed="64"/>
      </left>
      <right style="dotted">
        <color indexed="64"/>
      </right>
      <top/>
      <bottom/>
      <diagonal/>
    </border>
    <border>
      <left/>
      <right style="dotted">
        <color indexed="64"/>
      </right>
      <top/>
      <bottom/>
      <diagonal/>
    </border>
    <border>
      <left style="hair">
        <color indexed="64"/>
      </left>
      <right style="hair">
        <color indexed="64"/>
      </right>
      <top/>
      <bottom/>
      <diagonal/>
    </border>
    <border>
      <left/>
      <right style="hair">
        <color indexed="64"/>
      </right>
      <top style="thin">
        <color indexed="64"/>
      </top>
      <bottom style="thin">
        <color indexed="64"/>
      </bottom>
      <diagonal/>
    </border>
    <border>
      <left style="hair">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bottom style="thin">
        <color indexed="64"/>
      </bottom>
      <diagonal/>
    </border>
    <border>
      <left/>
      <right/>
      <top style="dashDot">
        <color auto="1"/>
      </top>
      <bottom style="dashDot">
        <color auto="1"/>
      </bottom>
      <diagonal/>
    </border>
    <border>
      <left/>
      <right/>
      <top style="dashDotDot">
        <color auto="1"/>
      </top>
      <bottom style="dashDotDot">
        <color auto="1"/>
      </bottom>
      <diagonal/>
    </border>
    <border>
      <left/>
      <right style="hair">
        <color indexed="64"/>
      </right>
      <top style="dashDotDot">
        <color auto="1"/>
      </top>
      <bottom style="dashDotDot">
        <color auto="1"/>
      </bottom>
      <diagonal/>
    </border>
    <border>
      <left style="hair">
        <color indexed="64"/>
      </left>
      <right style="dotted">
        <color indexed="64"/>
      </right>
      <top style="dashDotDot">
        <color auto="1"/>
      </top>
      <bottom style="dashDotDot">
        <color auto="1"/>
      </bottom>
      <diagonal/>
    </border>
    <border>
      <left/>
      <right style="dotted">
        <color indexed="64"/>
      </right>
      <top style="dashDotDot">
        <color auto="1"/>
      </top>
      <bottom style="dashDotDot">
        <color auto="1"/>
      </bottom>
      <diagonal/>
    </border>
    <border>
      <left style="dotted">
        <color indexed="64"/>
      </left>
      <right style="hair">
        <color indexed="64"/>
      </right>
      <top style="dashDotDot">
        <color auto="1"/>
      </top>
      <bottom style="dashDotDot">
        <color auto="1"/>
      </bottom>
      <diagonal/>
    </border>
    <border>
      <left style="hair">
        <color indexed="64"/>
      </left>
      <right style="hair">
        <color indexed="64"/>
      </right>
      <top style="dashDotDot">
        <color auto="1"/>
      </top>
      <bottom style="dashDotDot">
        <color auto="1"/>
      </bottom>
      <diagonal/>
    </border>
    <border>
      <left style="dotted">
        <color indexed="64"/>
      </left>
      <right style="hair">
        <color indexed="64"/>
      </right>
      <top/>
      <bottom/>
      <diagonal/>
    </border>
    <border>
      <left style="dotted">
        <color indexed="64"/>
      </left>
      <right/>
      <top style="dashDotDot">
        <color auto="1"/>
      </top>
      <bottom style="dashDotDot">
        <color auto="1"/>
      </bottom>
      <diagonal/>
    </border>
    <border>
      <left style="hair">
        <color indexed="64"/>
      </left>
      <right/>
      <top style="thin">
        <color indexed="64"/>
      </top>
      <bottom style="thin">
        <color indexed="64"/>
      </bottom>
      <diagonal/>
    </border>
    <border>
      <left style="dotted">
        <color indexed="64"/>
      </left>
      <right/>
      <top style="thin">
        <color indexed="64"/>
      </top>
      <bottom style="thin">
        <color indexed="64"/>
      </bottom>
      <diagonal/>
    </border>
    <border>
      <left style="hair">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style="hair">
        <color indexed="64"/>
      </right>
      <top style="thin">
        <color indexed="64"/>
      </top>
      <bottom style="thin">
        <color indexed="64"/>
      </bottom>
      <diagonal/>
    </border>
    <border>
      <left style="hair">
        <color indexed="64"/>
      </left>
      <right/>
      <top/>
      <bottom/>
      <diagonal/>
    </border>
    <border>
      <left/>
      <right style="hair">
        <color indexed="64"/>
      </right>
      <top style="thin">
        <color indexed="64"/>
      </top>
      <bottom style="medium">
        <color indexed="64"/>
      </bottom>
      <diagonal/>
    </border>
    <border>
      <left style="hair">
        <color indexed="64"/>
      </left>
      <right style="dotted">
        <color indexed="64"/>
      </right>
      <top style="thin">
        <color indexed="64"/>
      </top>
      <bottom style="medium">
        <color indexed="64"/>
      </bottom>
      <diagonal/>
    </border>
    <border>
      <left style="hair">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bottom style="medium">
        <color rgb="FFFFFFFF"/>
      </bottom>
      <diagonal/>
    </border>
    <border>
      <left style="medium">
        <color rgb="FFFFFFFF"/>
      </left>
      <right style="medium">
        <color rgb="FFFFFFFF"/>
      </right>
      <top style="medium">
        <color rgb="FFFFFFFF"/>
      </top>
      <bottom/>
      <diagonal/>
    </border>
    <border>
      <left/>
      <right style="medium">
        <color rgb="FFFFFFFF"/>
      </right>
      <top style="medium">
        <color rgb="FFFFFFFF"/>
      </top>
      <bottom style="medium">
        <color rgb="FFFFFFFF"/>
      </bottom>
      <diagonal/>
    </border>
    <border>
      <left style="medium">
        <color rgb="FFFFFFFF"/>
      </left>
      <right style="medium">
        <color rgb="FFFFFFFF"/>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rgb="FFB2B2B2"/>
      </left>
      <right style="thin">
        <color rgb="FFB2B2B2"/>
      </right>
      <top style="thin">
        <color rgb="FFB2B2B2"/>
      </top>
      <bottom style="thin">
        <color rgb="FFB2B2B2"/>
      </bottom>
      <diagonal/>
    </border>
    <border>
      <left style="thin">
        <color indexed="64"/>
      </left>
      <right/>
      <top/>
      <bottom style="double">
        <color auto="1"/>
      </bottom>
      <diagonal/>
    </border>
    <border>
      <left/>
      <right style="thin">
        <color indexed="64"/>
      </right>
      <top/>
      <bottom style="double">
        <color auto="1"/>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bottom style="double">
        <color auto="1"/>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rgb="FFB2B2B2"/>
      </right>
      <top style="thin">
        <color indexed="64"/>
      </top>
      <bottom style="thin">
        <color rgb="FFB2B2B2"/>
      </bottom>
      <diagonal/>
    </border>
    <border>
      <left style="thin">
        <color rgb="FFB2B2B2"/>
      </left>
      <right style="thin">
        <color rgb="FFB2B2B2"/>
      </right>
      <top style="thin">
        <color indexed="64"/>
      </top>
      <bottom style="thin">
        <color rgb="FFB2B2B2"/>
      </bottom>
      <diagonal/>
    </border>
    <border>
      <left style="thin">
        <color rgb="FFB2B2B2"/>
      </left>
      <right style="thin">
        <color indexed="64"/>
      </right>
      <top style="thin">
        <color indexed="64"/>
      </top>
      <bottom style="thin">
        <color rgb="FFB2B2B2"/>
      </bottom>
      <diagonal/>
    </border>
    <border>
      <left style="thin">
        <color indexed="64"/>
      </left>
      <right style="thin">
        <color rgb="FFB2B2B2"/>
      </right>
      <top style="thin">
        <color indexed="64"/>
      </top>
      <bottom style="thin">
        <color indexed="64"/>
      </bottom>
      <diagonal/>
    </border>
    <border>
      <left style="thin">
        <color rgb="FFB2B2B2"/>
      </left>
      <right style="thin">
        <color rgb="FFB2B2B2"/>
      </right>
      <top style="thin">
        <color indexed="64"/>
      </top>
      <bottom style="thin">
        <color indexed="64"/>
      </bottom>
      <diagonal/>
    </border>
    <border>
      <left/>
      <right/>
      <top/>
      <bottom style="medium">
        <color theme="3"/>
      </bottom>
      <diagonal/>
    </border>
    <border>
      <left style="thin">
        <color theme="3"/>
      </left>
      <right style="thin">
        <color theme="3"/>
      </right>
      <top style="thin">
        <color theme="3"/>
      </top>
      <bottom style="thin">
        <color theme="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3"/>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s>
  <cellStyleXfs count="28">
    <xf numFmtId="0" fontId="0" fillId="0" borderId="0"/>
    <xf numFmtId="9" fontId="2" fillId="0" borderId="0" applyFont="0" applyFill="0" applyBorder="0" applyAlignment="0" applyProtection="0"/>
    <xf numFmtId="0" fontId="3" fillId="0" borderId="0"/>
    <xf numFmtId="37" fontId="7" fillId="0" borderId="0"/>
    <xf numFmtId="0" fontId="9" fillId="0" borderId="0"/>
    <xf numFmtId="9" fontId="9"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0" fontId="15" fillId="0" borderId="0"/>
    <xf numFmtId="43" fontId="15" fillId="0" borderId="0" applyFont="0" applyFill="0" applyBorder="0" applyAlignment="0" applyProtection="0"/>
    <xf numFmtId="44" fontId="2" fillId="0" borderId="0" applyFont="0" applyFill="0" applyBorder="0" applyAlignment="0" applyProtection="0"/>
    <xf numFmtId="44" fontId="15" fillId="0" borderId="0" applyFont="0" applyFill="0" applyBorder="0" applyAlignment="0" applyProtection="0"/>
    <xf numFmtId="43" fontId="30" fillId="0" borderId="0" applyFont="0" applyFill="0" applyBorder="0" applyAlignment="0" applyProtection="0"/>
    <xf numFmtId="44" fontId="2" fillId="0" borderId="0" applyFont="0" applyFill="0" applyBorder="0" applyAlignment="0" applyProtection="0"/>
    <xf numFmtId="0" fontId="43" fillId="0" borderId="0"/>
    <xf numFmtId="0" fontId="2" fillId="25" borderId="74" applyNumberFormat="0" applyFont="0" applyAlignment="0" applyProtection="0"/>
    <xf numFmtId="0" fontId="52" fillId="0" borderId="0" applyNumberFormat="0" applyFill="0" applyBorder="0" applyAlignment="0" applyProtection="0"/>
    <xf numFmtId="0" fontId="53" fillId="0" borderId="91" applyNumberFormat="0" applyAlignment="0"/>
    <xf numFmtId="0" fontId="16" fillId="0" borderId="0">
      <alignment vertical="center"/>
    </xf>
    <xf numFmtId="0" fontId="54" fillId="0" borderId="20" applyNumberFormat="0" applyAlignment="0"/>
    <xf numFmtId="0" fontId="55" fillId="28" borderId="92" applyNumberFormat="0">
      <alignment vertical="center"/>
    </xf>
    <xf numFmtId="0" fontId="21" fillId="0" borderId="93" applyNumberFormat="0">
      <alignment vertical="center"/>
    </xf>
    <xf numFmtId="0" fontId="56" fillId="23" borderId="93" applyNumberFormat="0">
      <alignment vertical="center"/>
    </xf>
    <xf numFmtId="0" fontId="56" fillId="29" borderId="93" applyNumberFormat="0">
      <alignment vertical="center"/>
    </xf>
    <xf numFmtId="0" fontId="57" fillId="20" borderId="93" applyNumberFormat="0">
      <alignment vertical="center"/>
    </xf>
    <xf numFmtId="0" fontId="57" fillId="30" borderId="93" applyNumberFormat="0">
      <alignment vertical="center"/>
    </xf>
    <xf numFmtId="0" fontId="16" fillId="31" borderId="93" applyAlignment="0">
      <alignment horizontal="left"/>
    </xf>
    <xf numFmtId="0" fontId="16" fillId="32" borderId="93" applyNumberFormat="0">
      <alignment vertical="center"/>
    </xf>
  </cellStyleXfs>
  <cellXfs count="1630">
    <xf numFmtId="0" fontId="0" fillId="0" borderId="0" xfId="0"/>
    <xf numFmtId="0" fontId="1" fillId="0" borderId="0" xfId="0" applyFont="1"/>
    <xf numFmtId="0" fontId="3" fillId="3" borderId="0" xfId="2" applyFill="1"/>
    <xf numFmtId="0" fontId="3" fillId="0" borderId="0" xfId="2"/>
    <xf numFmtId="0" fontId="3" fillId="4" borderId="0" xfId="2" applyFill="1"/>
    <xf numFmtId="0" fontId="3" fillId="4" borderId="0" xfId="2" applyFill="1" applyAlignment="1">
      <alignment horizontal="center"/>
    </xf>
    <xf numFmtId="0" fontId="3" fillId="3" borderId="0" xfId="2" applyFill="1" applyAlignment="1">
      <alignment horizontal="center"/>
    </xf>
    <xf numFmtId="3" fontId="3" fillId="4" borderId="0" xfId="2" applyNumberFormat="1" applyFill="1"/>
    <xf numFmtId="0" fontId="3" fillId="4" borderId="1" xfId="2" applyFill="1" applyBorder="1" applyAlignment="1">
      <alignment horizontal="center"/>
    </xf>
    <xf numFmtId="3" fontId="4" fillId="3" borderId="0" xfId="2" applyNumberFormat="1" applyFont="1" applyFill="1"/>
    <xf numFmtId="0" fontId="3" fillId="4" borderId="0" xfId="2" applyFill="1" applyAlignment="1">
      <alignment horizontal="center" wrapText="1"/>
    </xf>
    <xf numFmtId="0" fontId="3" fillId="0" borderId="0" xfId="4" applyFont="1" applyProtection="1">
      <protection locked="0"/>
    </xf>
    <xf numFmtId="0" fontId="3" fillId="0" borderId="14" xfId="4" applyFont="1" applyBorder="1" applyProtection="1">
      <protection locked="0"/>
    </xf>
    <xf numFmtId="41" fontId="3" fillId="2" borderId="9" xfId="2" applyNumberFormat="1" applyFill="1" applyBorder="1"/>
    <xf numFmtId="0" fontId="3" fillId="0" borderId="0" xfId="0" applyFont="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8" fontId="3" fillId="0" borderId="0" xfId="0" applyNumberFormat="1" applyFont="1"/>
    <xf numFmtId="0" fontId="3" fillId="0" borderId="0" xfId="0" applyFont="1" applyAlignment="1">
      <alignment horizontal="right"/>
    </xf>
    <xf numFmtId="164" fontId="3" fillId="0" borderId="0" xfId="0" applyNumberFormat="1" applyFont="1"/>
    <xf numFmtId="0" fontId="3" fillId="0" borderId="7" xfId="0" applyFont="1" applyBorder="1"/>
    <xf numFmtId="0" fontId="3" fillId="0" borderId="1" xfId="0" applyFont="1" applyBorder="1"/>
    <xf numFmtId="0" fontId="3" fillId="0" borderId="8" xfId="0" applyFont="1" applyBorder="1"/>
    <xf numFmtId="6" fontId="3" fillId="0" borderId="0" xfId="0" applyNumberFormat="1" applyFont="1"/>
    <xf numFmtId="0" fontId="3" fillId="0" borderId="0" xfId="0" applyFont="1" applyAlignment="1">
      <alignment horizontal="left"/>
    </xf>
    <xf numFmtId="0" fontId="11" fillId="0" borderId="5" xfId="0" applyFont="1" applyBorder="1"/>
    <xf numFmtId="0" fontId="11" fillId="0" borderId="2" xfId="0" applyFont="1" applyBorder="1"/>
    <xf numFmtId="0" fontId="11" fillId="0" borderId="7" xfId="0" applyFont="1" applyBorder="1"/>
    <xf numFmtId="0" fontId="3" fillId="0" borderId="13" xfId="0" applyFont="1" applyBorder="1"/>
    <xf numFmtId="0" fontId="10" fillId="3" borderId="0" xfId="2" applyFont="1" applyFill="1"/>
    <xf numFmtId="3" fontId="3" fillId="2" borderId="9" xfId="2" applyNumberFormat="1" applyFill="1" applyBorder="1"/>
    <xf numFmtId="0" fontId="11" fillId="4" borderId="0" xfId="2" applyFont="1" applyFill="1"/>
    <xf numFmtId="0" fontId="11" fillId="3" borderId="0" xfId="2" applyFont="1" applyFill="1"/>
    <xf numFmtId="171" fontId="3" fillId="4" borderId="0" xfId="2" applyNumberFormat="1" applyFill="1"/>
    <xf numFmtId="0" fontId="10" fillId="3" borderId="0" xfId="2" applyFont="1" applyFill="1" applyAlignment="1">
      <alignment horizontal="center"/>
    </xf>
    <xf numFmtId="3" fontId="13" fillId="3" borderId="0" xfId="2" applyNumberFormat="1" applyFont="1" applyFill="1"/>
    <xf numFmtId="8" fontId="3" fillId="2" borderId="9" xfId="2" applyNumberFormat="1" applyFill="1" applyBorder="1"/>
    <xf numFmtId="172" fontId="3" fillId="2" borderId="9" xfId="2" applyNumberFormat="1" applyFill="1" applyBorder="1"/>
    <xf numFmtId="171" fontId="3" fillId="0" borderId="9" xfId="2" applyNumberFormat="1" applyBorder="1"/>
    <xf numFmtId="172" fontId="3" fillId="0" borderId="9" xfId="2" applyNumberFormat="1" applyBorder="1"/>
    <xf numFmtId="0" fontId="3" fillId="0" borderId="0" xfId="4" applyFont="1" applyAlignment="1" applyProtection="1">
      <alignment horizontal="left" indent="4"/>
      <protection locked="0"/>
    </xf>
    <xf numFmtId="0" fontId="3" fillId="4" borderId="0" xfId="2" applyFill="1" applyAlignment="1">
      <alignment horizontal="left"/>
    </xf>
    <xf numFmtId="0" fontId="15" fillId="0" borderId="0" xfId="8"/>
    <xf numFmtId="3" fontId="3" fillId="2" borderId="9" xfId="2" applyNumberFormat="1" applyFill="1" applyBorder="1" applyAlignment="1">
      <alignment horizontal="center"/>
    </xf>
    <xf numFmtId="0" fontId="3" fillId="0" borderId="9" xfId="2" applyBorder="1"/>
    <xf numFmtId="3" fontId="3" fillId="0" borderId="9" xfId="2" applyNumberFormat="1" applyBorder="1" applyAlignment="1">
      <alignment horizontal="center"/>
    </xf>
    <xf numFmtId="173" fontId="3" fillId="0" borderId="9" xfId="2" applyNumberFormat="1" applyBorder="1" applyAlignment="1">
      <alignment horizontal="center"/>
    </xf>
    <xf numFmtId="173" fontId="3" fillId="4" borderId="0" xfId="2" applyNumberFormat="1" applyFill="1" applyAlignment="1">
      <alignment horizontal="center"/>
    </xf>
    <xf numFmtId="3" fontId="3" fillId="2" borderId="9" xfId="2" applyNumberFormat="1" applyFill="1" applyBorder="1" applyAlignment="1">
      <alignment horizontal="left"/>
    </xf>
    <xf numFmtId="41" fontId="3" fillId="0" borderId="9" xfId="2" applyNumberFormat="1" applyBorder="1"/>
    <xf numFmtId="176" fontId="3" fillId="0" borderId="9" xfId="2" applyNumberFormat="1" applyBorder="1"/>
    <xf numFmtId="3" fontId="3" fillId="2" borderId="0" xfId="2" applyNumberFormat="1" applyFill="1"/>
    <xf numFmtId="0" fontId="11" fillId="4" borderId="1" xfId="2" applyFont="1" applyFill="1" applyBorder="1" applyAlignment="1">
      <alignment horizontal="center"/>
    </xf>
    <xf numFmtId="3" fontId="3" fillId="4" borderId="0" xfId="2" applyNumberFormat="1" applyFill="1" applyAlignment="1">
      <alignment horizontal="left" indent="2"/>
    </xf>
    <xf numFmtId="2" fontId="3" fillId="2" borderId="9" xfId="2" applyNumberFormat="1" applyFill="1" applyBorder="1"/>
    <xf numFmtId="1" fontId="3" fillId="2" borderId="9" xfId="2" applyNumberFormat="1" applyFill="1" applyBorder="1"/>
    <xf numFmtId="8" fontId="3" fillId="6" borderId="9" xfId="2" applyNumberFormat="1" applyFill="1" applyBorder="1"/>
    <xf numFmtId="172" fontId="3" fillId="6" borderId="9" xfId="2" applyNumberFormat="1" applyFill="1" applyBorder="1"/>
    <xf numFmtId="171" fontId="3" fillId="6" borderId="9" xfId="2" applyNumberFormat="1" applyFill="1" applyBorder="1"/>
    <xf numFmtId="8" fontId="3" fillId="11" borderId="9" xfId="2" applyNumberFormat="1" applyFill="1" applyBorder="1"/>
    <xf numFmtId="3" fontId="18" fillId="4" borderId="0" xfId="2" applyNumberFormat="1" applyFont="1" applyFill="1"/>
    <xf numFmtId="8" fontId="18" fillId="0" borderId="9" xfId="2" applyNumberFormat="1" applyFont="1" applyBorder="1"/>
    <xf numFmtId="0" fontId="18" fillId="4" borderId="0" xfId="2" applyFont="1" applyFill="1" applyAlignment="1">
      <alignment horizontal="center"/>
    </xf>
    <xf numFmtId="172" fontId="18" fillId="0" borderId="9" xfId="2" applyNumberFormat="1" applyFont="1" applyBorder="1"/>
    <xf numFmtId="2" fontId="18" fillId="4" borderId="0" xfId="2" applyNumberFormat="1" applyFont="1" applyFill="1" applyAlignment="1">
      <alignment horizontal="center"/>
    </xf>
    <xf numFmtId="2" fontId="18" fillId="4" borderId="0" xfId="2" applyNumberFormat="1" applyFont="1" applyFill="1"/>
    <xf numFmtId="0" fontId="15" fillId="12" borderId="0" xfId="8" applyFill="1" applyAlignment="1">
      <alignment horizontal="center"/>
    </xf>
    <xf numFmtId="0" fontId="19" fillId="0" borderId="0" xfId="8" applyFont="1"/>
    <xf numFmtId="0" fontId="20" fillId="0" borderId="0" xfId="8" applyFont="1"/>
    <xf numFmtId="0" fontId="20" fillId="0" borderId="0" xfId="8" applyFont="1" applyAlignment="1">
      <alignment horizontal="right"/>
    </xf>
    <xf numFmtId="0" fontId="21" fillId="0" borderId="0" xfId="8" applyFont="1"/>
    <xf numFmtId="177" fontId="21" fillId="0" borderId="0" xfId="8" applyNumberFormat="1" applyFont="1"/>
    <xf numFmtId="0" fontId="22" fillId="0" borderId="0" xfId="8" applyFont="1"/>
    <xf numFmtId="49" fontId="23" fillId="0" borderId="0" xfId="8" applyNumberFormat="1" applyFont="1" applyAlignment="1">
      <alignment horizontal="right"/>
    </xf>
    <xf numFmtId="49" fontId="23" fillId="5" borderId="0" xfId="9" applyNumberFormat="1" applyFont="1" applyFill="1" applyBorder="1" applyAlignment="1">
      <alignment horizontal="right"/>
    </xf>
    <xf numFmtId="178" fontId="23" fillId="13" borderId="0" xfId="9" applyNumberFormat="1" applyFont="1" applyFill="1" applyBorder="1"/>
    <xf numFmtId="179" fontId="23" fillId="0" borderId="0" xfId="8" applyNumberFormat="1" applyFont="1"/>
    <xf numFmtId="179" fontId="24" fillId="0" borderId="0" xfId="8" applyNumberFormat="1" applyFont="1"/>
    <xf numFmtId="180" fontId="23" fillId="0" borderId="0" xfId="8" applyNumberFormat="1" applyFont="1"/>
    <xf numFmtId="174" fontId="23" fillId="0" borderId="0" xfId="9" applyNumberFormat="1" applyFont="1" applyFill="1" applyBorder="1"/>
    <xf numFmtId="43" fontId="23" fillId="0" borderId="0" xfId="8" applyNumberFormat="1" applyFont="1"/>
    <xf numFmtId="4" fontId="23" fillId="13" borderId="0" xfId="8" applyNumberFormat="1" applyFont="1" applyFill="1"/>
    <xf numFmtId="49" fontId="23" fillId="5" borderId="0" xfId="8" applyNumberFormat="1" applyFont="1" applyFill="1" applyAlignment="1">
      <alignment horizontal="right"/>
    </xf>
    <xf numFmtId="43" fontId="23" fillId="0" borderId="0" xfId="9" applyFont="1" applyFill="1" applyBorder="1"/>
    <xf numFmtId="49" fontId="23" fillId="0" borderId="0" xfId="9" applyNumberFormat="1" applyFont="1" applyFill="1" applyBorder="1" applyAlignment="1">
      <alignment horizontal="right"/>
    </xf>
    <xf numFmtId="165" fontId="23" fillId="5" borderId="0" xfId="8" applyNumberFormat="1" applyFont="1" applyFill="1"/>
    <xf numFmtId="165" fontId="23" fillId="0" borderId="0" xfId="8" applyNumberFormat="1" applyFont="1"/>
    <xf numFmtId="0" fontId="23" fillId="0" borderId="0" xfId="8" applyFont="1" applyAlignment="1">
      <alignment horizontal="right"/>
    </xf>
    <xf numFmtId="0" fontId="23" fillId="0" borderId="0" xfId="8" applyFont="1" applyAlignment="1">
      <alignment horizontal="center"/>
    </xf>
    <xf numFmtId="178" fontId="23" fillId="13" borderId="0" xfId="8" applyNumberFormat="1" applyFont="1" applyFill="1"/>
    <xf numFmtId="3" fontId="23" fillId="0" borderId="0" xfId="8" applyNumberFormat="1" applyFont="1" applyAlignment="1">
      <alignment horizontal="center"/>
    </xf>
    <xf numFmtId="0" fontId="24" fillId="0" borderId="19" xfId="8" applyFont="1" applyBorder="1" applyAlignment="1">
      <alignment horizontal="right"/>
    </xf>
    <xf numFmtId="0" fontId="26" fillId="0" borderId="19" xfId="8" applyFont="1" applyBorder="1" applyAlignment="1">
      <alignment horizontal="center"/>
    </xf>
    <xf numFmtId="0" fontId="24" fillId="0" borderId="19" xfId="8" applyFont="1" applyBorder="1" applyAlignment="1">
      <alignment horizontal="center"/>
    </xf>
    <xf numFmtId="39" fontId="23" fillId="0" borderId="0" xfId="11" applyNumberFormat="1" applyFont="1" applyFill="1" applyBorder="1"/>
    <xf numFmtId="181" fontId="23" fillId="0" borderId="0" xfId="8" applyNumberFormat="1" applyFont="1" applyAlignment="1">
      <alignment horizontal="center"/>
    </xf>
    <xf numFmtId="43" fontId="15" fillId="0" borderId="0" xfId="8" applyNumberFormat="1"/>
    <xf numFmtId="0" fontId="27" fillId="0" borderId="0" xfId="8" applyFont="1"/>
    <xf numFmtId="181" fontId="15" fillId="0" borderId="0" xfId="8" applyNumberFormat="1"/>
    <xf numFmtId="180" fontId="23" fillId="0" borderId="0" xfId="9" applyNumberFormat="1" applyFont="1" applyFill="1" applyBorder="1"/>
    <xf numFmtId="0" fontId="23" fillId="0" borderId="19" xfId="8" applyFont="1" applyBorder="1" applyAlignment="1">
      <alignment horizontal="right"/>
    </xf>
    <xf numFmtId="182" fontId="23" fillId="0" borderId="19" xfId="8" applyNumberFormat="1" applyFont="1" applyBorder="1" applyAlignment="1">
      <alignment horizontal="center"/>
    </xf>
    <xf numFmtId="37" fontId="23" fillId="0" borderId="19" xfId="9" applyNumberFormat="1" applyFont="1" applyFill="1" applyBorder="1" applyAlignment="1">
      <alignment horizontal="right"/>
    </xf>
    <xf numFmtId="44" fontId="23" fillId="0" borderId="0" xfId="11" applyFont="1" applyFill="1" applyBorder="1"/>
    <xf numFmtId="0" fontId="23" fillId="14" borderId="0" xfId="8" applyFont="1" applyFill="1"/>
    <xf numFmtId="2" fontId="23" fillId="14" borderId="0" xfId="8" applyNumberFormat="1" applyFont="1" applyFill="1" applyAlignment="1">
      <alignment horizontal="center"/>
    </xf>
    <xf numFmtId="184" fontId="15" fillId="0" borderId="0" xfId="8" applyNumberFormat="1"/>
    <xf numFmtId="2" fontId="23" fillId="0" borderId="0" xfId="8" applyNumberFormat="1" applyFont="1" applyAlignment="1">
      <alignment horizontal="center"/>
    </xf>
    <xf numFmtId="182" fontId="23" fillId="0" borderId="0" xfId="8" applyNumberFormat="1" applyFont="1" applyAlignment="1">
      <alignment horizontal="center"/>
    </xf>
    <xf numFmtId="43" fontId="23" fillId="0" borderId="0" xfId="9" applyFont="1" applyFill="1" applyBorder="1" applyAlignment="1">
      <alignment horizontal="right"/>
    </xf>
    <xf numFmtId="181" fontId="23" fillId="0" borderId="0" xfId="9" applyNumberFormat="1" applyFont="1" applyFill="1" applyBorder="1"/>
    <xf numFmtId="0" fontId="22" fillId="12" borderId="0" xfId="8" applyFont="1" applyFill="1"/>
    <xf numFmtId="0" fontId="15" fillId="12" borderId="0" xfId="8" applyFill="1"/>
    <xf numFmtId="182" fontId="23" fillId="12" borderId="0" xfId="8" applyNumberFormat="1" applyFont="1" applyFill="1" applyAlignment="1">
      <alignment horizontal="center"/>
    </xf>
    <xf numFmtId="43" fontId="23" fillId="12" borderId="0" xfId="9" applyFont="1" applyFill="1" applyBorder="1" applyAlignment="1">
      <alignment horizontal="right"/>
    </xf>
    <xf numFmtId="181" fontId="23" fillId="12" borderId="0" xfId="9" applyNumberFormat="1" applyFont="1" applyFill="1" applyBorder="1"/>
    <xf numFmtId="0" fontId="22" fillId="12" borderId="21" xfId="8" applyFont="1" applyFill="1" applyBorder="1" applyAlignment="1">
      <alignment horizontal="center"/>
    </xf>
    <xf numFmtId="0" fontId="22" fillId="12" borderId="20" xfId="8" applyFont="1" applyFill="1" applyBorder="1" applyAlignment="1">
      <alignment horizontal="center" wrapText="1"/>
    </xf>
    <xf numFmtId="0" fontId="21" fillId="12" borderId="0" xfId="8" applyFont="1" applyFill="1"/>
    <xf numFmtId="177" fontId="21" fillId="12" borderId="0" xfId="8" applyNumberFormat="1" applyFont="1" applyFill="1"/>
    <xf numFmtId="0" fontId="20" fillId="0" borderId="0" xfId="8" applyFont="1" applyAlignment="1">
      <alignment horizontal="left"/>
    </xf>
    <xf numFmtId="0" fontId="28" fillId="0" borderId="0" xfId="8" applyFont="1"/>
    <xf numFmtId="181" fontId="21" fillId="0" borderId="0" xfId="8" applyNumberFormat="1" applyFont="1" applyAlignment="1">
      <alignment horizontal="center"/>
    </xf>
    <xf numFmtId="3" fontId="21" fillId="0" borderId="0" xfId="8" applyNumberFormat="1" applyFont="1"/>
    <xf numFmtId="0" fontId="28" fillId="0" borderId="0" xfId="8" applyFont="1" applyAlignment="1">
      <alignment horizontal="left"/>
    </xf>
    <xf numFmtId="0" fontId="26" fillId="0" borderId="0" xfId="8" applyFont="1" applyAlignment="1">
      <alignment horizontal="left"/>
    </xf>
    <xf numFmtId="0" fontId="15" fillId="0" borderId="3" xfId="8" applyBorder="1"/>
    <xf numFmtId="0" fontId="26" fillId="0" borderId="22" xfId="8" applyFont="1" applyBorder="1" applyAlignment="1">
      <alignment horizontal="centerContinuous"/>
    </xf>
    <xf numFmtId="0" fontId="26" fillId="0" borderId="23" xfId="8" applyFont="1" applyBorder="1" applyAlignment="1">
      <alignment horizontal="centerContinuous"/>
    </xf>
    <xf numFmtId="0" fontId="20" fillId="0" borderId="3" xfId="8" applyFont="1" applyBorder="1" applyAlignment="1">
      <alignment horizontal="centerContinuous"/>
    </xf>
    <xf numFmtId="0" fontId="26" fillId="0" borderId="3" xfId="8" applyFont="1" applyBorder="1" applyAlignment="1">
      <alignment horizontal="centerContinuous"/>
    </xf>
    <xf numFmtId="0" fontId="26" fillId="0" borderId="22" xfId="8" applyFont="1" applyBorder="1" applyAlignment="1">
      <alignment horizontal="center"/>
    </xf>
    <xf numFmtId="0" fontId="20" fillId="0" borderId="24" xfId="8" applyFont="1" applyBorder="1" applyAlignment="1">
      <alignment horizontal="centerContinuous"/>
    </xf>
    <xf numFmtId="0" fontId="29" fillId="0" borderId="25" xfId="8" applyFont="1" applyBorder="1" applyAlignment="1">
      <alignment horizontal="centerContinuous"/>
    </xf>
    <xf numFmtId="0" fontId="29" fillId="0" borderId="26" xfId="8" applyFont="1" applyBorder="1" applyAlignment="1">
      <alignment horizontal="centerContinuous"/>
    </xf>
    <xf numFmtId="177" fontId="26" fillId="0" borderId="24" xfId="8" applyNumberFormat="1" applyFont="1" applyBorder="1"/>
    <xf numFmtId="177" fontId="21" fillId="0" borderId="25" xfId="8" applyNumberFormat="1" applyFont="1" applyBorder="1"/>
    <xf numFmtId="0" fontId="20" fillId="0" borderId="22" xfId="8" applyFont="1" applyBorder="1" applyAlignment="1">
      <alignment horizontal="center"/>
    </xf>
    <xf numFmtId="0" fontId="26" fillId="0" borderId="23" xfId="8" applyFont="1" applyBorder="1" applyAlignment="1">
      <alignment horizontal="center"/>
    </xf>
    <xf numFmtId="0" fontId="26" fillId="0" borderId="3" xfId="8" applyFont="1" applyBorder="1" applyAlignment="1">
      <alignment horizontal="center"/>
    </xf>
    <xf numFmtId="0" fontId="26" fillId="0" borderId="20" xfId="8" applyFont="1" applyBorder="1"/>
    <xf numFmtId="181" fontId="20" fillId="0" borderId="27" xfId="8" applyNumberFormat="1" applyFont="1" applyBorder="1" applyAlignment="1">
      <alignment horizontal="center"/>
    </xf>
    <xf numFmtId="181" fontId="22" fillId="0" borderId="20" xfId="8" applyNumberFormat="1" applyFont="1" applyBorder="1" applyAlignment="1">
      <alignment horizontal="center" wrapText="1"/>
    </xf>
    <xf numFmtId="181" fontId="22" fillId="0" borderId="27" xfId="8" applyNumberFormat="1" applyFont="1" applyBorder="1" applyAlignment="1">
      <alignment horizontal="center" wrapText="1"/>
    </xf>
    <xf numFmtId="0" fontId="20" fillId="0" borderId="20" xfId="8" applyFont="1" applyBorder="1" applyAlignment="1">
      <alignment horizontal="center"/>
    </xf>
    <xf numFmtId="0" fontId="22" fillId="12" borderId="28" xfId="8" applyFont="1" applyFill="1" applyBorder="1" applyAlignment="1">
      <alignment horizontal="center" wrapText="1"/>
    </xf>
    <xf numFmtId="0" fontId="22" fillId="0" borderId="27" xfId="8" applyFont="1" applyBorder="1" applyAlignment="1">
      <alignment horizontal="center" wrapText="1"/>
    </xf>
    <xf numFmtId="177" fontId="21" fillId="0" borderId="29" xfId="8" applyNumberFormat="1" applyFont="1" applyBorder="1" applyAlignment="1">
      <alignment horizontal="center" wrapText="1"/>
    </xf>
    <xf numFmtId="177" fontId="21" fillId="0" borderId="20" xfId="8" applyNumberFormat="1" applyFont="1" applyBorder="1" applyAlignment="1">
      <alignment horizontal="center" wrapText="1"/>
    </xf>
    <xf numFmtId="0" fontId="20" fillId="0" borderId="27" xfId="8" applyFont="1" applyBorder="1" applyAlignment="1">
      <alignment horizontal="center" wrapText="1"/>
    </xf>
    <xf numFmtId="0" fontId="26" fillId="0" borderId="30" xfId="8" applyFont="1" applyBorder="1" applyAlignment="1">
      <alignment horizontal="center" wrapText="1"/>
    </xf>
    <xf numFmtId="0" fontId="26" fillId="0" borderId="30" xfId="8" applyFont="1" applyBorder="1" applyAlignment="1">
      <alignment horizontal="center" vertical="center" wrapText="1"/>
    </xf>
    <xf numFmtId="0" fontId="26" fillId="0" borderId="20" xfId="8" applyFont="1" applyBorder="1" applyAlignment="1">
      <alignment horizontal="center" vertical="center" wrapText="1"/>
    </xf>
    <xf numFmtId="0" fontId="29" fillId="0" borderId="0" xfId="8" applyFont="1"/>
    <xf numFmtId="3" fontId="21" fillId="0" borderId="31" xfId="8" applyNumberFormat="1" applyFont="1" applyBorder="1"/>
    <xf numFmtId="181" fontId="21" fillId="0" borderId="0" xfId="8" applyNumberFormat="1" applyFont="1"/>
    <xf numFmtId="181" fontId="21" fillId="0" borderId="31" xfId="8" applyNumberFormat="1" applyFont="1" applyBorder="1"/>
    <xf numFmtId="4" fontId="21" fillId="0" borderId="32" xfId="8" applyNumberFormat="1" applyFont="1" applyBorder="1"/>
    <xf numFmtId="4" fontId="21" fillId="0" borderId="0" xfId="8" applyNumberFormat="1" applyFont="1"/>
    <xf numFmtId="4" fontId="21" fillId="0" borderId="33" xfId="8" applyNumberFormat="1" applyFont="1" applyBorder="1"/>
    <xf numFmtId="4" fontId="21" fillId="0" borderId="31" xfId="8" applyNumberFormat="1" applyFont="1" applyBorder="1"/>
    <xf numFmtId="0" fontId="21" fillId="0" borderId="31" xfId="8" applyFont="1" applyBorder="1"/>
    <xf numFmtId="0" fontId="21" fillId="0" borderId="34" xfId="8" applyFont="1" applyBorder="1"/>
    <xf numFmtId="0" fontId="15" fillId="14" borderId="0" xfId="8" applyFill="1" applyAlignment="1">
      <alignment horizontal="center"/>
    </xf>
    <xf numFmtId="49" fontId="21" fillId="0" borderId="0" xfId="9" applyNumberFormat="1" applyFont="1" applyFill="1" applyAlignment="1">
      <alignment horizontal="left"/>
    </xf>
    <xf numFmtId="3" fontId="21" fillId="0" borderId="31" xfId="9" applyNumberFormat="1" applyFont="1" applyFill="1" applyBorder="1"/>
    <xf numFmtId="181" fontId="21" fillId="0" borderId="0" xfId="9" applyNumberFormat="1" applyFont="1" applyFill="1" applyBorder="1"/>
    <xf numFmtId="181" fontId="21" fillId="0" borderId="0" xfId="8" applyNumberFormat="1" applyFont="1" applyAlignment="1">
      <alignment horizontal="right"/>
    </xf>
    <xf numFmtId="178" fontId="21" fillId="0" borderId="0" xfId="8" applyNumberFormat="1" applyFont="1" applyAlignment="1">
      <alignment horizontal="right"/>
    </xf>
    <xf numFmtId="181" fontId="21" fillId="0" borderId="31" xfId="9" applyNumberFormat="1" applyFont="1" applyFill="1" applyBorder="1" applyAlignment="1">
      <alignment horizontal="right"/>
    </xf>
    <xf numFmtId="178" fontId="21" fillId="0" borderId="0" xfId="9" applyNumberFormat="1" applyFont="1" applyFill="1" applyBorder="1" applyAlignment="1">
      <alignment horizontal="right"/>
    </xf>
    <xf numFmtId="181" fontId="21" fillId="0" borderId="0" xfId="9" applyNumberFormat="1" applyFont="1" applyFill="1" applyBorder="1" applyAlignment="1">
      <alignment horizontal="right"/>
    </xf>
    <xf numFmtId="178" fontId="21" fillId="14" borderId="32" xfId="8" applyNumberFormat="1" applyFont="1" applyFill="1" applyBorder="1"/>
    <xf numFmtId="178" fontId="21" fillId="14" borderId="0" xfId="9" applyNumberFormat="1" applyFont="1" applyFill="1"/>
    <xf numFmtId="178" fontId="21" fillId="0" borderId="0" xfId="9" applyNumberFormat="1" applyFont="1" applyFill="1"/>
    <xf numFmtId="178" fontId="21" fillId="14" borderId="33" xfId="9" applyNumberFormat="1" applyFont="1" applyFill="1" applyBorder="1"/>
    <xf numFmtId="0" fontId="21" fillId="0" borderId="0" xfId="9" applyNumberFormat="1" applyFont="1" applyFill="1" applyBorder="1"/>
    <xf numFmtId="178" fontId="21" fillId="0" borderId="0" xfId="9" applyNumberFormat="1" applyFont="1" applyFill="1" applyBorder="1"/>
    <xf numFmtId="178" fontId="21" fillId="14" borderId="31" xfId="9" applyNumberFormat="1" applyFont="1" applyFill="1" applyBorder="1"/>
    <xf numFmtId="177" fontId="21" fillId="0" borderId="0" xfId="9" applyNumberFormat="1" applyFont="1" applyFill="1"/>
    <xf numFmtId="178" fontId="21" fillId="0" borderId="31" xfId="9" applyNumberFormat="1" applyFont="1" applyFill="1" applyBorder="1"/>
    <xf numFmtId="4" fontId="21" fillId="0" borderId="34" xfId="8" applyNumberFormat="1" applyFont="1" applyBorder="1"/>
    <xf numFmtId="181" fontId="21" fillId="0" borderId="31" xfId="9" applyNumberFormat="1" applyFont="1" applyFill="1" applyBorder="1"/>
    <xf numFmtId="4" fontId="21" fillId="8" borderId="34" xfId="8" applyNumberFormat="1" applyFont="1" applyFill="1" applyBorder="1"/>
    <xf numFmtId="4" fontId="21" fillId="8" borderId="0" xfId="8" applyNumberFormat="1" applyFont="1" applyFill="1"/>
    <xf numFmtId="0" fontId="21" fillId="0" borderId="11" xfId="8" applyFont="1" applyBorder="1"/>
    <xf numFmtId="3" fontId="21" fillId="0" borderId="35" xfId="9" applyNumberFormat="1" applyFont="1" applyFill="1" applyBorder="1"/>
    <xf numFmtId="181" fontId="21" fillId="0" borderId="11" xfId="9" applyNumberFormat="1" applyFont="1" applyFill="1" applyBorder="1"/>
    <xf numFmtId="181" fontId="21" fillId="0" borderId="11" xfId="8" applyNumberFormat="1" applyFont="1" applyBorder="1" applyAlignment="1">
      <alignment horizontal="right"/>
    </xf>
    <xf numFmtId="181" fontId="21" fillId="0" borderId="35" xfId="9" applyNumberFormat="1" applyFont="1" applyFill="1" applyBorder="1" applyAlignment="1">
      <alignment horizontal="right"/>
    </xf>
    <xf numFmtId="181" fontId="21" fillId="0" borderId="11" xfId="9" applyNumberFormat="1" applyFont="1" applyFill="1" applyBorder="1" applyAlignment="1">
      <alignment horizontal="right"/>
    </xf>
    <xf numFmtId="181" fontId="21" fillId="0" borderId="35" xfId="9" applyNumberFormat="1" applyFont="1" applyFill="1" applyBorder="1"/>
    <xf numFmtId="178" fontId="21" fillId="14" borderId="36" xfId="8" applyNumberFormat="1" applyFont="1" applyFill="1" applyBorder="1"/>
    <xf numFmtId="178" fontId="21" fillId="14" borderId="11" xfId="9" applyNumberFormat="1" applyFont="1" applyFill="1" applyBorder="1"/>
    <xf numFmtId="178" fontId="21" fillId="14" borderId="37" xfId="9" applyNumberFormat="1" applyFont="1" applyFill="1" applyBorder="1"/>
    <xf numFmtId="178" fontId="21" fillId="14" borderId="35" xfId="9" applyNumberFormat="1" applyFont="1" applyFill="1" applyBorder="1"/>
    <xf numFmtId="177" fontId="21" fillId="0" borderId="11" xfId="9" applyNumberFormat="1" applyFont="1" applyFill="1" applyBorder="1"/>
    <xf numFmtId="178" fontId="21" fillId="0" borderId="35" xfId="9" applyNumberFormat="1" applyFont="1" applyFill="1" applyBorder="1"/>
    <xf numFmtId="4" fontId="21" fillId="0" borderId="35" xfId="9" applyNumberFormat="1" applyFont="1" applyFill="1" applyBorder="1"/>
    <xf numFmtId="4" fontId="21" fillId="0" borderId="38" xfId="9" applyNumberFormat="1" applyFont="1" applyFill="1" applyBorder="1"/>
    <xf numFmtId="4" fontId="21" fillId="0" borderId="11" xfId="9" applyNumberFormat="1" applyFont="1" applyFill="1" applyBorder="1"/>
    <xf numFmtId="44" fontId="21" fillId="0" borderId="0" xfId="8" applyNumberFormat="1" applyFont="1"/>
    <xf numFmtId="3" fontId="15" fillId="0" borderId="31" xfId="8" applyNumberFormat="1" applyBorder="1"/>
    <xf numFmtId="181" fontId="16" fillId="0" borderId="0" xfId="8" applyNumberFormat="1" applyFont="1"/>
    <xf numFmtId="181" fontId="15" fillId="0" borderId="31" xfId="8" applyNumberFormat="1" applyBorder="1" applyAlignment="1">
      <alignment horizontal="right"/>
    </xf>
    <xf numFmtId="3" fontId="21" fillId="0" borderId="0" xfId="8" applyNumberFormat="1" applyFont="1" applyAlignment="1">
      <alignment horizontal="right"/>
    </xf>
    <xf numFmtId="178" fontId="21" fillId="0" borderId="32" xfId="8" applyNumberFormat="1" applyFont="1" applyBorder="1"/>
    <xf numFmtId="178" fontId="21" fillId="0" borderId="33" xfId="9" applyNumberFormat="1" applyFont="1" applyFill="1" applyBorder="1"/>
    <xf numFmtId="4" fontId="21" fillId="0" borderId="0" xfId="9" applyNumberFormat="1" applyFont="1" applyFill="1" applyBorder="1"/>
    <xf numFmtId="4" fontId="21" fillId="0" borderId="33" xfId="9" applyNumberFormat="1" applyFont="1" applyFill="1" applyBorder="1"/>
    <xf numFmtId="183" fontId="21" fillId="0" borderId="34" xfId="8" applyNumberFormat="1" applyFont="1" applyBorder="1"/>
    <xf numFmtId="49" fontId="21" fillId="0" borderId="0" xfId="8" applyNumberFormat="1" applyFont="1" applyAlignment="1">
      <alignment horizontal="left"/>
    </xf>
    <xf numFmtId="4" fontId="16" fillId="0" borderId="0" xfId="8" applyNumberFormat="1" applyFont="1"/>
    <xf numFmtId="3" fontId="21" fillId="0" borderId="31" xfId="9" applyNumberFormat="1" applyFont="1" applyFill="1" applyBorder="1" applyAlignment="1">
      <alignment horizontal="right"/>
    </xf>
    <xf numFmtId="178" fontId="21" fillId="9" borderId="0" xfId="9" applyNumberFormat="1" applyFont="1" applyFill="1"/>
    <xf numFmtId="4" fontId="21" fillId="14" borderId="33" xfId="9" applyNumberFormat="1" applyFont="1" applyFill="1" applyBorder="1"/>
    <xf numFmtId="3" fontId="21" fillId="15" borderId="31" xfId="9" applyNumberFormat="1" applyFont="1" applyFill="1" applyBorder="1" applyAlignment="1">
      <alignment horizontal="right"/>
    </xf>
    <xf numFmtId="181" fontId="21" fillId="0" borderId="1" xfId="8" applyNumberFormat="1" applyFont="1" applyBorder="1" applyAlignment="1">
      <alignment horizontal="right"/>
    </xf>
    <xf numFmtId="181" fontId="16" fillId="0" borderId="39" xfId="8" applyNumberFormat="1" applyFont="1" applyBorder="1" applyAlignment="1">
      <alignment horizontal="right"/>
    </xf>
    <xf numFmtId="181" fontId="16" fillId="0" borderId="31" xfId="8" applyNumberFormat="1" applyFont="1" applyBorder="1" applyAlignment="1">
      <alignment horizontal="right"/>
    </xf>
    <xf numFmtId="178" fontId="21" fillId="0" borderId="1" xfId="9" applyNumberFormat="1" applyFont="1" applyFill="1" applyBorder="1"/>
    <xf numFmtId="3" fontId="21" fillId="0" borderId="11" xfId="8" applyNumberFormat="1" applyFont="1" applyBorder="1" applyAlignment="1">
      <alignment horizontal="right"/>
    </xf>
    <xf numFmtId="3" fontId="21" fillId="0" borderId="35" xfId="9" applyNumberFormat="1" applyFont="1" applyFill="1" applyBorder="1" applyAlignment="1">
      <alignment horizontal="right"/>
    </xf>
    <xf numFmtId="4" fontId="21" fillId="14" borderId="11" xfId="8" applyNumberFormat="1" applyFont="1" applyFill="1" applyBorder="1"/>
    <xf numFmtId="4" fontId="21" fillId="14" borderId="11" xfId="9" applyNumberFormat="1" applyFont="1" applyFill="1" applyBorder="1"/>
    <xf numFmtId="4" fontId="21" fillId="14" borderId="37" xfId="9" applyNumberFormat="1" applyFont="1" applyFill="1" applyBorder="1"/>
    <xf numFmtId="181" fontId="21" fillId="0" borderId="31" xfId="8" applyNumberFormat="1" applyFont="1" applyBorder="1" applyAlignment="1">
      <alignment horizontal="right"/>
    </xf>
    <xf numFmtId="174" fontId="30" fillId="0" borderId="0" xfId="12" applyNumberFormat="1" applyFont="1"/>
    <xf numFmtId="181" fontId="21" fillId="0" borderId="39" xfId="9" applyNumberFormat="1" applyFont="1" applyFill="1" applyBorder="1" applyAlignment="1">
      <alignment horizontal="right"/>
    </xf>
    <xf numFmtId="178" fontId="21" fillId="14" borderId="11" xfId="8" applyNumberFormat="1" applyFont="1" applyFill="1" applyBorder="1"/>
    <xf numFmtId="0" fontId="21" fillId="0" borderId="0" xfId="8" applyFont="1" applyAlignment="1">
      <alignment horizontal="right"/>
    </xf>
    <xf numFmtId="0" fontId="22" fillId="0" borderId="40" xfId="8" applyFont="1" applyBorder="1"/>
    <xf numFmtId="49" fontId="21" fillId="0" borderId="41" xfId="9" applyNumberFormat="1" applyFont="1" applyFill="1" applyBorder="1" applyAlignment="1">
      <alignment horizontal="left"/>
    </xf>
    <xf numFmtId="3" fontId="21" fillId="0" borderId="42" xfId="9" applyNumberFormat="1" applyFont="1" applyFill="1" applyBorder="1"/>
    <xf numFmtId="181" fontId="21" fillId="0" borderId="41" xfId="8" applyNumberFormat="1" applyFont="1" applyBorder="1" applyAlignment="1">
      <alignment horizontal="right"/>
    </xf>
    <xf numFmtId="181" fontId="21" fillId="0" borderId="42" xfId="9" applyNumberFormat="1" applyFont="1" applyFill="1" applyBorder="1" applyAlignment="1">
      <alignment horizontal="right"/>
    </xf>
    <xf numFmtId="181" fontId="21" fillId="0" borderId="42" xfId="8" applyNumberFormat="1" applyFont="1" applyBorder="1" applyAlignment="1">
      <alignment horizontal="right"/>
    </xf>
    <xf numFmtId="181" fontId="21" fillId="0" borderId="41" xfId="9" applyNumberFormat="1" applyFont="1" applyFill="1" applyBorder="1" applyAlignment="1">
      <alignment horizontal="right"/>
    </xf>
    <xf numFmtId="181" fontId="21" fillId="0" borderId="42" xfId="9" applyNumberFormat="1" applyFont="1" applyFill="1" applyBorder="1"/>
    <xf numFmtId="178" fontId="21" fillId="0" borderId="43" xfId="8" applyNumberFormat="1" applyFont="1" applyBorder="1"/>
    <xf numFmtId="178" fontId="21" fillId="0" borderId="41" xfId="9" applyNumberFormat="1" applyFont="1" applyFill="1" applyBorder="1"/>
    <xf numFmtId="178" fontId="21" fillId="14" borderId="41" xfId="9" applyNumberFormat="1" applyFont="1" applyFill="1" applyBorder="1"/>
    <xf numFmtId="178" fontId="21" fillId="14" borderId="44" xfId="9" applyNumberFormat="1" applyFont="1" applyFill="1" applyBorder="1"/>
    <xf numFmtId="178" fontId="21" fillId="14" borderId="45" xfId="9" applyNumberFormat="1" applyFont="1" applyFill="1" applyBorder="1"/>
    <xf numFmtId="177" fontId="21" fillId="0" borderId="41" xfId="9" applyNumberFormat="1" applyFont="1" applyFill="1" applyBorder="1"/>
    <xf numFmtId="178" fontId="21" fillId="0" borderId="44" xfId="9" applyNumberFormat="1" applyFont="1" applyFill="1" applyBorder="1"/>
    <xf numFmtId="4" fontId="21" fillId="0" borderId="44" xfId="9" applyNumberFormat="1" applyFont="1" applyFill="1" applyBorder="1"/>
    <xf numFmtId="4" fontId="21" fillId="0" borderId="41" xfId="9" applyNumberFormat="1" applyFont="1" applyFill="1" applyBorder="1"/>
    <xf numFmtId="4" fontId="21" fillId="0" borderId="46" xfId="9" applyNumberFormat="1" applyFont="1" applyFill="1" applyBorder="1"/>
    <xf numFmtId="178" fontId="21" fillId="14" borderId="47" xfId="9" applyNumberFormat="1" applyFont="1" applyFill="1" applyBorder="1"/>
    <xf numFmtId="0" fontId="15" fillId="2" borderId="0" xfId="8" applyFill="1" applyAlignment="1">
      <alignment horizontal="center"/>
    </xf>
    <xf numFmtId="178" fontId="21" fillId="14" borderId="48" xfId="9" applyNumberFormat="1" applyFont="1" applyFill="1" applyBorder="1"/>
    <xf numFmtId="181" fontId="21" fillId="0" borderId="1" xfId="9" applyNumberFormat="1" applyFont="1" applyFill="1" applyBorder="1" applyAlignment="1">
      <alignment horizontal="right"/>
    </xf>
    <xf numFmtId="178" fontId="21" fillId="14" borderId="49" xfId="8" applyNumberFormat="1" applyFont="1" applyFill="1" applyBorder="1"/>
    <xf numFmtId="178" fontId="21" fillId="14" borderId="37" xfId="8" applyNumberFormat="1" applyFont="1" applyFill="1" applyBorder="1"/>
    <xf numFmtId="178" fontId="21" fillId="14" borderId="50" xfId="8" applyNumberFormat="1" applyFont="1" applyFill="1" applyBorder="1"/>
    <xf numFmtId="178" fontId="21" fillId="0" borderId="37" xfId="9" applyNumberFormat="1" applyFont="1" applyFill="1" applyBorder="1"/>
    <xf numFmtId="4" fontId="21" fillId="0" borderId="37" xfId="9" applyNumberFormat="1" applyFont="1" applyFill="1" applyBorder="1"/>
    <xf numFmtId="177" fontId="21" fillId="0" borderId="0" xfId="9" applyNumberFormat="1" applyFont="1" applyFill="1" applyBorder="1"/>
    <xf numFmtId="0" fontId="22" fillId="0" borderId="1" xfId="8" applyFont="1" applyBorder="1"/>
    <xf numFmtId="0" fontId="21" fillId="0" borderId="1" xfId="8" applyFont="1" applyBorder="1"/>
    <xf numFmtId="181" fontId="21" fillId="0" borderId="1" xfId="9" applyNumberFormat="1" applyFont="1" applyFill="1" applyBorder="1"/>
    <xf numFmtId="181" fontId="21" fillId="0" borderId="39" xfId="9" applyNumberFormat="1" applyFont="1" applyFill="1" applyBorder="1"/>
    <xf numFmtId="178" fontId="21" fillId="14" borderId="51" xfId="8" applyNumberFormat="1" applyFont="1" applyFill="1" applyBorder="1"/>
    <xf numFmtId="178" fontId="21" fillId="14" borderId="1" xfId="9" applyNumberFormat="1" applyFont="1" applyFill="1" applyBorder="1"/>
    <xf numFmtId="178" fontId="21" fillId="14" borderId="52" xfId="9" applyNumberFormat="1" applyFont="1" applyFill="1" applyBorder="1"/>
    <xf numFmtId="178" fontId="21" fillId="14" borderId="53" xfId="9" applyNumberFormat="1" applyFont="1" applyFill="1" applyBorder="1"/>
    <xf numFmtId="178" fontId="21" fillId="14" borderId="39" xfId="9" applyNumberFormat="1" applyFont="1" applyFill="1" applyBorder="1"/>
    <xf numFmtId="177" fontId="21" fillId="0" borderId="1" xfId="9" applyNumberFormat="1" applyFont="1" applyFill="1" applyBorder="1"/>
    <xf numFmtId="178" fontId="21" fillId="0" borderId="52" xfId="9" applyNumberFormat="1" applyFont="1" applyFill="1" applyBorder="1"/>
    <xf numFmtId="4" fontId="21" fillId="0" borderId="52" xfId="9" applyNumberFormat="1" applyFont="1" applyFill="1" applyBorder="1"/>
    <xf numFmtId="4" fontId="21" fillId="0" borderId="1" xfId="9" applyNumberFormat="1" applyFont="1" applyFill="1" applyBorder="1"/>
    <xf numFmtId="178" fontId="21" fillId="14" borderId="54" xfId="9" applyNumberFormat="1" applyFont="1" applyFill="1" applyBorder="1"/>
    <xf numFmtId="4" fontId="21" fillId="0" borderId="55" xfId="8" applyNumberFormat="1" applyFont="1" applyBorder="1"/>
    <xf numFmtId="0" fontId="20" fillId="0" borderId="19" xfId="8" applyFont="1" applyBorder="1"/>
    <xf numFmtId="3" fontId="17" fillId="0" borderId="56" xfId="8" applyNumberFormat="1" applyFont="1" applyBorder="1"/>
    <xf numFmtId="181" fontId="31" fillId="0" borderId="19" xfId="8" applyNumberFormat="1" applyFont="1" applyBorder="1"/>
    <xf numFmtId="181" fontId="31" fillId="0" borderId="19" xfId="8" applyNumberFormat="1" applyFont="1" applyBorder="1" applyAlignment="1">
      <alignment horizontal="right"/>
    </xf>
    <xf numFmtId="181" fontId="17" fillId="0" borderId="56" xfId="8" applyNumberFormat="1" applyFont="1" applyBorder="1" applyAlignment="1">
      <alignment horizontal="right"/>
    </xf>
    <xf numFmtId="181" fontId="17" fillId="0" borderId="19" xfId="8" applyNumberFormat="1" applyFont="1" applyBorder="1" applyAlignment="1">
      <alignment horizontal="right"/>
    </xf>
    <xf numFmtId="181" fontId="17" fillId="0" borderId="56" xfId="8" applyNumberFormat="1" applyFont="1" applyBorder="1"/>
    <xf numFmtId="178" fontId="17" fillId="14" borderId="57" xfId="8" applyNumberFormat="1" applyFont="1" applyFill="1" applyBorder="1"/>
    <xf numFmtId="178" fontId="17" fillId="14" borderId="58" xfId="8" applyNumberFormat="1" applyFont="1" applyFill="1" applyBorder="1"/>
    <xf numFmtId="178" fontId="17" fillId="14" borderId="19" xfId="8" applyNumberFormat="1" applyFont="1" applyFill="1" applyBorder="1"/>
    <xf numFmtId="178" fontId="17" fillId="14" borderId="59" xfId="8" applyNumberFormat="1" applyFont="1" applyFill="1" applyBorder="1"/>
    <xf numFmtId="178" fontId="17" fillId="14" borderId="60" xfId="8" applyNumberFormat="1" applyFont="1" applyFill="1" applyBorder="1"/>
    <xf numFmtId="177" fontId="17" fillId="0" borderId="19" xfId="8" applyNumberFormat="1" applyFont="1" applyBorder="1"/>
    <xf numFmtId="178" fontId="17" fillId="0" borderId="59" xfId="8" applyNumberFormat="1" applyFont="1" applyBorder="1"/>
    <xf numFmtId="4" fontId="17" fillId="0" borderId="56" xfId="8" applyNumberFormat="1" applyFont="1" applyBorder="1"/>
    <xf numFmtId="4" fontId="17" fillId="0" borderId="61" xfId="8" applyNumberFormat="1" applyFont="1" applyBorder="1"/>
    <xf numFmtId="4" fontId="17" fillId="0" borderId="19" xfId="8" applyNumberFormat="1" applyFont="1" applyBorder="1"/>
    <xf numFmtId="185" fontId="21" fillId="0" borderId="0" xfId="8" applyNumberFormat="1" applyFont="1"/>
    <xf numFmtId="37" fontId="15" fillId="0" borderId="0" xfId="8" applyNumberFormat="1"/>
    <xf numFmtId="43" fontId="0" fillId="0" borderId="0" xfId="9" applyFont="1"/>
    <xf numFmtId="43" fontId="21" fillId="0" borderId="0" xfId="8" applyNumberFormat="1" applyFont="1"/>
    <xf numFmtId="174" fontId="16" fillId="0" borderId="0" xfId="9" applyNumberFormat="1" applyFont="1" applyFill="1" applyBorder="1"/>
    <xf numFmtId="49" fontId="23" fillId="0" borderId="0" xfId="9" applyNumberFormat="1" applyFont="1" applyFill="1" applyBorder="1" applyAlignment="1">
      <alignment horizontal="left"/>
    </xf>
    <xf numFmtId="177" fontId="15" fillId="0" borderId="0" xfId="8" applyNumberFormat="1"/>
    <xf numFmtId="41" fontId="18" fillId="2" borderId="9" xfId="2" applyNumberFormat="1" applyFont="1" applyFill="1" applyBorder="1"/>
    <xf numFmtId="0" fontId="3" fillId="10" borderId="0" xfId="2" applyFill="1"/>
    <xf numFmtId="178" fontId="15" fillId="0" borderId="0" xfId="8" applyNumberFormat="1"/>
    <xf numFmtId="0" fontId="15" fillId="0" borderId="1" xfId="8" applyBorder="1"/>
    <xf numFmtId="43" fontId="32" fillId="0" borderId="0" xfId="8" applyNumberFormat="1" applyFont="1"/>
    <xf numFmtId="0" fontId="32" fillId="0" borderId="0" xfId="8" applyFont="1"/>
    <xf numFmtId="43" fontId="32" fillId="0" borderId="0" xfId="6" applyFont="1"/>
    <xf numFmtId="9" fontId="3" fillId="0" borderId="9" xfId="1" applyFont="1" applyBorder="1"/>
    <xf numFmtId="0" fontId="33" fillId="3" borderId="0" xfId="2" applyFont="1" applyFill="1"/>
    <xf numFmtId="5" fontId="11" fillId="16" borderId="0" xfId="2" applyNumberFormat="1" applyFont="1" applyFill="1"/>
    <xf numFmtId="3" fontId="11" fillId="4" borderId="62" xfId="2" applyNumberFormat="1" applyFont="1" applyFill="1" applyBorder="1"/>
    <xf numFmtId="3" fontId="11" fillId="4" borderId="63" xfId="2" applyNumberFormat="1" applyFont="1" applyFill="1" applyBorder="1"/>
    <xf numFmtId="171" fontId="3" fillId="11" borderId="9" xfId="2" applyNumberFormat="1" applyFill="1" applyBorder="1"/>
    <xf numFmtId="171" fontId="18" fillId="0" borderId="9" xfId="2" applyNumberFormat="1" applyFont="1" applyBorder="1"/>
    <xf numFmtId="0" fontId="15" fillId="9" borderId="0" xfId="8" applyFill="1"/>
    <xf numFmtId="174" fontId="15" fillId="9" borderId="0" xfId="9" applyNumberFormat="1" applyFont="1" applyFill="1" applyBorder="1"/>
    <xf numFmtId="181" fontId="15" fillId="9" borderId="0" xfId="8" applyNumberFormat="1" applyFill="1"/>
    <xf numFmtId="0" fontId="1" fillId="0" borderId="0" xfId="0" applyFont="1" applyAlignment="1">
      <alignment horizontal="center"/>
    </xf>
    <xf numFmtId="0" fontId="34" fillId="17" borderId="64" xfId="0" applyFont="1" applyFill="1" applyBorder="1" applyAlignment="1">
      <alignment horizontal="center" vertical="center" wrapText="1" readingOrder="1"/>
    </xf>
    <xf numFmtId="0" fontId="35" fillId="17" borderId="64" xfId="0" applyFont="1" applyFill="1" applyBorder="1" applyAlignment="1">
      <alignment horizontal="center" vertical="center" wrapText="1" readingOrder="1"/>
    </xf>
    <xf numFmtId="0" fontId="36" fillId="0" borderId="65" xfId="0" applyFont="1" applyBorder="1" applyAlignment="1">
      <alignment horizontal="center" vertical="center" wrapText="1" readingOrder="1"/>
    </xf>
    <xf numFmtId="0" fontId="37" fillId="0" borderId="65" xfId="0" applyFont="1" applyBorder="1" applyAlignment="1">
      <alignment horizontal="left" vertical="center" wrapText="1" readingOrder="1"/>
    </xf>
    <xf numFmtId="0" fontId="38" fillId="0" borderId="65" xfId="0" applyFont="1" applyBorder="1" applyAlignment="1">
      <alignment horizontal="center" vertical="center" wrapText="1" readingOrder="1"/>
    </xf>
    <xf numFmtId="0" fontId="36" fillId="0" borderId="66" xfId="0" applyFont="1" applyBorder="1" applyAlignment="1">
      <alignment horizontal="center" vertical="center" wrapText="1" readingOrder="1"/>
    </xf>
    <xf numFmtId="0" fontId="40" fillId="0" borderId="66" xfId="0" applyFont="1" applyBorder="1" applyAlignment="1">
      <alignment horizontal="left" vertical="center" wrapText="1" readingOrder="1"/>
    </xf>
    <xf numFmtId="0" fontId="40" fillId="0" borderId="67" xfId="0" applyFont="1" applyBorder="1" applyAlignment="1">
      <alignment horizontal="left" vertical="center" wrapText="1" readingOrder="1"/>
    </xf>
    <xf numFmtId="0" fontId="36" fillId="0" borderId="67" xfId="0" applyFont="1" applyBorder="1" applyAlignment="1">
      <alignment horizontal="center" vertical="center" wrapText="1" readingOrder="1"/>
    </xf>
    <xf numFmtId="0" fontId="36" fillId="0" borderId="68" xfId="0" applyFont="1" applyBorder="1" applyAlignment="1">
      <alignment horizontal="center" vertical="center" wrapText="1" readingOrder="1"/>
    </xf>
    <xf numFmtId="0" fontId="36" fillId="0" borderId="69" xfId="0" applyFont="1" applyBorder="1" applyAlignment="1">
      <alignment horizontal="center" vertical="center" wrapText="1" readingOrder="1"/>
    </xf>
    <xf numFmtId="0" fontId="37" fillId="0" borderId="66" xfId="0" applyFont="1" applyBorder="1" applyAlignment="1">
      <alignment horizontal="left" vertical="center" wrapText="1" indent="5" readingOrder="1"/>
    </xf>
    <xf numFmtId="0" fontId="38" fillId="0" borderId="68" xfId="0" applyFont="1" applyBorder="1" applyAlignment="1">
      <alignment horizontal="center" vertical="center" wrapText="1" readingOrder="1"/>
    </xf>
    <xf numFmtId="0" fontId="41" fillId="0" borderId="66" xfId="0" applyFont="1" applyBorder="1" applyAlignment="1">
      <alignment horizontal="center" vertical="top" wrapText="1"/>
    </xf>
    <xf numFmtId="0" fontId="39" fillId="0" borderId="66" xfId="0" applyFont="1" applyBorder="1" applyAlignment="1">
      <alignment vertical="top" wrapText="1"/>
    </xf>
    <xf numFmtId="0" fontId="37" fillId="0" borderId="66" xfId="0" applyFont="1" applyBorder="1" applyAlignment="1">
      <alignment horizontal="left" vertical="center" wrapText="1" readingOrder="1"/>
    </xf>
    <xf numFmtId="0" fontId="38" fillId="0" borderId="66" xfId="0" applyFont="1" applyBorder="1" applyAlignment="1">
      <alignment horizontal="center" vertical="center" wrapText="1" readingOrder="1"/>
    </xf>
    <xf numFmtId="0" fontId="37" fillId="0" borderId="66" xfId="0" applyFont="1" applyBorder="1" applyAlignment="1">
      <alignment horizontal="left" vertical="center" wrapText="1" indent="1" readingOrder="1"/>
    </xf>
    <xf numFmtId="0" fontId="38" fillId="0" borderId="69" xfId="0" applyFont="1" applyBorder="1" applyAlignment="1">
      <alignment horizontal="center" vertical="center" wrapText="1" readingOrder="1"/>
    </xf>
    <xf numFmtId="0" fontId="40" fillId="0" borderId="67" xfId="0" applyFont="1" applyBorder="1" applyAlignment="1">
      <alignment horizontal="left" vertical="center" wrapText="1" indent="2" readingOrder="1"/>
    </xf>
    <xf numFmtId="0" fontId="38" fillId="0" borderId="71" xfId="0" applyFont="1" applyBorder="1" applyAlignment="1">
      <alignment horizontal="center" vertical="center" wrapText="1" readingOrder="1"/>
    </xf>
    <xf numFmtId="0" fontId="37" fillId="0" borderId="67" xfId="0" applyFont="1" applyBorder="1" applyAlignment="1">
      <alignment horizontal="left" vertical="center" wrapText="1" indent="1" readingOrder="1"/>
    </xf>
    <xf numFmtId="0" fontId="38" fillId="0" borderId="0" xfId="0" applyFont="1" applyAlignment="1">
      <alignment horizontal="center" vertical="center" wrapText="1" readingOrder="1"/>
    </xf>
    <xf numFmtId="0" fontId="40" fillId="0" borderId="66" xfId="0" applyFont="1" applyBorder="1" applyAlignment="1">
      <alignment horizontal="left" vertical="center" wrapText="1" indent="2" readingOrder="1"/>
    </xf>
    <xf numFmtId="0" fontId="36" fillId="0" borderId="71" xfId="0" applyFont="1" applyBorder="1" applyAlignment="1">
      <alignment horizontal="center" vertical="center" wrapText="1" readingOrder="1"/>
    </xf>
    <xf numFmtId="0" fontId="36" fillId="4" borderId="9" xfId="0" applyFont="1" applyFill="1" applyBorder="1" applyAlignment="1">
      <alignment horizontal="center" vertical="center" wrapText="1" readingOrder="1"/>
    </xf>
    <xf numFmtId="0" fontId="37" fillId="0" borderId="70" xfId="0" applyFont="1" applyBorder="1" applyAlignment="1">
      <alignment horizontal="left" vertical="center" wrapText="1" readingOrder="1"/>
    </xf>
    <xf numFmtId="0" fontId="11" fillId="0" borderId="13" xfId="0" applyFont="1" applyBorder="1" applyAlignment="1">
      <alignment horizontal="center"/>
    </xf>
    <xf numFmtId="1" fontId="3" fillId="2" borderId="10" xfId="2" applyNumberFormat="1" applyFill="1" applyBorder="1"/>
    <xf numFmtId="41" fontId="3" fillId="2" borderId="10" xfId="2" applyNumberFormat="1" applyFill="1" applyBorder="1"/>
    <xf numFmtId="41" fontId="3" fillId="0" borderId="10" xfId="2" applyNumberFormat="1" applyBorder="1"/>
    <xf numFmtId="3" fontId="3" fillId="0" borderId="9" xfId="2" applyNumberFormat="1" applyBorder="1"/>
    <xf numFmtId="172" fontId="3" fillId="2" borderId="0" xfId="2" applyNumberFormat="1" applyFill="1"/>
    <xf numFmtId="172" fontId="3" fillId="6" borderId="0" xfId="2" applyNumberFormat="1" applyFill="1"/>
    <xf numFmtId="3" fontId="11" fillId="10" borderId="12" xfId="2" applyNumberFormat="1" applyFont="1" applyFill="1" applyBorder="1"/>
    <xf numFmtId="0" fontId="11" fillId="4" borderId="0" xfId="2" applyFont="1" applyFill="1" applyAlignment="1">
      <alignment horizontal="center"/>
    </xf>
    <xf numFmtId="0" fontId="11" fillId="4" borderId="0" xfId="2" applyFont="1" applyFill="1" applyAlignment="1">
      <alignment horizontal="left"/>
    </xf>
    <xf numFmtId="0" fontId="1" fillId="0" borderId="2" xfId="0" applyFont="1" applyBorder="1"/>
    <xf numFmtId="0" fontId="1" fillId="0" borderId="3" xfId="0" applyFont="1" applyBorder="1"/>
    <xf numFmtId="0" fontId="1" fillId="0" borderId="4" xfId="0" applyFont="1" applyBorder="1"/>
    <xf numFmtId="0" fontId="1" fillId="0" borderId="7" xfId="0" applyFont="1" applyBorder="1"/>
    <xf numFmtId="0" fontId="1" fillId="0" borderId="1" xfId="0" applyFont="1" applyBorder="1"/>
    <xf numFmtId="0" fontId="1" fillId="0" borderId="8" xfId="0" applyFont="1" applyBorder="1"/>
    <xf numFmtId="0" fontId="3" fillId="3" borderId="0" xfId="2" applyFill="1" applyProtection="1">
      <protection locked="0"/>
    </xf>
    <xf numFmtId="9" fontId="3" fillId="0" borderId="9" xfId="1" applyFont="1" applyBorder="1" applyProtection="1">
      <protection locked="0"/>
    </xf>
    <xf numFmtId="0" fontId="33" fillId="3" borderId="0" xfId="2" applyFont="1" applyFill="1" applyProtection="1">
      <protection locked="0"/>
    </xf>
    <xf numFmtId="10" fontId="3" fillId="0" borderId="9" xfId="1" applyNumberFormat="1" applyFont="1" applyBorder="1" applyProtection="1">
      <protection locked="0"/>
    </xf>
    <xf numFmtId="0" fontId="3" fillId="4" borderId="0" xfId="2" applyFill="1" applyProtection="1">
      <protection locked="0"/>
    </xf>
    <xf numFmtId="0" fontId="3" fillId="4" borderId="0" xfId="2" applyFill="1" applyAlignment="1" applyProtection="1">
      <alignment horizontal="center" wrapText="1"/>
      <protection locked="0"/>
    </xf>
    <xf numFmtId="0" fontId="3" fillId="4" borderId="0" xfId="2" applyFill="1" applyAlignment="1" applyProtection="1">
      <alignment horizontal="center"/>
      <protection locked="0"/>
    </xf>
    <xf numFmtId="171" fontId="3" fillId="0" borderId="9" xfId="2" applyNumberFormat="1" applyBorder="1" applyProtection="1">
      <protection locked="0"/>
    </xf>
    <xf numFmtId="3" fontId="3" fillId="4" borderId="0" xfId="2" applyNumberFormat="1" applyFill="1" applyProtection="1">
      <protection locked="0"/>
    </xf>
    <xf numFmtId="172" fontId="3" fillId="0" borderId="9" xfId="2" applyNumberFormat="1" applyBorder="1" applyProtection="1">
      <protection locked="0"/>
    </xf>
    <xf numFmtId="171" fontId="3" fillId="2" borderId="9" xfId="2" applyNumberFormat="1" applyFill="1" applyBorder="1" applyProtection="1">
      <protection locked="0"/>
    </xf>
    <xf numFmtId="172" fontId="3" fillId="2" borderId="9" xfId="2" applyNumberFormat="1" applyFill="1" applyBorder="1" applyProtection="1">
      <protection locked="0"/>
    </xf>
    <xf numFmtId="172" fontId="3" fillId="2" borderId="0" xfId="2" applyNumberFormat="1" applyFill="1" applyProtection="1">
      <protection locked="0"/>
    </xf>
    <xf numFmtId="3" fontId="18" fillId="4" borderId="0" xfId="2" applyNumberFormat="1" applyFont="1" applyFill="1" applyProtection="1">
      <protection locked="0"/>
    </xf>
    <xf numFmtId="0" fontId="18" fillId="4" borderId="0" xfId="2" applyFont="1" applyFill="1" applyAlignment="1" applyProtection="1">
      <alignment horizontal="center"/>
      <protection locked="0"/>
    </xf>
    <xf numFmtId="171" fontId="18" fillId="0" borderId="9" xfId="2" applyNumberFormat="1" applyFont="1" applyBorder="1" applyProtection="1">
      <protection locked="0"/>
    </xf>
    <xf numFmtId="3" fontId="3" fillId="2" borderId="0" xfId="2" applyNumberFormat="1" applyFill="1" applyProtection="1">
      <protection locked="0"/>
    </xf>
    <xf numFmtId="41" fontId="3" fillId="2" borderId="9" xfId="2" applyNumberFormat="1" applyFill="1" applyBorder="1" applyProtection="1">
      <protection locked="0"/>
    </xf>
    <xf numFmtId="3" fontId="3" fillId="4" borderId="0" xfId="2" applyNumberFormat="1" applyFill="1" applyAlignment="1" applyProtection="1">
      <alignment horizontal="left" indent="2"/>
      <protection locked="0"/>
    </xf>
    <xf numFmtId="0" fontId="3" fillId="2" borderId="9" xfId="2" applyFill="1" applyBorder="1" applyProtection="1">
      <protection locked="0"/>
    </xf>
    <xf numFmtId="171" fontId="3" fillId="4" borderId="0" xfId="2" applyNumberFormat="1" applyFill="1" applyProtection="1">
      <protection locked="0"/>
    </xf>
    <xf numFmtId="173" fontId="3" fillId="2" borderId="9" xfId="2" applyNumberFormat="1" applyFill="1" applyBorder="1" applyAlignment="1" applyProtection="1">
      <alignment horizontal="center"/>
      <protection locked="0"/>
    </xf>
    <xf numFmtId="173" fontId="3" fillId="4" borderId="0" xfId="2" applyNumberFormat="1" applyFill="1" applyAlignment="1" applyProtection="1">
      <alignment horizontal="center"/>
      <protection locked="0"/>
    </xf>
    <xf numFmtId="3" fontId="3" fillId="0" borderId="9" xfId="2" applyNumberFormat="1" applyBorder="1" applyProtection="1">
      <protection locked="0"/>
    </xf>
    <xf numFmtId="2" fontId="3" fillId="2" borderId="9" xfId="2" applyNumberFormat="1" applyFill="1" applyBorder="1" applyProtection="1">
      <protection locked="0"/>
    </xf>
    <xf numFmtId="2" fontId="18" fillId="0" borderId="9" xfId="2" applyNumberFormat="1" applyFont="1" applyBorder="1" applyProtection="1">
      <protection locked="0"/>
    </xf>
    <xf numFmtId="2" fontId="18" fillId="4" borderId="0" xfId="2" applyNumberFormat="1" applyFont="1" applyFill="1" applyAlignment="1" applyProtection="1">
      <alignment horizontal="center"/>
      <protection locked="0"/>
    </xf>
    <xf numFmtId="2" fontId="18" fillId="4" borderId="0" xfId="2" applyNumberFormat="1" applyFont="1" applyFill="1" applyProtection="1">
      <protection locked="0"/>
    </xf>
    <xf numFmtId="0" fontId="3" fillId="4" borderId="1" xfId="2" applyFill="1" applyBorder="1" applyAlignment="1" applyProtection="1">
      <alignment horizontal="center"/>
      <protection locked="0"/>
    </xf>
    <xf numFmtId="3" fontId="11" fillId="10" borderId="12" xfId="2" applyNumberFormat="1" applyFont="1" applyFill="1" applyBorder="1" applyProtection="1">
      <protection locked="0"/>
    </xf>
    <xf numFmtId="3" fontId="3" fillId="2" borderId="9" xfId="2" applyNumberFormat="1" applyFill="1" applyBorder="1" applyAlignment="1" applyProtection="1">
      <alignment horizontal="center"/>
      <protection locked="0"/>
    </xf>
    <xf numFmtId="171" fontId="3" fillId="18" borderId="9" xfId="2" applyNumberFormat="1" applyFill="1" applyBorder="1" applyProtection="1">
      <protection locked="0"/>
    </xf>
    <xf numFmtId="172" fontId="3" fillId="18" borderId="9" xfId="2" applyNumberFormat="1" applyFill="1" applyBorder="1" applyProtection="1">
      <protection locked="0"/>
    </xf>
    <xf numFmtId="0" fontId="42" fillId="0" borderId="0" xfId="0" applyFont="1"/>
    <xf numFmtId="174" fontId="25" fillId="13" borderId="0" xfId="9" applyNumberFormat="1" applyFont="1" applyFill="1" applyAlignment="1">
      <alignment horizontal="center"/>
    </xf>
    <xf numFmtId="182" fontId="25" fillId="13" borderId="0" xfId="9" applyNumberFormat="1" applyFont="1" applyFill="1" applyAlignment="1">
      <alignment horizontal="center"/>
    </xf>
    <xf numFmtId="4" fontId="23" fillId="13" borderId="0" xfId="9" applyNumberFormat="1" applyFont="1" applyFill="1"/>
    <xf numFmtId="3" fontId="21" fillId="0" borderId="31" xfId="9" applyNumberFormat="1" applyFont="1" applyBorder="1"/>
    <xf numFmtId="181" fontId="21" fillId="0" borderId="0" xfId="9" applyNumberFormat="1" applyFont="1"/>
    <xf numFmtId="3" fontId="21" fillId="0" borderId="31" xfId="9" applyNumberFormat="1" applyFont="1" applyBorder="1" applyAlignment="1">
      <alignment horizontal="right"/>
    </xf>
    <xf numFmtId="3" fontId="21" fillId="0" borderId="0" xfId="9" applyNumberFormat="1" applyFont="1" applyAlignment="1">
      <alignment horizontal="right"/>
    </xf>
    <xf numFmtId="181" fontId="21" fillId="0" borderId="31" xfId="9" applyNumberFormat="1" applyFont="1" applyBorder="1" applyAlignment="1">
      <alignment horizontal="right"/>
    </xf>
    <xf numFmtId="181" fontId="21" fillId="0" borderId="39" xfId="9" applyNumberFormat="1" applyFont="1" applyBorder="1" applyAlignment="1">
      <alignment horizontal="right"/>
    </xf>
    <xf numFmtId="186" fontId="21" fillId="0" borderId="0" xfId="9" applyNumberFormat="1" applyFont="1"/>
    <xf numFmtId="3" fontId="21" fillId="0" borderId="42" xfId="9" applyNumberFormat="1" applyFont="1" applyBorder="1"/>
    <xf numFmtId="4" fontId="21" fillId="0" borderId="0" xfId="9" applyNumberFormat="1" applyFont="1"/>
    <xf numFmtId="3" fontId="21" fillId="0" borderId="39" xfId="9" applyNumberFormat="1" applyFont="1" applyBorder="1"/>
    <xf numFmtId="181" fontId="21" fillId="0" borderId="1" xfId="9" applyNumberFormat="1" applyFont="1" applyBorder="1" applyAlignment="1">
      <alignment horizontal="right"/>
    </xf>
    <xf numFmtId="178" fontId="25" fillId="13" borderId="0" xfId="9" applyNumberFormat="1" applyFont="1" applyFill="1"/>
    <xf numFmtId="171" fontId="3" fillId="5" borderId="9" xfId="2" applyNumberFormat="1" applyFill="1" applyBorder="1" applyProtection="1">
      <protection locked="0"/>
    </xf>
    <xf numFmtId="172" fontId="3" fillId="5" borderId="9" xfId="2" applyNumberFormat="1" applyFill="1" applyBorder="1" applyProtection="1">
      <protection locked="0"/>
    </xf>
    <xf numFmtId="3" fontId="44" fillId="0" borderId="31" xfId="9" applyNumberFormat="1" applyFont="1" applyBorder="1" applyAlignment="1">
      <alignment horizontal="right"/>
    </xf>
    <xf numFmtId="0" fontId="11" fillId="0" borderId="13" xfId="0" applyFont="1" applyBorder="1"/>
    <xf numFmtId="0" fontId="3" fillId="0" borderId="0" xfId="2" applyProtection="1">
      <protection locked="0"/>
    </xf>
    <xf numFmtId="164" fontId="1" fillId="0" borderId="0" xfId="0" applyNumberFormat="1" applyFont="1"/>
    <xf numFmtId="10" fontId="1" fillId="0" borderId="0" xfId="0" applyNumberFormat="1" applyFont="1"/>
    <xf numFmtId="174" fontId="23" fillId="13" borderId="0" xfId="9" applyNumberFormat="1" applyFont="1" applyFill="1"/>
    <xf numFmtId="9" fontId="3" fillId="4" borderId="0" xfId="1" applyFont="1" applyFill="1" applyAlignment="1">
      <alignment horizontal="center"/>
    </xf>
    <xf numFmtId="0" fontId="45" fillId="0" borderId="0" xfId="0" applyFont="1"/>
    <xf numFmtId="0" fontId="8" fillId="0" borderId="0" xfId="8" applyFont="1"/>
    <xf numFmtId="0" fontId="8" fillId="0" borderId="0" xfId="8" applyFont="1" applyAlignment="1">
      <alignment horizontal="right"/>
    </xf>
    <xf numFmtId="0" fontId="8" fillId="0" borderId="0" xfId="8" applyFont="1" applyAlignment="1">
      <alignment horizontal="left"/>
    </xf>
    <xf numFmtId="0" fontId="8" fillId="0" borderId="3" xfId="8" applyFont="1" applyBorder="1" applyAlignment="1">
      <alignment horizontal="center"/>
    </xf>
    <xf numFmtId="0" fontId="8" fillId="0" borderId="22" xfId="8" applyFont="1" applyBorder="1" applyAlignment="1">
      <alignment horizontal="center"/>
    </xf>
    <xf numFmtId="0" fontId="8" fillId="0" borderId="3" xfId="8" applyFont="1" applyBorder="1" applyAlignment="1">
      <alignment horizontal="centerContinuous"/>
    </xf>
    <xf numFmtId="0" fontId="8" fillId="0" borderId="24" xfId="8" applyFont="1" applyBorder="1" applyAlignment="1">
      <alignment horizontal="centerContinuous"/>
    </xf>
    <xf numFmtId="181" fontId="8" fillId="0" borderId="27" xfId="8" applyNumberFormat="1" applyFont="1" applyBorder="1" applyAlignment="1">
      <alignment horizontal="center"/>
    </xf>
    <xf numFmtId="0" fontId="8" fillId="0" borderId="20" xfId="8" applyFont="1" applyBorder="1" applyAlignment="1">
      <alignment horizontal="center"/>
    </xf>
    <xf numFmtId="0" fontId="8" fillId="0" borderId="27" xfId="8" applyFont="1" applyBorder="1" applyAlignment="1">
      <alignment horizontal="center" wrapText="1"/>
    </xf>
    <xf numFmtId="174" fontId="14" fillId="4" borderId="0" xfId="12" applyNumberFormat="1" applyFont="1" applyFill="1"/>
    <xf numFmtId="0" fontId="8" fillId="0" borderId="19" xfId="8" applyFont="1" applyBorder="1"/>
    <xf numFmtId="3" fontId="11" fillId="4" borderId="56" xfId="8" applyNumberFormat="1" applyFont="1" applyFill="1" applyBorder="1"/>
    <xf numFmtId="181" fontId="11" fillId="4" borderId="56" xfId="8" applyNumberFormat="1" applyFont="1" applyFill="1" applyBorder="1" applyAlignment="1">
      <alignment horizontal="right"/>
    </xf>
    <xf numFmtId="181" fontId="11" fillId="4" borderId="19" xfId="8" applyNumberFormat="1" applyFont="1" applyFill="1" applyBorder="1" applyAlignment="1">
      <alignment horizontal="right"/>
    </xf>
    <xf numFmtId="181" fontId="11" fillId="4" borderId="56" xfId="8" applyNumberFormat="1" applyFont="1" applyFill="1" applyBorder="1"/>
    <xf numFmtId="178" fontId="11" fillId="4" borderId="57" xfId="8" applyNumberFormat="1" applyFont="1" applyFill="1" applyBorder="1"/>
    <xf numFmtId="178" fontId="11" fillId="4" borderId="58" xfId="8" applyNumberFormat="1" applyFont="1" applyFill="1" applyBorder="1"/>
    <xf numFmtId="178" fontId="11" fillId="4" borderId="19" xfId="8" applyNumberFormat="1" applyFont="1" applyFill="1" applyBorder="1"/>
    <xf numFmtId="178" fontId="11" fillId="4" borderId="59" xfId="8" applyNumberFormat="1" applyFont="1" applyFill="1" applyBorder="1"/>
    <xf numFmtId="178" fontId="11" fillId="4" borderId="60" xfId="8" applyNumberFormat="1" applyFont="1" applyFill="1" applyBorder="1"/>
    <xf numFmtId="177" fontId="11" fillId="4" borderId="19" xfId="8" applyNumberFormat="1" applyFont="1" applyFill="1" applyBorder="1"/>
    <xf numFmtId="4" fontId="11" fillId="4" borderId="56" xfId="8" applyNumberFormat="1" applyFont="1" applyFill="1" applyBorder="1"/>
    <xf numFmtId="4" fontId="11" fillId="4" borderId="61" xfId="8" applyNumberFormat="1" applyFont="1" applyFill="1" applyBorder="1"/>
    <xf numFmtId="4" fontId="11" fillId="4" borderId="19" xfId="8" applyNumberFormat="1" applyFont="1" applyFill="1" applyBorder="1"/>
    <xf numFmtId="0" fontId="45" fillId="0" borderId="0" xfId="8" applyFont="1"/>
    <xf numFmtId="0" fontId="46" fillId="0" borderId="0" xfId="8" applyFont="1"/>
    <xf numFmtId="0" fontId="46" fillId="12" borderId="0" xfId="8" applyFont="1" applyFill="1"/>
    <xf numFmtId="4" fontId="46" fillId="0" borderId="0" xfId="8" applyNumberFormat="1" applyFont="1"/>
    <xf numFmtId="44" fontId="46" fillId="0" borderId="0" xfId="8" applyNumberFormat="1" applyFont="1"/>
    <xf numFmtId="0" fontId="3" fillId="0" borderId="0" xfId="8" applyFont="1"/>
    <xf numFmtId="0" fontId="3" fillId="12" borderId="0" xfId="8" applyFont="1" applyFill="1" applyAlignment="1">
      <alignment horizontal="center"/>
    </xf>
    <xf numFmtId="0" fontId="6" fillId="0" borderId="0" xfId="8" applyFont="1"/>
    <xf numFmtId="177" fontId="6" fillId="0" borderId="0" xfId="8" applyNumberFormat="1" applyFont="1"/>
    <xf numFmtId="49" fontId="14" fillId="0" borderId="0" xfId="8" applyNumberFormat="1" applyFont="1" applyAlignment="1">
      <alignment horizontal="right"/>
    </xf>
    <xf numFmtId="174" fontId="14" fillId="4" borderId="0" xfId="9" applyNumberFormat="1" applyFont="1" applyFill="1"/>
    <xf numFmtId="49" fontId="14" fillId="5" borderId="0" xfId="9" applyNumberFormat="1" applyFont="1" applyFill="1" applyBorder="1" applyAlignment="1">
      <alignment horizontal="right"/>
    </xf>
    <xf numFmtId="179" fontId="14" fillId="4" borderId="0" xfId="9" applyNumberFormat="1" applyFont="1" applyFill="1"/>
    <xf numFmtId="179" fontId="14" fillId="0" borderId="0" xfId="8" applyNumberFormat="1" applyFont="1"/>
    <xf numFmtId="179" fontId="47" fillId="0" borderId="0" xfId="8" applyNumberFormat="1" applyFont="1"/>
    <xf numFmtId="180" fontId="14" fillId="0" borderId="0" xfId="8" applyNumberFormat="1" applyFont="1"/>
    <xf numFmtId="182" fontId="14" fillId="4" borderId="0" xfId="9" applyNumberFormat="1" applyFont="1" applyFill="1"/>
    <xf numFmtId="43" fontId="14" fillId="0" borderId="0" xfId="8" applyNumberFormat="1" applyFont="1"/>
    <xf numFmtId="49" fontId="14" fillId="5" borderId="0" xfId="8" applyNumberFormat="1" applyFont="1" applyFill="1" applyAlignment="1">
      <alignment horizontal="right"/>
    </xf>
    <xf numFmtId="43" fontId="14" fillId="0" borderId="0" xfId="9" applyFont="1" applyFill="1" applyBorder="1"/>
    <xf numFmtId="49" fontId="14" fillId="0" borderId="0" xfId="9" applyNumberFormat="1" applyFont="1" applyFill="1" applyBorder="1" applyAlignment="1">
      <alignment horizontal="right"/>
    </xf>
    <xf numFmtId="165" fontId="14" fillId="5" borderId="0" xfId="8" applyNumberFormat="1" applyFont="1" applyFill="1"/>
    <xf numFmtId="165" fontId="14" fillId="0" borderId="0" xfId="8" applyNumberFormat="1" applyFont="1"/>
    <xf numFmtId="0" fontId="14" fillId="0" borderId="0" xfId="8" applyFont="1" applyAlignment="1">
      <alignment horizontal="right"/>
    </xf>
    <xf numFmtId="0" fontId="14" fillId="0" borderId="0" xfId="8" applyFont="1" applyAlignment="1">
      <alignment horizontal="center"/>
    </xf>
    <xf numFmtId="3" fontId="14" fillId="0" borderId="0" xfId="8" applyNumberFormat="1" applyFont="1" applyAlignment="1">
      <alignment horizontal="center"/>
    </xf>
    <xf numFmtId="0" fontId="47" fillId="0" borderId="19" xfId="8" applyFont="1" applyBorder="1" applyAlignment="1">
      <alignment horizontal="right"/>
    </xf>
    <xf numFmtId="0" fontId="8" fillId="0" borderId="19" xfId="8" applyFont="1" applyBorder="1" applyAlignment="1">
      <alignment horizontal="center"/>
    </xf>
    <xf numFmtId="0" fontId="47" fillId="0" borderId="19" xfId="8" applyFont="1" applyBorder="1" applyAlignment="1">
      <alignment horizontal="center"/>
    </xf>
    <xf numFmtId="39" fontId="14" fillId="0" borderId="0" xfId="11" applyNumberFormat="1" applyFont="1" applyFill="1" applyBorder="1"/>
    <xf numFmtId="181" fontId="14" fillId="0" borderId="0" xfId="8" applyNumberFormat="1" applyFont="1" applyAlignment="1">
      <alignment horizontal="center"/>
    </xf>
    <xf numFmtId="43" fontId="3" fillId="0" borderId="0" xfId="8" applyNumberFormat="1" applyFont="1"/>
    <xf numFmtId="0" fontId="48" fillId="0" borderId="0" xfId="8" applyFont="1"/>
    <xf numFmtId="181" fontId="3" fillId="0" borderId="0" xfId="8" applyNumberFormat="1" applyFont="1"/>
    <xf numFmtId="180" fontId="14" fillId="0" borderId="0" xfId="9" applyNumberFormat="1" applyFont="1" applyFill="1" applyBorder="1"/>
    <xf numFmtId="182" fontId="14" fillId="4" borderId="1" xfId="9" applyNumberFormat="1" applyFont="1" applyFill="1" applyBorder="1"/>
    <xf numFmtId="174" fontId="14" fillId="4" borderId="1" xfId="9" applyNumberFormat="1" applyFont="1" applyFill="1" applyBorder="1"/>
    <xf numFmtId="0" fontId="14" fillId="0" borderId="19" xfId="8" applyFont="1" applyBorder="1" applyAlignment="1">
      <alignment horizontal="right"/>
    </xf>
    <xf numFmtId="44" fontId="14" fillId="0" borderId="0" xfId="11" applyFont="1" applyFill="1" applyBorder="1"/>
    <xf numFmtId="0" fontId="14" fillId="14" borderId="0" xfId="8" applyFont="1" applyFill="1"/>
    <xf numFmtId="184" fontId="3" fillId="0" borderId="0" xfId="8" applyNumberFormat="1" applyFont="1"/>
    <xf numFmtId="174" fontId="14" fillId="0" borderId="0" xfId="9" applyNumberFormat="1" applyFont="1" applyFill="1" applyBorder="1"/>
    <xf numFmtId="182" fontId="14" fillId="0" borderId="0" xfId="8" applyNumberFormat="1" applyFont="1" applyAlignment="1">
      <alignment horizontal="center"/>
    </xf>
    <xf numFmtId="43" fontId="14" fillId="0" borderId="0" xfId="9" applyFont="1" applyFill="1" applyBorder="1" applyAlignment="1">
      <alignment horizontal="right"/>
    </xf>
    <xf numFmtId="181" fontId="14" fillId="0" borderId="0" xfId="9" applyNumberFormat="1" applyFont="1" applyFill="1" applyBorder="1"/>
    <xf numFmtId="0" fontId="3" fillId="12" borderId="0" xfId="8" applyFont="1" applyFill="1"/>
    <xf numFmtId="0" fontId="6" fillId="12" borderId="0" xfId="8" applyFont="1" applyFill="1"/>
    <xf numFmtId="182" fontId="14" fillId="12" borderId="0" xfId="8" applyNumberFormat="1" applyFont="1" applyFill="1" applyAlignment="1">
      <alignment horizontal="center"/>
    </xf>
    <xf numFmtId="43" fontId="14" fillId="12" borderId="0" xfId="9" applyFont="1" applyFill="1" applyBorder="1" applyAlignment="1">
      <alignment horizontal="right"/>
    </xf>
    <xf numFmtId="181" fontId="14" fillId="12" borderId="0" xfId="9" applyNumberFormat="1" applyFont="1" applyFill="1" applyBorder="1"/>
    <xf numFmtId="0" fontId="6" fillId="12" borderId="21" xfId="8" applyFont="1" applyFill="1" applyBorder="1" applyAlignment="1">
      <alignment horizontal="center"/>
    </xf>
    <xf numFmtId="0" fontId="6" fillId="12" borderId="20" xfId="8" applyFont="1" applyFill="1" applyBorder="1" applyAlignment="1">
      <alignment horizontal="center" wrapText="1"/>
    </xf>
    <xf numFmtId="177" fontId="6" fillId="12" borderId="0" xfId="8" applyNumberFormat="1" applyFont="1" applyFill="1"/>
    <xf numFmtId="0" fontId="49" fillId="0" borderId="0" xfId="8" applyFont="1"/>
    <xf numFmtId="181" fontId="6" fillId="0" borderId="0" xfId="8" applyNumberFormat="1" applyFont="1" applyAlignment="1">
      <alignment horizontal="center"/>
    </xf>
    <xf numFmtId="3" fontId="6" fillId="0" borderId="0" xfId="8" applyNumberFormat="1" applyFont="1"/>
    <xf numFmtId="0" fontId="49" fillId="0" borderId="0" xfId="8" applyFont="1" applyAlignment="1">
      <alignment horizontal="left"/>
    </xf>
    <xf numFmtId="0" fontId="3" fillId="0" borderId="3" xfId="8" applyFont="1" applyBorder="1"/>
    <xf numFmtId="0" fontId="8" fillId="0" borderId="22" xfId="8" applyFont="1" applyBorder="1" applyAlignment="1">
      <alignment horizontal="centerContinuous"/>
    </xf>
    <xf numFmtId="0" fontId="8" fillId="0" borderId="23" xfId="8" applyFont="1" applyBorder="1" applyAlignment="1">
      <alignment horizontal="centerContinuous"/>
    </xf>
    <xf numFmtId="0" fontId="8" fillId="0" borderId="25" xfId="8" applyFont="1" applyBorder="1" applyAlignment="1">
      <alignment horizontal="centerContinuous"/>
    </xf>
    <xf numFmtId="0" fontId="8" fillId="0" borderId="26" xfId="8" applyFont="1" applyBorder="1" applyAlignment="1">
      <alignment horizontal="centerContinuous"/>
    </xf>
    <xf numFmtId="177" fontId="8" fillId="0" borderId="24" xfId="8" applyNumberFormat="1" applyFont="1" applyBorder="1"/>
    <xf numFmtId="177" fontId="6" fillId="0" borderId="25" xfId="8" applyNumberFormat="1" applyFont="1" applyBorder="1"/>
    <xf numFmtId="0" fontId="8" fillId="0" borderId="23" xfId="8" applyFont="1" applyBorder="1" applyAlignment="1">
      <alignment horizontal="center"/>
    </xf>
    <xf numFmtId="0" fontId="8" fillId="0" borderId="20" xfId="8" applyFont="1" applyBorder="1"/>
    <xf numFmtId="181" fontId="6" fillId="0" borderId="20" xfId="8" applyNumberFormat="1" applyFont="1" applyBorder="1" applyAlignment="1">
      <alignment horizontal="center" wrapText="1"/>
    </xf>
    <xf numFmtId="181" fontId="6" fillId="0" borderId="27" xfId="8" applyNumberFormat="1" applyFont="1" applyBorder="1" applyAlignment="1">
      <alignment horizontal="center" wrapText="1"/>
    </xf>
    <xf numFmtId="0" fontId="6" fillId="12" borderId="28" xfId="8" applyFont="1" applyFill="1" applyBorder="1" applyAlignment="1">
      <alignment horizontal="center" wrapText="1"/>
    </xf>
    <xf numFmtId="0" fontId="6" fillId="0" borderId="27" xfId="8" applyFont="1" applyBorder="1" applyAlignment="1">
      <alignment horizontal="center" wrapText="1"/>
    </xf>
    <xf numFmtId="177" fontId="6" fillId="0" borderId="29" xfId="8" applyNumberFormat="1" applyFont="1" applyBorder="1" applyAlignment="1">
      <alignment horizontal="center" wrapText="1"/>
    </xf>
    <xf numFmtId="177" fontId="6" fillId="0" borderId="20" xfId="8" applyNumberFormat="1" applyFont="1" applyBorder="1" applyAlignment="1">
      <alignment horizontal="center" wrapText="1"/>
    </xf>
    <xf numFmtId="0" fontId="8" fillId="0" borderId="30" xfId="8" applyFont="1" applyBorder="1" applyAlignment="1">
      <alignment horizontal="center" wrapText="1"/>
    </xf>
    <xf numFmtId="0" fontId="8" fillId="0" borderId="30" xfId="8" applyFont="1" applyBorder="1" applyAlignment="1">
      <alignment horizontal="center" vertical="center" wrapText="1"/>
    </xf>
    <xf numFmtId="0" fontId="8" fillId="0" borderId="20" xfId="8" applyFont="1" applyBorder="1" applyAlignment="1">
      <alignment horizontal="center" vertical="center" wrapText="1"/>
    </xf>
    <xf numFmtId="3" fontId="6" fillId="0" borderId="31" xfId="8" applyNumberFormat="1" applyFont="1" applyBorder="1"/>
    <xf numFmtId="181" fontId="6" fillId="0" borderId="0" xfId="8" applyNumberFormat="1" applyFont="1"/>
    <xf numFmtId="181" fontId="6" fillId="0" borderId="31" xfId="8" applyNumberFormat="1" applyFont="1" applyBorder="1"/>
    <xf numFmtId="4" fontId="6" fillId="0" borderId="32" xfId="8" applyNumberFormat="1" applyFont="1" applyBorder="1"/>
    <xf numFmtId="4" fontId="6" fillId="0" borderId="0" xfId="8" applyNumberFormat="1" applyFont="1"/>
    <xf numFmtId="4" fontId="6" fillId="0" borderId="33" xfId="8" applyNumberFormat="1" applyFont="1" applyBorder="1"/>
    <xf numFmtId="4" fontId="6" fillId="0" borderId="31" xfId="8" applyNumberFormat="1" applyFont="1" applyBorder="1"/>
    <xf numFmtId="0" fontId="6" fillId="0" borderId="31" xfId="8" applyFont="1" applyBorder="1"/>
    <xf numFmtId="0" fontId="6" fillId="0" borderId="34" xfId="8" applyFont="1" applyBorder="1"/>
    <xf numFmtId="0" fontId="3" fillId="14" borderId="0" xfId="8" applyFont="1" applyFill="1" applyAlignment="1">
      <alignment horizontal="center"/>
    </xf>
    <xf numFmtId="49" fontId="6" fillId="0" borderId="0" xfId="9" applyNumberFormat="1" applyFont="1" applyFill="1" applyAlignment="1">
      <alignment horizontal="left"/>
    </xf>
    <xf numFmtId="3" fontId="6" fillId="4" borderId="31" xfId="9" applyNumberFormat="1" applyFont="1" applyFill="1" applyBorder="1"/>
    <xf numFmtId="181" fontId="6" fillId="4" borderId="0" xfId="9" applyNumberFormat="1" applyFont="1" applyFill="1"/>
    <xf numFmtId="181" fontId="6" fillId="4" borderId="0" xfId="8" applyNumberFormat="1" applyFont="1" applyFill="1" applyAlignment="1">
      <alignment horizontal="right"/>
    </xf>
    <xf numFmtId="178" fontId="6" fillId="4" borderId="0" xfId="8" applyNumberFormat="1" applyFont="1" applyFill="1" applyAlignment="1">
      <alignment horizontal="right"/>
    </xf>
    <xf numFmtId="181" fontId="6" fillId="4" borderId="31" xfId="9" applyNumberFormat="1" applyFont="1" applyFill="1" applyBorder="1" applyAlignment="1">
      <alignment horizontal="right"/>
    </xf>
    <xf numFmtId="178" fontId="6" fillId="4" borderId="0" xfId="9" applyNumberFormat="1" applyFont="1" applyFill="1" applyBorder="1" applyAlignment="1">
      <alignment horizontal="right"/>
    </xf>
    <xf numFmtId="181" fontId="6" fillId="4" borderId="0" xfId="9" applyNumberFormat="1" applyFont="1" applyFill="1" applyBorder="1" applyAlignment="1">
      <alignment horizontal="right"/>
    </xf>
    <xf numFmtId="178" fontId="6" fillId="4" borderId="32" xfId="8" applyNumberFormat="1" applyFont="1" applyFill="1" applyBorder="1"/>
    <xf numFmtId="178" fontId="6" fillId="4" borderId="0" xfId="9" applyNumberFormat="1" applyFont="1" applyFill="1"/>
    <xf numFmtId="178" fontId="6" fillId="4" borderId="33" xfId="9" applyNumberFormat="1" applyFont="1" applyFill="1" applyBorder="1"/>
    <xf numFmtId="0" fontId="6" fillId="4" borderId="0" xfId="9" applyNumberFormat="1" applyFont="1" applyFill="1" applyBorder="1"/>
    <xf numFmtId="178" fontId="6" fillId="4" borderId="0" xfId="9" applyNumberFormat="1" applyFont="1" applyFill="1" applyBorder="1"/>
    <xf numFmtId="178" fontId="6" fillId="4" borderId="31" xfId="9" applyNumberFormat="1" applyFont="1" applyFill="1" applyBorder="1"/>
    <xf numFmtId="177" fontId="6" fillId="4" borderId="0" xfId="9" applyNumberFormat="1" applyFont="1" applyFill="1"/>
    <xf numFmtId="4" fontId="6" fillId="4" borderId="31" xfId="8" applyNumberFormat="1" applyFont="1" applyFill="1" applyBorder="1"/>
    <xf numFmtId="4" fontId="6" fillId="4" borderId="34" xfId="8" applyNumberFormat="1" applyFont="1" applyFill="1" applyBorder="1"/>
    <xf numFmtId="4" fontId="6" fillId="4" borderId="0" xfId="8" applyNumberFormat="1" applyFont="1" applyFill="1"/>
    <xf numFmtId="181" fontId="6" fillId="4" borderId="31" xfId="9" applyNumberFormat="1" applyFont="1" applyFill="1" applyBorder="1"/>
    <xf numFmtId="0" fontId="6" fillId="0" borderId="11" xfId="8" applyFont="1" applyBorder="1"/>
    <xf numFmtId="3" fontId="6" fillId="4" borderId="35" xfId="9" applyNumberFormat="1" applyFont="1" applyFill="1" applyBorder="1"/>
    <xf numFmtId="181" fontId="6" fillId="4" borderId="11" xfId="9" applyNumberFormat="1" applyFont="1" applyFill="1" applyBorder="1"/>
    <xf numFmtId="181" fontId="6" fillId="4" borderId="11" xfId="8" applyNumberFormat="1" applyFont="1" applyFill="1" applyBorder="1" applyAlignment="1">
      <alignment horizontal="right"/>
    </xf>
    <xf numFmtId="181" fontId="6" fillId="4" borderId="35" xfId="9" applyNumberFormat="1" applyFont="1" applyFill="1" applyBorder="1" applyAlignment="1">
      <alignment horizontal="right"/>
    </xf>
    <xf numFmtId="181" fontId="6" fillId="4" borderId="11" xfId="9" applyNumberFormat="1" applyFont="1" applyFill="1" applyBorder="1" applyAlignment="1">
      <alignment horizontal="right"/>
    </xf>
    <xf numFmtId="181" fontId="6" fillId="4" borderId="35" xfId="9" applyNumberFormat="1" applyFont="1" applyFill="1" applyBorder="1"/>
    <xf numFmtId="178" fontId="6" fillId="4" borderId="36" xfId="8" applyNumberFormat="1" applyFont="1" applyFill="1" applyBorder="1"/>
    <xf numFmtId="178" fontId="6" fillId="4" borderId="11" xfId="9" applyNumberFormat="1" applyFont="1" applyFill="1" applyBorder="1"/>
    <xf numFmtId="178" fontId="6" fillId="4" borderId="37" xfId="9" applyNumberFormat="1" applyFont="1" applyFill="1" applyBorder="1"/>
    <xf numFmtId="178" fontId="6" fillId="4" borderId="35" xfId="9" applyNumberFormat="1" applyFont="1" applyFill="1" applyBorder="1"/>
    <xf numFmtId="177" fontId="6" fillId="4" borderId="11" xfId="9" applyNumberFormat="1" applyFont="1" applyFill="1" applyBorder="1"/>
    <xf numFmtId="4" fontId="6" fillId="4" borderId="35" xfId="9" applyNumberFormat="1" applyFont="1" applyFill="1" applyBorder="1"/>
    <xf numFmtId="4" fontId="6" fillId="4" borderId="38" xfId="9" applyNumberFormat="1" applyFont="1" applyFill="1" applyBorder="1"/>
    <xf numFmtId="4" fontId="6" fillId="4" borderId="11" xfId="9" applyNumberFormat="1" applyFont="1" applyFill="1" applyBorder="1"/>
    <xf numFmtId="3" fontId="3" fillId="4" borderId="31" xfId="8" applyNumberFormat="1" applyFont="1" applyFill="1" applyBorder="1"/>
    <xf numFmtId="181" fontId="3" fillId="4" borderId="0" xfId="8" applyNumberFormat="1" applyFont="1" applyFill="1"/>
    <xf numFmtId="181" fontId="3" fillId="4" borderId="31" xfId="8" applyNumberFormat="1" applyFont="1" applyFill="1" applyBorder="1" applyAlignment="1">
      <alignment horizontal="right"/>
    </xf>
    <xf numFmtId="3" fontId="6" fillId="4" borderId="0" xfId="8" applyNumberFormat="1" applyFont="1" applyFill="1" applyAlignment="1">
      <alignment horizontal="right"/>
    </xf>
    <xf numFmtId="4" fontId="6" fillId="4" borderId="0" xfId="9" applyNumberFormat="1" applyFont="1" applyFill="1" applyBorder="1"/>
    <xf numFmtId="4" fontId="6" fillId="4" borderId="33" xfId="9" applyNumberFormat="1" applyFont="1" applyFill="1" applyBorder="1"/>
    <xf numFmtId="177" fontId="6" fillId="4" borderId="0" xfId="8" applyNumberFormat="1" applyFont="1" applyFill="1"/>
    <xf numFmtId="183" fontId="6" fillId="4" borderId="34" xfId="8" applyNumberFormat="1" applyFont="1" applyFill="1" applyBorder="1"/>
    <xf numFmtId="49" fontId="6" fillId="0" borderId="0" xfId="8" applyNumberFormat="1" applyFont="1" applyAlignment="1">
      <alignment horizontal="left"/>
    </xf>
    <xf numFmtId="4" fontId="3" fillId="4" borderId="0" xfId="8" applyNumberFormat="1" applyFont="1" applyFill="1"/>
    <xf numFmtId="3" fontId="6" fillId="4" borderId="31" xfId="9" applyNumberFormat="1" applyFont="1" applyFill="1" applyBorder="1" applyAlignment="1">
      <alignment horizontal="right"/>
    </xf>
    <xf numFmtId="181" fontId="6" fillId="4" borderId="1" xfId="8" applyNumberFormat="1" applyFont="1" applyFill="1" applyBorder="1" applyAlignment="1">
      <alignment horizontal="right"/>
    </xf>
    <xf numFmtId="181" fontId="3" fillId="4" borderId="39" xfId="8" applyNumberFormat="1" applyFont="1" applyFill="1" applyBorder="1" applyAlignment="1">
      <alignment horizontal="right"/>
    </xf>
    <xf numFmtId="0" fontId="3" fillId="4" borderId="0" xfId="8" applyFont="1" applyFill="1"/>
    <xf numFmtId="178" fontId="6" fillId="4" borderId="1" xfId="9" applyNumberFormat="1" applyFont="1" applyFill="1" applyBorder="1"/>
    <xf numFmtId="3" fontId="6" fillId="4" borderId="11" xfId="8" applyNumberFormat="1" applyFont="1" applyFill="1" applyBorder="1" applyAlignment="1">
      <alignment horizontal="right"/>
    </xf>
    <xf numFmtId="3" fontId="6" fillId="4" borderId="35" xfId="9" applyNumberFormat="1" applyFont="1" applyFill="1" applyBorder="1" applyAlignment="1">
      <alignment horizontal="right"/>
    </xf>
    <xf numFmtId="4" fontId="6" fillId="4" borderId="11" xfId="8" applyNumberFormat="1" applyFont="1" applyFill="1" applyBorder="1"/>
    <xf numFmtId="4" fontId="6" fillId="4" borderId="37" xfId="9" applyNumberFormat="1" applyFont="1" applyFill="1" applyBorder="1"/>
    <xf numFmtId="3" fontId="6" fillId="4" borderId="31" xfId="8" applyNumberFormat="1" applyFont="1" applyFill="1" applyBorder="1"/>
    <xf numFmtId="181" fontId="6" fillId="4" borderId="0" xfId="8" applyNumberFormat="1" applyFont="1" applyFill="1"/>
    <xf numFmtId="181" fontId="6" fillId="4" borderId="31" xfId="8" applyNumberFormat="1" applyFont="1" applyFill="1" applyBorder="1" applyAlignment="1">
      <alignment horizontal="right"/>
    </xf>
    <xf numFmtId="3" fontId="6" fillId="4" borderId="0" xfId="9" applyNumberFormat="1" applyFont="1" applyFill="1" applyAlignment="1">
      <alignment horizontal="right"/>
    </xf>
    <xf numFmtId="181" fontId="6" fillId="4" borderId="39" xfId="9" applyNumberFormat="1" applyFont="1" applyFill="1" applyBorder="1" applyAlignment="1">
      <alignment horizontal="right"/>
    </xf>
    <xf numFmtId="178" fontId="6" fillId="4" borderId="11" xfId="8" applyNumberFormat="1" applyFont="1" applyFill="1" applyBorder="1"/>
    <xf numFmtId="181" fontId="6" fillId="4" borderId="0" xfId="9" applyNumberFormat="1" applyFont="1" applyFill="1" applyBorder="1"/>
    <xf numFmtId="0" fontId="6" fillId="0" borderId="0" xfId="8" applyFont="1" applyAlignment="1">
      <alignment horizontal="right"/>
    </xf>
    <xf numFmtId="186" fontId="6" fillId="4" borderId="0" xfId="9" applyNumberFormat="1" applyFont="1" applyFill="1"/>
    <xf numFmtId="0" fontId="6" fillId="0" borderId="40" xfId="8" applyFont="1" applyBorder="1"/>
    <xf numFmtId="49" fontId="6" fillId="0" borderId="41" xfId="9" applyNumberFormat="1" applyFont="1" applyFill="1" applyBorder="1" applyAlignment="1">
      <alignment horizontal="left"/>
    </xf>
    <xf numFmtId="3" fontId="6" fillId="4" borderId="42" xfId="9" applyNumberFormat="1" applyFont="1" applyFill="1" applyBorder="1"/>
    <xf numFmtId="181" fontId="6" fillId="4" borderId="41" xfId="8" applyNumberFormat="1" applyFont="1" applyFill="1" applyBorder="1" applyAlignment="1">
      <alignment horizontal="right"/>
    </xf>
    <xf numFmtId="181" fontId="6" fillId="4" borderId="42" xfId="9" applyNumberFormat="1" applyFont="1" applyFill="1" applyBorder="1" applyAlignment="1">
      <alignment horizontal="right"/>
    </xf>
    <xf numFmtId="181" fontId="6" fillId="4" borderId="42" xfId="8" applyNumberFormat="1" applyFont="1" applyFill="1" applyBorder="1" applyAlignment="1">
      <alignment horizontal="right"/>
    </xf>
    <xf numFmtId="181" fontId="6" fillId="4" borderId="41" xfId="9" applyNumberFormat="1" applyFont="1" applyFill="1" applyBorder="1" applyAlignment="1">
      <alignment horizontal="right"/>
    </xf>
    <xf numFmtId="181" fontId="6" fillId="4" borderId="42" xfId="9" applyNumberFormat="1" applyFont="1" applyFill="1" applyBorder="1"/>
    <xf numFmtId="178" fontId="6" fillId="4" borderId="43" xfId="8" applyNumberFormat="1" applyFont="1" applyFill="1" applyBorder="1"/>
    <xf numFmtId="178" fontId="6" fillId="4" borderId="41" xfId="9" applyNumberFormat="1" applyFont="1" applyFill="1" applyBorder="1"/>
    <xf numFmtId="178" fontId="6" fillId="4" borderId="44" xfId="9" applyNumberFormat="1" applyFont="1" applyFill="1" applyBorder="1"/>
    <xf numFmtId="178" fontId="6" fillId="4" borderId="45" xfId="9" applyNumberFormat="1" applyFont="1" applyFill="1" applyBorder="1"/>
    <xf numFmtId="177" fontId="6" fillId="4" borderId="41" xfId="9" applyNumberFormat="1" applyFont="1" applyFill="1" applyBorder="1"/>
    <xf numFmtId="4" fontId="6" fillId="4" borderId="44" xfId="9" applyNumberFormat="1" applyFont="1" applyFill="1" applyBorder="1"/>
    <xf numFmtId="4" fontId="6" fillId="4" borderId="41" xfId="9" applyNumberFormat="1" applyFont="1" applyFill="1" applyBorder="1"/>
    <xf numFmtId="4" fontId="6" fillId="4" borderId="46" xfId="9" applyNumberFormat="1" applyFont="1" applyFill="1" applyBorder="1"/>
    <xf numFmtId="4" fontId="6" fillId="4" borderId="0" xfId="9" applyNumberFormat="1" applyFont="1" applyFill="1"/>
    <xf numFmtId="178" fontId="6" fillId="4" borderId="47" xfId="9" applyNumberFormat="1" applyFont="1" applyFill="1" applyBorder="1"/>
    <xf numFmtId="0" fontId="3" fillId="2" borderId="0" xfId="8" applyFont="1" applyFill="1" applyAlignment="1">
      <alignment horizontal="center"/>
    </xf>
    <xf numFmtId="178" fontId="6" fillId="4" borderId="48" xfId="9" applyNumberFormat="1" applyFont="1" applyFill="1" applyBorder="1"/>
    <xf numFmtId="3" fontId="6" fillId="4" borderId="39" xfId="9" applyNumberFormat="1" applyFont="1" applyFill="1" applyBorder="1"/>
    <xf numFmtId="181" fontId="6" fillId="4" borderId="1" xfId="9" applyNumberFormat="1" applyFont="1" applyFill="1" applyBorder="1" applyAlignment="1">
      <alignment horizontal="right"/>
    </xf>
    <xf numFmtId="178" fontId="6" fillId="4" borderId="49" xfId="8" applyNumberFormat="1" applyFont="1" applyFill="1" applyBorder="1"/>
    <xf numFmtId="178" fontId="6" fillId="4" borderId="37" xfId="8" applyNumberFormat="1" applyFont="1" applyFill="1" applyBorder="1"/>
    <xf numFmtId="178" fontId="6" fillId="4" borderId="50" xfId="8" applyNumberFormat="1" applyFont="1" applyFill="1" applyBorder="1"/>
    <xf numFmtId="177" fontId="6" fillId="4" borderId="0" xfId="9" applyNumberFormat="1" applyFont="1" applyFill="1" applyBorder="1"/>
    <xf numFmtId="0" fontId="6" fillId="0" borderId="1" xfId="8" applyFont="1" applyBorder="1"/>
    <xf numFmtId="181" fontId="6" fillId="4" borderId="1" xfId="9" applyNumberFormat="1" applyFont="1" applyFill="1" applyBorder="1"/>
    <xf numFmtId="181" fontId="6" fillId="4" borderId="39" xfId="9" applyNumberFormat="1" applyFont="1" applyFill="1" applyBorder="1"/>
    <xf numFmtId="178" fontId="6" fillId="4" borderId="51" xfId="8" applyNumberFormat="1" applyFont="1" applyFill="1" applyBorder="1"/>
    <xf numFmtId="178" fontId="6" fillId="4" borderId="52" xfId="9" applyNumberFormat="1" applyFont="1" applyFill="1" applyBorder="1"/>
    <xf numFmtId="178" fontId="6" fillId="4" borderId="53" xfId="9" applyNumberFormat="1" applyFont="1" applyFill="1" applyBorder="1"/>
    <xf numFmtId="178" fontId="6" fillId="4" borderId="39" xfId="9" applyNumberFormat="1" applyFont="1" applyFill="1" applyBorder="1"/>
    <xf numFmtId="177" fontId="6" fillId="4" borderId="1" xfId="9" applyNumberFormat="1" applyFont="1" applyFill="1" applyBorder="1"/>
    <xf numFmtId="4" fontId="6" fillId="4" borderId="52" xfId="9" applyNumberFormat="1" applyFont="1" applyFill="1" applyBorder="1"/>
    <xf numFmtId="4" fontId="6" fillId="4" borderId="1" xfId="9" applyNumberFormat="1" applyFont="1" applyFill="1" applyBorder="1"/>
    <xf numFmtId="178" fontId="6" fillId="4" borderId="54" xfId="9" applyNumberFormat="1" applyFont="1" applyFill="1" applyBorder="1"/>
    <xf numFmtId="4" fontId="6" fillId="4" borderId="55" xfId="8" applyNumberFormat="1" applyFont="1" applyFill="1" applyBorder="1"/>
    <xf numFmtId="181" fontId="11" fillId="4" borderId="19" xfId="8" applyNumberFormat="1" applyFont="1" applyFill="1" applyBorder="1"/>
    <xf numFmtId="185" fontId="6" fillId="0" borderId="0" xfId="8" applyNumberFormat="1" applyFont="1"/>
    <xf numFmtId="37" fontId="3" fillId="0" borderId="0" xfId="8" applyNumberFormat="1" applyFont="1"/>
    <xf numFmtId="43" fontId="3" fillId="0" borderId="0" xfId="9" applyFont="1"/>
    <xf numFmtId="43" fontId="6" fillId="0" borderId="0" xfId="8" applyNumberFormat="1" applyFont="1"/>
    <xf numFmtId="0" fontId="3" fillId="9" borderId="0" xfId="8" applyFont="1" applyFill="1"/>
    <xf numFmtId="174" fontId="3" fillId="0" borderId="0" xfId="9" applyNumberFormat="1" applyFont="1" applyFill="1" applyBorder="1"/>
    <xf numFmtId="0" fontId="11" fillId="0" borderId="0" xfId="8" applyFont="1"/>
    <xf numFmtId="0" fontId="3" fillId="0" borderId="1" xfId="8" applyFont="1" applyBorder="1"/>
    <xf numFmtId="49" fontId="14" fillId="0" borderId="0" xfId="9" applyNumberFormat="1" applyFont="1" applyFill="1" applyBorder="1" applyAlignment="1">
      <alignment horizontal="left"/>
    </xf>
    <xf numFmtId="177" fontId="3" fillId="0" borderId="0" xfId="8" applyNumberFormat="1" applyFont="1"/>
    <xf numFmtId="0" fontId="50" fillId="19" borderId="0" xfId="0" applyFont="1" applyFill="1"/>
    <xf numFmtId="43" fontId="17" fillId="0" borderId="0" xfId="8" applyNumberFormat="1" applyFont="1"/>
    <xf numFmtId="0" fontId="51" fillId="0" borderId="0" xfId="8" applyFont="1"/>
    <xf numFmtId="43" fontId="51" fillId="0" borderId="0" xfId="8" applyNumberFormat="1" applyFont="1"/>
    <xf numFmtId="181" fontId="17" fillId="0" borderId="0" xfId="8" applyNumberFormat="1" applyFont="1"/>
    <xf numFmtId="183" fontId="51" fillId="0" borderId="0" xfId="8" applyNumberFormat="1" applyFont="1"/>
    <xf numFmtId="4" fontId="51" fillId="0" borderId="0" xfId="8" applyNumberFormat="1" applyFont="1"/>
    <xf numFmtId="174" fontId="15" fillId="0" borderId="0" xfId="6" applyNumberFormat="1" applyFont="1"/>
    <xf numFmtId="174" fontId="51" fillId="0" borderId="0" xfId="6" applyNumberFormat="1" applyFont="1"/>
    <xf numFmtId="3" fontId="21" fillId="2" borderId="31" xfId="9" applyNumberFormat="1" applyFont="1" applyFill="1" applyBorder="1" applyAlignment="1">
      <alignment horizontal="right"/>
    </xf>
    <xf numFmtId="41" fontId="3" fillId="0" borderId="0" xfId="8" applyNumberFormat="1" applyFont="1"/>
    <xf numFmtId="43" fontId="17" fillId="2" borderId="0" xfId="8" applyNumberFormat="1" applyFont="1" applyFill="1"/>
    <xf numFmtId="0" fontId="51" fillId="2" borderId="0" xfId="8" applyFont="1" applyFill="1"/>
    <xf numFmtId="43" fontId="51" fillId="2" borderId="0" xfId="8" applyNumberFormat="1" applyFont="1" applyFill="1"/>
    <xf numFmtId="174" fontId="17" fillId="0" borderId="0" xfId="6" applyNumberFormat="1" applyFont="1"/>
    <xf numFmtId="0" fontId="3" fillId="0" borderId="0" xfId="4" applyFont="1" applyAlignment="1" applyProtection="1">
      <alignment wrapText="1"/>
      <protection locked="0"/>
    </xf>
    <xf numFmtId="0" fontId="0" fillId="0" borderId="0" xfId="0" applyAlignment="1">
      <alignment horizontal="left" wrapText="1"/>
    </xf>
    <xf numFmtId="0" fontId="3" fillId="0" borderId="0" xfId="2" applyAlignment="1" applyProtection="1">
      <alignment horizontal="center"/>
      <protection locked="0"/>
    </xf>
    <xf numFmtId="37" fontId="6" fillId="0" borderId="0" xfId="3" applyFont="1"/>
    <xf numFmtId="0" fontId="53" fillId="0" borderId="91" xfId="17" applyAlignment="1">
      <alignment vertical="center"/>
    </xf>
    <xf numFmtId="0" fontId="16" fillId="0" borderId="0" xfId="18">
      <alignment vertical="center"/>
    </xf>
    <xf numFmtId="0" fontId="58" fillId="0" borderId="91" xfId="17" applyFont="1" applyAlignment="1">
      <alignment vertical="center"/>
    </xf>
    <xf numFmtId="0" fontId="59" fillId="0" borderId="0" xfId="18" applyFont="1">
      <alignment vertical="center"/>
    </xf>
    <xf numFmtId="0" fontId="60" fillId="0" borderId="20" xfId="19" applyFont="1" applyAlignment="1">
      <alignment vertical="center"/>
    </xf>
    <xf numFmtId="0" fontId="61" fillId="0" borderId="0" xfId="0" applyFont="1"/>
    <xf numFmtId="0" fontId="62" fillId="0" borderId="0" xfId="0" applyFont="1" applyAlignment="1">
      <alignment horizontal="right"/>
    </xf>
    <xf numFmtId="0" fontId="61" fillId="23" borderId="9" xfId="0" applyFont="1" applyFill="1" applyBorder="1" applyAlignment="1">
      <alignment horizontal="left"/>
    </xf>
    <xf numFmtId="0" fontId="61" fillId="0" borderId="0" xfId="0" applyFont="1" applyAlignment="1">
      <alignment horizontal="center"/>
    </xf>
    <xf numFmtId="0" fontId="63" fillId="0" borderId="0" xfId="0" applyFont="1"/>
    <xf numFmtId="0" fontId="61" fillId="0" borderId="0" xfId="0" applyFont="1" applyAlignment="1">
      <alignment horizontal="left"/>
    </xf>
    <xf numFmtId="187" fontId="62" fillId="0" borderId="9" xfId="13" applyNumberFormat="1" applyFont="1" applyBorder="1"/>
    <xf numFmtId="187" fontId="61" fillId="0" borderId="0" xfId="13" applyNumberFormat="1" applyFont="1" applyAlignment="1">
      <alignment horizontal="center"/>
    </xf>
    <xf numFmtId="0" fontId="61" fillId="0" borderId="0" xfId="0" applyFont="1" applyAlignment="1">
      <alignment horizontal="right"/>
    </xf>
    <xf numFmtId="187" fontId="61" fillId="0" borderId="0" xfId="13" applyNumberFormat="1" applyFont="1" applyBorder="1"/>
    <xf numFmtId="0" fontId="62" fillId="0" borderId="0" xfId="0" applyFont="1"/>
    <xf numFmtId="187" fontId="61" fillId="0" borderId="0" xfId="13" applyNumberFormat="1" applyFont="1"/>
    <xf numFmtId="195" fontId="61" fillId="0" borderId="0" xfId="1" applyNumberFormat="1" applyFont="1" applyAlignment="1">
      <alignment horizontal="center"/>
    </xf>
    <xf numFmtId="0" fontId="64" fillId="19" borderId="0" xfId="0" applyFont="1" applyFill="1"/>
    <xf numFmtId="171" fontId="64" fillId="19" borderId="0" xfId="0" applyNumberFormat="1" applyFont="1" applyFill="1"/>
    <xf numFmtId="0" fontId="64" fillId="19" borderId="0" xfId="0" applyFont="1" applyFill="1" applyAlignment="1">
      <alignment horizontal="center"/>
    </xf>
    <xf numFmtId="0" fontId="65" fillId="0" borderId="0" xfId="0" applyFont="1"/>
    <xf numFmtId="0" fontId="63" fillId="0" borderId="11" xfId="0" applyFont="1" applyBorder="1" applyAlignment="1">
      <alignment horizontal="center"/>
    </xf>
    <xf numFmtId="0" fontId="63" fillId="0" borderId="0" xfId="0" applyFont="1" applyAlignment="1">
      <alignment horizontal="center" wrapText="1"/>
    </xf>
    <xf numFmtId="0" fontId="63" fillId="0" borderId="0" xfId="0" applyFont="1" applyAlignment="1">
      <alignment wrapText="1"/>
    </xf>
    <xf numFmtId="0" fontId="63" fillId="18" borderId="10" xfId="2" applyFont="1" applyFill="1" applyBorder="1" applyAlignment="1">
      <alignment horizontal="center"/>
    </xf>
    <xf numFmtId="0" fontId="63" fillId="18" borderId="12" xfId="2" applyFont="1" applyFill="1" applyBorder="1" applyAlignment="1">
      <alignment horizontal="center"/>
    </xf>
    <xf numFmtId="0" fontId="63" fillId="0" borderId="1" xfId="2" applyFont="1" applyBorder="1" applyAlignment="1">
      <alignment horizontal="center"/>
    </xf>
    <xf numFmtId="0" fontId="63" fillId="0" borderId="12" xfId="2" applyFont="1" applyBorder="1" applyAlignment="1">
      <alignment horizontal="center"/>
    </xf>
    <xf numFmtId="0" fontId="63" fillId="0" borderId="0" xfId="2" applyFont="1" applyAlignment="1">
      <alignment horizontal="center"/>
    </xf>
    <xf numFmtId="0" fontId="66" fillId="0" borderId="0" xfId="0" applyFont="1" applyAlignment="1">
      <alignment horizontal="right"/>
    </xf>
    <xf numFmtId="0" fontId="63" fillId="18" borderId="9" xfId="2" applyFont="1" applyFill="1" applyBorder="1" applyAlignment="1">
      <alignment horizontal="center"/>
    </xf>
    <xf numFmtId="0" fontId="63" fillId="0" borderId="0" xfId="2" applyFont="1"/>
    <xf numFmtId="0" fontId="63" fillId="18" borderId="5" xfId="0" applyFont="1" applyFill="1" applyBorder="1" applyAlignment="1">
      <alignment horizontal="center"/>
    </xf>
    <xf numFmtId="0" fontId="63" fillId="0" borderId="0" xfId="0" applyFont="1" applyAlignment="1">
      <alignment horizontal="center"/>
    </xf>
    <xf numFmtId="0" fontId="63" fillId="0" borderId="6" xfId="0" applyFont="1" applyBorder="1" applyAlignment="1">
      <alignment horizontal="center"/>
    </xf>
    <xf numFmtId="0" fontId="63" fillId="18" borderId="17" xfId="0" applyFont="1" applyFill="1" applyBorder="1" applyAlignment="1">
      <alignment horizontal="center"/>
    </xf>
    <xf numFmtId="0" fontId="63" fillId="18" borderId="15" xfId="0" applyFont="1" applyFill="1" applyBorder="1"/>
    <xf numFmtId="0" fontId="63" fillId="18" borderId="4" xfId="0" applyFont="1" applyFill="1" applyBorder="1"/>
    <xf numFmtId="0" fontId="67" fillId="0" borderId="0" xfId="2" applyFont="1"/>
    <xf numFmtId="187" fontId="63" fillId="18" borderId="5" xfId="13" applyNumberFormat="1" applyFont="1" applyFill="1" applyBorder="1" applyAlignment="1">
      <alignment horizontal="center"/>
    </xf>
    <xf numFmtId="187" fontId="63" fillId="0" borderId="0" xfId="13" applyNumberFormat="1" applyFont="1" applyBorder="1" applyAlignment="1">
      <alignment horizontal="center"/>
    </xf>
    <xf numFmtId="187" fontId="63" fillId="0" borderId="6" xfId="13" applyNumberFormat="1" applyFont="1" applyBorder="1" applyAlignment="1">
      <alignment horizontal="center"/>
    </xf>
    <xf numFmtId="191" fontId="63" fillId="18" borderId="5" xfId="13" applyNumberFormat="1" applyFont="1" applyFill="1" applyBorder="1" applyAlignment="1">
      <alignment horizontal="center"/>
    </xf>
    <xf numFmtId="191" fontId="63" fillId="0" borderId="0" xfId="13" applyNumberFormat="1" applyFont="1" applyBorder="1" applyAlignment="1">
      <alignment horizontal="center"/>
    </xf>
    <xf numFmtId="191" fontId="63" fillId="0" borderId="6" xfId="13" applyNumberFormat="1" applyFont="1" applyBorder="1" applyAlignment="1">
      <alignment horizontal="center"/>
    </xf>
    <xf numFmtId="167" fontId="63" fillId="18" borderId="5" xfId="1" applyNumberFormat="1" applyFont="1" applyFill="1" applyBorder="1" applyAlignment="1">
      <alignment horizontal="center"/>
    </xf>
    <xf numFmtId="167" fontId="63" fillId="0" borderId="0" xfId="1" applyNumberFormat="1" applyFont="1" applyBorder="1" applyAlignment="1">
      <alignment horizontal="center"/>
    </xf>
    <xf numFmtId="167" fontId="63" fillId="0" borderId="6" xfId="1" applyNumberFormat="1" applyFont="1" applyBorder="1" applyAlignment="1">
      <alignment horizontal="center"/>
    </xf>
    <xf numFmtId="187" fontId="63" fillId="18" borderId="17" xfId="13" applyNumberFormat="1" applyFont="1" applyFill="1" applyBorder="1" applyAlignment="1">
      <alignment horizontal="center"/>
    </xf>
    <xf numFmtId="37" fontId="63" fillId="18" borderId="17" xfId="2" applyNumberFormat="1" applyFont="1" applyFill="1" applyBorder="1"/>
    <xf numFmtId="37" fontId="63" fillId="18" borderId="6" xfId="2" applyNumberFormat="1" applyFont="1" applyFill="1" applyBorder="1"/>
    <xf numFmtId="167" fontId="63" fillId="0" borderId="0" xfId="1" applyNumberFormat="1" applyFont="1"/>
    <xf numFmtId="9" fontId="63" fillId="0" borderId="9" xfId="1" applyFont="1" applyBorder="1"/>
    <xf numFmtId="167" fontId="63" fillId="0" borderId="9" xfId="1" applyNumberFormat="1" applyFont="1" applyBorder="1"/>
    <xf numFmtId="0" fontId="63" fillId="0" borderId="0" xfId="2" applyFont="1" applyAlignment="1">
      <alignment wrapText="1"/>
    </xf>
    <xf numFmtId="187" fontId="63" fillId="18" borderId="7" xfId="13" applyNumberFormat="1" applyFont="1" applyFill="1" applyBorder="1" applyAlignment="1">
      <alignment horizontal="center"/>
    </xf>
    <xf numFmtId="187" fontId="63" fillId="0" borderId="1" xfId="13" applyNumberFormat="1" applyFont="1" applyBorder="1" applyAlignment="1">
      <alignment horizontal="center"/>
    </xf>
    <xf numFmtId="187" fontId="63" fillId="0" borderId="8" xfId="13" applyNumberFormat="1" applyFont="1" applyBorder="1" applyAlignment="1">
      <alignment horizontal="center"/>
    </xf>
    <xf numFmtId="0" fontId="63" fillId="0" borderId="1" xfId="0" applyFont="1" applyBorder="1" applyAlignment="1">
      <alignment horizontal="center"/>
    </xf>
    <xf numFmtId="191" fontId="63" fillId="18" borderId="7" xfId="13" applyNumberFormat="1" applyFont="1" applyFill="1" applyBorder="1" applyAlignment="1">
      <alignment horizontal="center"/>
    </xf>
    <xf numFmtId="191" fontId="63" fillId="0" borderId="1" xfId="13" applyNumberFormat="1" applyFont="1" applyBorder="1" applyAlignment="1">
      <alignment horizontal="center"/>
    </xf>
    <xf numFmtId="191" fontId="63" fillId="0" borderId="8" xfId="13" applyNumberFormat="1" applyFont="1" applyBorder="1" applyAlignment="1">
      <alignment horizontal="center"/>
    </xf>
    <xf numFmtId="167" fontId="63" fillId="18" borderId="7" xfId="1" applyNumberFormat="1" applyFont="1" applyFill="1" applyBorder="1" applyAlignment="1">
      <alignment horizontal="center"/>
    </xf>
    <xf numFmtId="167" fontId="63" fillId="0" borderId="1" xfId="1" applyNumberFormat="1" applyFont="1" applyBorder="1" applyAlignment="1">
      <alignment horizontal="center"/>
    </xf>
    <xf numFmtId="167" fontId="63" fillId="0" borderId="8" xfId="1" applyNumberFormat="1" applyFont="1" applyBorder="1" applyAlignment="1">
      <alignment horizontal="center"/>
    </xf>
    <xf numFmtId="44" fontId="63" fillId="0" borderId="0" xfId="0" applyNumberFormat="1" applyFont="1"/>
    <xf numFmtId="187" fontId="63" fillId="18" borderId="16" xfId="13" applyNumberFormat="1" applyFont="1" applyFill="1" applyBorder="1" applyAlignment="1">
      <alignment horizontal="center"/>
    </xf>
    <xf numFmtId="0" fontId="63" fillId="0" borderId="3" xfId="2" applyFont="1" applyBorder="1"/>
    <xf numFmtId="187" fontId="63" fillId="0" borderId="0" xfId="13" applyNumberFormat="1" applyFont="1" applyAlignment="1">
      <alignment horizontal="center"/>
    </xf>
    <xf numFmtId="191" fontId="63" fillId="0" borderId="0" xfId="13" applyNumberFormat="1" applyFont="1" applyAlignment="1">
      <alignment horizontal="center"/>
    </xf>
    <xf numFmtId="167" fontId="63" fillId="0" borderId="0" xfId="1" applyNumberFormat="1" applyFont="1" applyAlignment="1">
      <alignment horizontal="center"/>
    </xf>
    <xf numFmtId="9" fontId="63" fillId="0" borderId="0" xfId="1" applyFont="1"/>
    <xf numFmtId="37" fontId="63" fillId="18" borderId="15" xfId="2" applyNumberFormat="1" applyFont="1" applyFill="1" applyBorder="1"/>
    <xf numFmtId="37" fontId="63" fillId="18" borderId="4" xfId="2" applyNumberFormat="1" applyFont="1" applyFill="1" applyBorder="1"/>
    <xf numFmtId="0" fontId="67" fillId="0" borderId="1" xfId="2" applyFont="1" applyBorder="1"/>
    <xf numFmtId="0" fontId="63" fillId="0" borderId="1" xfId="2" applyFont="1" applyBorder="1"/>
    <xf numFmtId="37" fontId="63" fillId="18" borderId="16" xfId="2" applyNumberFormat="1" applyFont="1" applyFill="1" applyBorder="1"/>
    <xf numFmtId="37" fontId="63" fillId="18" borderId="8" xfId="2" applyNumberFormat="1" applyFont="1" applyFill="1" applyBorder="1"/>
    <xf numFmtId="0" fontId="67" fillId="0" borderId="3" xfId="2" applyFont="1" applyBorder="1"/>
    <xf numFmtId="195" fontId="63" fillId="18" borderId="7" xfId="1" applyNumberFormat="1" applyFont="1" applyFill="1" applyBorder="1" applyAlignment="1">
      <alignment horizontal="center"/>
    </xf>
    <xf numFmtId="195" fontId="63" fillId="0" borderId="1" xfId="1" applyNumberFormat="1" applyFont="1" applyBorder="1" applyAlignment="1">
      <alignment horizontal="center"/>
    </xf>
    <xf numFmtId="195" fontId="63" fillId="0" borderId="8" xfId="1" applyNumberFormat="1" applyFont="1" applyBorder="1" applyAlignment="1">
      <alignment horizontal="center"/>
    </xf>
    <xf numFmtId="0" fontId="63" fillId="0" borderId="0" xfId="2" quotePrefix="1" applyFont="1" applyAlignment="1">
      <alignment horizontal="left"/>
    </xf>
    <xf numFmtId="10" fontId="63" fillId="18" borderId="5" xfId="1" applyNumberFormat="1" applyFont="1" applyFill="1" applyBorder="1" applyAlignment="1">
      <alignment horizontal="center"/>
    </xf>
    <xf numFmtId="10" fontId="63" fillId="0" borderId="6" xfId="1" applyNumberFormat="1" applyFont="1" applyBorder="1" applyAlignment="1">
      <alignment horizontal="center"/>
    </xf>
    <xf numFmtId="10" fontId="63" fillId="18" borderId="7" xfId="1" applyNumberFormat="1" applyFont="1" applyFill="1" applyBorder="1" applyAlignment="1">
      <alignment horizontal="center"/>
    </xf>
    <xf numFmtId="10" fontId="63" fillId="0" borderId="8" xfId="1" applyNumberFormat="1" applyFont="1" applyBorder="1" applyAlignment="1">
      <alignment horizontal="center"/>
    </xf>
    <xf numFmtId="0" fontId="63" fillId="18" borderId="17" xfId="2" applyFont="1" applyFill="1" applyBorder="1"/>
    <xf numFmtId="0" fontId="63" fillId="18" borderId="6" xfId="2" applyFont="1" applyFill="1" applyBorder="1"/>
    <xf numFmtId="0" fontId="63" fillId="0" borderId="0" xfId="2" quotePrefix="1" applyFont="1" applyAlignment="1">
      <alignment horizontal="left" wrapText="1"/>
    </xf>
    <xf numFmtId="174" fontId="63" fillId="18" borderId="17" xfId="6" applyNumberFormat="1" applyFont="1" applyFill="1" applyBorder="1"/>
    <xf numFmtId="174" fontId="63" fillId="18" borderId="6" xfId="6" applyNumberFormat="1" applyFont="1" applyFill="1" applyBorder="1"/>
    <xf numFmtId="0" fontId="63" fillId="0" borderId="14" xfId="2" quotePrefix="1" applyFont="1" applyBorder="1" applyAlignment="1">
      <alignment horizontal="left"/>
    </xf>
    <xf numFmtId="0" fontId="63" fillId="0" borderId="14" xfId="2" applyFont="1" applyBorder="1"/>
    <xf numFmtId="187" fontId="63" fillId="18" borderId="72" xfId="13" applyNumberFormat="1" applyFont="1" applyFill="1" applyBorder="1" applyAlignment="1">
      <alignment horizontal="center"/>
    </xf>
    <xf numFmtId="187" fontId="63" fillId="0" borderId="14" xfId="13" applyNumberFormat="1" applyFont="1" applyBorder="1" applyAlignment="1">
      <alignment horizontal="center"/>
    </xf>
    <xf numFmtId="187" fontId="63" fillId="0" borderId="73" xfId="13" applyNumberFormat="1" applyFont="1" applyBorder="1" applyAlignment="1">
      <alignment horizontal="center"/>
    </xf>
    <xf numFmtId="0" fontId="63" fillId="0" borderId="14" xfId="0" applyFont="1" applyBorder="1" applyAlignment="1">
      <alignment horizontal="center"/>
    </xf>
    <xf numFmtId="191" fontId="63" fillId="18" borderId="72" xfId="13" applyNumberFormat="1" applyFont="1" applyFill="1" applyBorder="1" applyAlignment="1">
      <alignment horizontal="center"/>
    </xf>
    <xf numFmtId="191" fontId="63" fillId="0" borderId="14" xfId="13" applyNumberFormat="1" applyFont="1" applyBorder="1" applyAlignment="1">
      <alignment horizontal="center"/>
    </xf>
    <xf numFmtId="191" fontId="63" fillId="0" borderId="73" xfId="13" applyNumberFormat="1" applyFont="1" applyBorder="1" applyAlignment="1">
      <alignment horizontal="center"/>
    </xf>
    <xf numFmtId="167" fontId="63" fillId="18" borderId="72" xfId="1" applyNumberFormat="1" applyFont="1" applyFill="1" applyBorder="1" applyAlignment="1">
      <alignment horizontal="center"/>
    </xf>
    <xf numFmtId="167" fontId="63" fillId="0" borderId="14" xfId="1" applyNumberFormat="1" applyFont="1" applyBorder="1" applyAlignment="1">
      <alignment horizontal="center"/>
    </xf>
    <xf numFmtId="167" fontId="63" fillId="0" borderId="73" xfId="1" applyNumberFormat="1" applyFont="1" applyBorder="1" applyAlignment="1">
      <alignment horizontal="center"/>
    </xf>
    <xf numFmtId="187" fontId="63" fillId="18" borderId="80" xfId="13" applyNumberFormat="1" applyFont="1" applyFill="1" applyBorder="1" applyAlignment="1">
      <alignment horizontal="center"/>
    </xf>
    <xf numFmtId="37" fontId="66" fillId="18" borderId="80" xfId="2" applyNumberFormat="1" applyFont="1" applyFill="1" applyBorder="1"/>
    <xf numFmtId="37" fontId="66" fillId="18" borderId="73" xfId="2" applyNumberFormat="1" applyFont="1" applyFill="1" applyBorder="1"/>
    <xf numFmtId="187" fontId="63" fillId="0" borderId="0" xfId="0" applyNumberFormat="1" applyFont="1" applyAlignment="1">
      <alignment horizontal="center"/>
    </xf>
    <xf numFmtId="0" fontId="68" fillId="19" borderId="0" xfId="0" applyFont="1" applyFill="1"/>
    <xf numFmtId="0" fontId="63" fillId="18" borderId="15" xfId="0" applyFont="1" applyFill="1" applyBorder="1" applyAlignment="1">
      <alignment horizontal="center"/>
    </xf>
    <xf numFmtId="167" fontId="63" fillId="0" borderId="6" xfId="1" applyNumberFormat="1" applyFont="1" applyFill="1" applyBorder="1" applyAlignment="1">
      <alignment horizontal="center"/>
    </xf>
    <xf numFmtId="167" fontId="63" fillId="0" borderId="8" xfId="1" applyNumberFormat="1" applyFont="1" applyFill="1" applyBorder="1" applyAlignment="1">
      <alignment horizontal="center"/>
    </xf>
    <xf numFmtId="0" fontId="63" fillId="0" borderId="0" xfId="2" applyFont="1" applyProtection="1">
      <protection locked="0"/>
    </xf>
    <xf numFmtId="0" fontId="63" fillId="0" borderId="0" xfId="2" applyFont="1" applyAlignment="1" applyProtection="1">
      <alignment horizontal="left"/>
      <protection locked="0"/>
    </xf>
    <xf numFmtId="0" fontId="67" fillId="0" borderId="2" xfId="2" applyFont="1" applyBorder="1" applyAlignment="1" applyProtection="1">
      <alignment horizontal="right"/>
      <protection locked="0"/>
    </xf>
    <xf numFmtId="0" fontId="63" fillId="0" borderId="4" xfId="4" applyFont="1" applyBorder="1" applyProtection="1">
      <protection locked="0"/>
    </xf>
    <xf numFmtId="0" fontId="63" fillId="18" borderId="12" xfId="2" applyFont="1" applyFill="1" applyBorder="1" applyProtection="1">
      <protection locked="0"/>
    </xf>
    <xf numFmtId="168" fontId="63" fillId="0" borderId="0" xfId="2" applyNumberFormat="1" applyFont="1" applyProtection="1">
      <protection locked="0"/>
    </xf>
    <xf numFmtId="0" fontId="67" fillId="0" borderId="5" xfId="2" applyFont="1" applyBorder="1" applyAlignment="1" applyProtection="1">
      <alignment horizontal="right"/>
      <protection locked="0"/>
    </xf>
    <xf numFmtId="0" fontId="63" fillId="0" borderId="6" xfId="4" applyFont="1" applyBorder="1" applyProtection="1">
      <protection locked="0"/>
    </xf>
    <xf numFmtId="0" fontId="69" fillId="18" borderId="12" xfId="4" applyFont="1" applyFill="1" applyBorder="1" applyProtection="1">
      <protection locked="0"/>
    </xf>
    <xf numFmtId="168" fontId="70" fillId="0" borderId="0" xfId="4" applyNumberFormat="1" applyFont="1" applyProtection="1">
      <protection locked="0"/>
    </xf>
    <xf numFmtId="169" fontId="70" fillId="0" borderId="0" xfId="4" applyNumberFormat="1" applyFont="1" applyProtection="1">
      <protection locked="0"/>
    </xf>
    <xf numFmtId="0" fontId="67" fillId="0" borderId="7" xfId="2" applyFont="1" applyBorder="1" applyAlignment="1" applyProtection="1">
      <alignment horizontal="right"/>
      <protection locked="0"/>
    </xf>
    <xf numFmtId="0" fontId="63" fillId="0" borderId="8" xfId="4" applyFont="1" applyBorder="1" applyProtection="1">
      <protection locked="0"/>
    </xf>
    <xf numFmtId="0" fontId="70" fillId="0" borderId="0" xfId="4" applyFont="1" applyProtection="1">
      <protection locked="0"/>
    </xf>
    <xf numFmtId="0" fontId="70" fillId="0" borderId="0" xfId="4" applyFont="1" applyAlignment="1" applyProtection="1">
      <alignment horizontal="center"/>
      <protection locked="0"/>
    </xf>
    <xf numFmtId="7" fontId="70" fillId="0" borderId="0" xfId="4" applyNumberFormat="1" applyFont="1" applyAlignment="1" applyProtection="1">
      <alignment horizontal="center"/>
      <protection locked="0"/>
    </xf>
    <xf numFmtId="0" fontId="66" fillId="0" borderId="0" xfId="2" applyFont="1" applyProtection="1">
      <protection locked="0"/>
    </xf>
    <xf numFmtId="0" fontId="70" fillId="0" borderId="1" xfId="4" applyFont="1" applyBorder="1" applyProtection="1">
      <protection locked="0"/>
    </xf>
    <xf numFmtId="0" fontId="70" fillId="18" borderId="1" xfId="4" applyFont="1" applyFill="1" applyBorder="1" applyAlignment="1" applyProtection="1">
      <alignment horizontal="center" wrapText="1"/>
      <protection locked="0"/>
    </xf>
    <xf numFmtId="0" fontId="70" fillId="0" borderId="1" xfId="4" applyFont="1" applyBorder="1" applyAlignment="1" applyProtection="1">
      <alignment horizontal="center" wrapText="1"/>
      <protection locked="0"/>
    </xf>
    <xf numFmtId="0" fontId="70" fillId="0" borderId="1" xfId="4" applyFont="1" applyBorder="1" applyAlignment="1" applyProtection="1">
      <alignment horizontal="center"/>
      <protection locked="0"/>
    </xf>
    <xf numFmtId="0" fontId="65" fillId="0" borderId="0" xfId="2" applyFont="1" applyProtection="1">
      <protection locked="0"/>
    </xf>
    <xf numFmtId="0" fontId="69" fillId="0" borderId="0" xfId="4" applyFont="1" applyProtection="1">
      <protection locked="0"/>
    </xf>
    <xf numFmtId="0" fontId="69" fillId="18" borderId="0" xfId="4" applyFont="1" applyFill="1" applyProtection="1">
      <protection locked="0"/>
    </xf>
    <xf numFmtId="0" fontId="71" fillId="0" borderId="0" xfId="4" applyFont="1" applyProtection="1">
      <protection locked="0"/>
    </xf>
    <xf numFmtId="171" fontId="69" fillId="18" borderId="0" xfId="4" applyNumberFormat="1" applyFont="1" applyFill="1" applyProtection="1">
      <protection locked="0"/>
    </xf>
    <xf numFmtId="171" fontId="69" fillId="0" borderId="0" xfId="4" applyNumberFormat="1" applyFont="1" applyProtection="1">
      <protection locked="0"/>
    </xf>
    <xf numFmtId="9" fontId="61" fillId="0" borderId="0" xfId="1" applyFont="1"/>
    <xf numFmtId="168" fontId="69" fillId="18" borderId="0" xfId="4" applyNumberFormat="1" applyFont="1" applyFill="1" applyProtection="1">
      <protection locked="0"/>
    </xf>
    <xf numFmtId="168" fontId="69" fillId="0" borderId="0" xfId="4" applyNumberFormat="1" applyFont="1" applyProtection="1">
      <protection locked="0"/>
    </xf>
    <xf numFmtId="0" fontId="69" fillId="0" borderId="0" xfId="4" applyFont="1" applyAlignment="1" applyProtection="1">
      <alignment horizontal="left" indent="2"/>
      <protection locked="0"/>
    </xf>
    <xf numFmtId="164" fontId="69" fillId="18" borderId="0" xfId="4" applyNumberFormat="1" applyFont="1" applyFill="1" applyProtection="1">
      <protection locked="0"/>
    </xf>
    <xf numFmtId="164" fontId="69" fillId="0" borderId="0" xfId="4" applyNumberFormat="1" applyFont="1" applyProtection="1">
      <protection locked="0"/>
    </xf>
    <xf numFmtId="166" fontId="69" fillId="0" borderId="0" xfId="4" applyNumberFormat="1" applyFont="1" applyProtection="1">
      <protection locked="0"/>
    </xf>
    <xf numFmtId="0" fontId="69" fillId="0" borderId="14" xfId="4" applyFont="1" applyBorder="1" applyAlignment="1" applyProtection="1">
      <alignment horizontal="left"/>
      <protection locked="0"/>
    </xf>
    <xf numFmtId="0" fontId="69" fillId="0" borderId="14" xfId="4" applyFont="1" applyBorder="1" applyProtection="1">
      <protection locked="0"/>
    </xf>
    <xf numFmtId="166" fontId="69" fillId="18" borderId="14" xfId="4" applyNumberFormat="1" applyFont="1" applyFill="1" applyBorder="1" applyProtection="1">
      <protection locked="0"/>
    </xf>
    <xf numFmtId="168" fontId="69" fillId="0" borderId="14" xfId="4" applyNumberFormat="1" applyFont="1" applyBorder="1" applyProtection="1">
      <protection locked="0"/>
    </xf>
    <xf numFmtId="166" fontId="69" fillId="0" borderId="14" xfId="4" applyNumberFormat="1" applyFont="1" applyBorder="1" applyProtection="1">
      <protection locked="0"/>
    </xf>
    <xf numFmtId="0" fontId="69" fillId="0" borderId="0" xfId="4" applyFont="1"/>
    <xf numFmtId="0" fontId="71" fillId="0" borderId="0" xfId="4" applyFont="1"/>
    <xf numFmtId="0" fontId="69" fillId="18" borderId="0" xfId="4" applyFont="1" applyFill="1"/>
    <xf numFmtId="171" fontId="69" fillId="18" borderId="0" xfId="4" applyNumberFormat="1" applyFont="1" applyFill="1"/>
    <xf numFmtId="168" fontId="69" fillId="18" borderId="0" xfId="4" applyNumberFormat="1" applyFont="1" applyFill="1"/>
    <xf numFmtId="168" fontId="69" fillId="0" borderId="0" xfId="4" applyNumberFormat="1" applyFont="1"/>
    <xf numFmtId="0" fontId="69" fillId="0" borderId="0" xfId="4" applyFont="1" applyAlignment="1">
      <alignment horizontal="left" indent="2"/>
    </xf>
    <xf numFmtId="164" fontId="69" fillId="18" borderId="0" xfId="4" applyNumberFormat="1" applyFont="1" applyFill="1"/>
    <xf numFmtId="166" fontId="69" fillId="0" borderId="0" xfId="4" applyNumberFormat="1" applyFont="1"/>
    <xf numFmtId="0" fontId="69" fillId="0" borderId="14" xfId="4" applyFont="1" applyBorder="1" applyAlignment="1">
      <alignment horizontal="left"/>
    </xf>
    <xf numFmtId="0" fontId="69" fillId="0" borderId="14" xfId="4" applyFont="1" applyBorder="1"/>
    <xf numFmtId="166" fontId="69" fillId="18" borderId="14" xfId="4" applyNumberFormat="1" applyFont="1" applyFill="1" applyBorder="1"/>
    <xf numFmtId="168" fontId="69" fillId="0" borderId="14" xfId="4" applyNumberFormat="1" applyFont="1" applyBorder="1"/>
    <xf numFmtId="166" fontId="69" fillId="0" borderId="14" xfId="4" applyNumberFormat="1" applyFont="1" applyBorder="1"/>
    <xf numFmtId="0" fontId="65" fillId="0" borderId="0" xfId="2" applyFont="1"/>
    <xf numFmtId="171" fontId="69" fillId="0" borderId="0" xfId="4" applyNumberFormat="1" applyFont="1"/>
    <xf numFmtId="164" fontId="69" fillId="0" borderId="0" xfId="4" applyNumberFormat="1" applyFont="1"/>
    <xf numFmtId="0" fontId="69" fillId="0" borderId="0" xfId="4" applyFont="1" applyAlignment="1" applyProtection="1">
      <alignment horizontal="left"/>
      <protection locked="0"/>
    </xf>
    <xf numFmtId="166" fontId="69" fillId="18" borderId="0" xfId="4" applyNumberFormat="1" applyFont="1" applyFill="1" applyProtection="1">
      <protection locked="0"/>
    </xf>
    <xf numFmtId="7" fontId="69" fillId="18" borderId="0" xfId="4" applyNumberFormat="1" applyFont="1" applyFill="1" applyProtection="1">
      <protection locked="0"/>
    </xf>
    <xf numFmtId="7" fontId="69" fillId="0" borderId="0" xfId="4" applyNumberFormat="1" applyFont="1" applyProtection="1">
      <protection locked="0"/>
    </xf>
    <xf numFmtId="7" fontId="69" fillId="18" borderId="0" xfId="4" applyNumberFormat="1" applyFont="1" applyFill="1"/>
    <xf numFmtId="7" fontId="69" fillId="0" borderId="0" xfId="4" applyNumberFormat="1" applyFont="1"/>
    <xf numFmtId="169" fontId="69" fillId="18" borderId="0" xfId="4" applyNumberFormat="1" applyFont="1" applyFill="1"/>
    <xf numFmtId="169" fontId="69" fillId="0" borderId="0" xfId="4" applyNumberFormat="1" applyFont="1" applyProtection="1">
      <protection locked="0"/>
    </xf>
    <xf numFmtId="8" fontId="69" fillId="18" borderId="0" xfId="4" applyNumberFormat="1" applyFont="1" applyFill="1" applyProtection="1">
      <protection locked="0"/>
    </xf>
    <xf numFmtId="0" fontId="63" fillId="0" borderId="0" xfId="4" applyFont="1" applyProtection="1">
      <protection locked="0"/>
    </xf>
    <xf numFmtId="0" fontId="63" fillId="0" borderId="0" xfId="4" applyFont="1" applyAlignment="1" applyProtection="1">
      <alignment horizontal="center"/>
      <protection locked="0"/>
    </xf>
    <xf numFmtId="0" fontId="63" fillId="0" borderId="0" xfId="4" applyFont="1" applyAlignment="1" applyProtection="1">
      <alignment horizontal="centerContinuous"/>
      <protection locked="0"/>
    </xf>
    <xf numFmtId="0" fontId="67" fillId="0" borderId="0" xfId="4" applyFont="1" applyProtection="1">
      <protection locked="0"/>
    </xf>
    <xf numFmtId="0" fontId="67" fillId="0" borderId="0" xfId="4" applyFont="1" applyAlignment="1" applyProtection="1">
      <alignment horizontal="center"/>
      <protection locked="0"/>
    </xf>
    <xf numFmtId="0" fontId="67" fillId="0" borderId="1" xfId="4" applyFont="1" applyBorder="1" applyProtection="1">
      <protection locked="0"/>
    </xf>
    <xf numFmtId="0" fontId="67" fillId="0" borderId="1" xfId="4" applyFont="1" applyBorder="1" applyAlignment="1" applyProtection="1">
      <alignment horizontal="center"/>
      <protection locked="0"/>
    </xf>
    <xf numFmtId="0" fontId="63" fillId="18" borderId="0" xfId="4" applyFont="1" applyFill="1" applyAlignment="1" applyProtection="1">
      <alignment horizontal="center"/>
      <protection locked="0"/>
    </xf>
    <xf numFmtId="0" fontId="69" fillId="0" borderId="0" xfId="4" applyFont="1" applyAlignment="1" applyProtection="1">
      <alignment horizontal="left" indent="4"/>
      <protection locked="0"/>
    </xf>
    <xf numFmtId="0" fontId="69" fillId="0" borderId="0" xfId="4" applyFont="1" applyAlignment="1" applyProtection="1">
      <alignment horizontal="left" indent="6"/>
      <protection locked="0"/>
    </xf>
    <xf numFmtId="169" fontId="69" fillId="18" borderId="0" xfId="4" applyNumberFormat="1" applyFont="1" applyFill="1" applyProtection="1">
      <protection locked="0"/>
    </xf>
    <xf numFmtId="0" fontId="69" fillId="0" borderId="13" xfId="4" applyFont="1" applyBorder="1" applyAlignment="1" applyProtection="1">
      <alignment horizontal="left" indent="6"/>
      <protection locked="0"/>
    </xf>
    <xf numFmtId="166" fontId="69" fillId="18" borderId="13" xfId="4" applyNumberFormat="1" applyFont="1" applyFill="1" applyBorder="1" applyProtection="1">
      <protection locked="0"/>
    </xf>
    <xf numFmtId="166" fontId="69" fillId="0" borderId="13" xfId="4" applyNumberFormat="1" applyFont="1" applyBorder="1" applyProtection="1">
      <protection locked="0"/>
    </xf>
    <xf numFmtId="0" fontId="69" fillId="0" borderId="13" xfId="4" applyFont="1" applyBorder="1" applyAlignment="1" applyProtection="1">
      <alignment horizontal="left"/>
      <protection locked="0"/>
    </xf>
    <xf numFmtId="0" fontId="63" fillId="18" borderId="0" xfId="4" applyFont="1" applyFill="1" applyProtection="1">
      <protection locked="0"/>
    </xf>
    <xf numFmtId="0" fontId="72" fillId="0" borderId="0" xfId="4" applyFont="1" applyProtection="1">
      <protection locked="0"/>
    </xf>
    <xf numFmtId="0" fontId="72" fillId="0" borderId="0" xfId="4" applyFont="1" applyAlignment="1" applyProtection="1">
      <alignment horizontal="left" indent="1"/>
      <protection locked="0"/>
    </xf>
    <xf numFmtId="0" fontId="63" fillId="0" borderId="0" xfId="4" applyFont="1" applyAlignment="1" applyProtection="1">
      <alignment horizontal="left" indent="2"/>
      <protection locked="0"/>
    </xf>
    <xf numFmtId="0" fontId="63" fillId="0" borderId="0" xfId="4" applyFont="1" applyAlignment="1" applyProtection="1">
      <alignment horizontal="left" indent="4"/>
      <protection locked="0"/>
    </xf>
    <xf numFmtId="0" fontId="63" fillId="0" borderId="0" xfId="4" applyFont="1" applyAlignment="1" applyProtection="1">
      <alignment horizontal="left" indent="6"/>
      <protection locked="0"/>
    </xf>
    <xf numFmtId="8" fontId="63" fillId="18" borderId="0" xfId="4" applyNumberFormat="1" applyFont="1" applyFill="1" applyAlignment="1" applyProtection="1">
      <alignment horizontal="right"/>
      <protection locked="0"/>
    </xf>
    <xf numFmtId="8" fontId="63" fillId="0" borderId="0" xfId="4" applyNumberFormat="1" applyFont="1" applyAlignment="1" applyProtection="1">
      <alignment horizontal="right"/>
      <protection locked="0"/>
    </xf>
    <xf numFmtId="0" fontId="63" fillId="0" borderId="0" xfId="4" applyFont="1" applyAlignment="1" applyProtection="1">
      <alignment horizontal="left" indent="5"/>
      <protection locked="0"/>
    </xf>
    <xf numFmtId="0" fontId="63" fillId="0" borderId="0" xfId="4" applyFont="1" applyAlignment="1" applyProtection="1">
      <alignment horizontal="left"/>
      <protection locked="0"/>
    </xf>
    <xf numFmtId="7" fontId="63" fillId="18" borderId="0" xfId="4" applyNumberFormat="1" applyFont="1" applyFill="1" applyProtection="1">
      <protection locked="0"/>
    </xf>
    <xf numFmtId="7" fontId="63" fillId="0" borderId="0" xfId="4" applyNumberFormat="1" applyFont="1" applyProtection="1">
      <protection locked="0"/>
    </xf>
    <xf numFmtId="0" fontId="63" fillId="0" borderId="14" xfId="4" applyFont="1" applyBorder="1" applyProtection="1">
      <protection locked="0"/>
    </xf>
    <xf numFmtId="0" fontId="63" fillId="0" borderId="14" xfId="4" applyFont="1" applyBorder="1" applyAlignment="1" applyProtection="1">
      <alignment horizontal="left" indent="1"/>
      <protection locked="0"/>
    </xf>
    <xf numFmtId="7" fontId="63" fillId="18" borderId="14" xfId="4" applyNumberFormat="1" applyFont="1" applyFill="1" applyBorder="1" applyProtection="1">
      <protection locked="0"/>
    </xf>
    <xf numFmtId="7" fontId="63" fillId="0" borderId="14" xfId="4" applyNumberFormat="1" applyFont="1" applyBorder="1" applyProtection="1">
      <protection locked="0"/>
    </xf>
    <xf numFmtId="0" fontId="72" fillId="0" borderId="0" xfId="4" applyFont="1" applyAlignment="1" applyProtection="1">
      <alignment horizontal="left"/>
      <protection locked="0"/>
    </xf>
    <xf numFmtId="166" fontId="63" fillId="18" borderId="0" xfId="4" applyNumberFormat="1" applyFont="1" applyFill="1" applyProtection="1">
      <protection locked="0"/>
    </xf>
    <xf numFmtId="166" fontId="63" fillId="0" borderId="0" xfId="4" applyNumberFormat="1" applyFont="1" applyProtection="1">
      <protection locked="0"/>
    </xf>
    <xf numFmtId="168" fontId="63" fillId="18" borderId="0" xfId="4" applyNumberFormat="1" applyFont="1" applyFill="1" applyProtection="1">
      <protection locked="0"/>
    </xf>
    <xf numFmtId="168" fontId="63" fillId="0" borderId="0" xfId="4" applyNumberFormat="1" applyFont="1" applyProtection="1">
      <protection locked="0"/>
    </xf>
    <xf numFmtId="0" fontId="63" fillId="0" borderId="0" xfId="4" applyFont="1" applyAlignment="1" applyProtection="1">
      <alignment wrapText="1"/>
      <protection locked="0"/>
    </xf>
    <xf numFmtId="0" fontId="63" fillId="18" borderId="16" xfId="2" applyFont="1" applyFill="1" applyBorder="1" applyProtection="1">
      <protection locked="0"/>
    </xf>
    <xf numFmtId="0" fontId="67" fillId="7" borderId="9" xfId="2" applyFont="1" applyFill="1" applyBorder="1"/>
    <xf numFmtId="175" fontId="63" fillId="18" borderId="9" xfId="2" applyNumberFormat="1" applyFont="1" applyFill="1" applyBorder="1"/>
    <xf numFmtId="0" fontId="63" fillId="0" borderId="1" xfId="2" applyFont="1" applyBorder="1" applyProtection="1">
      <protection locked="0"/>
    </xf>
    <xf numFmtId="0" fontId="67" fillId="0" borderId="2" xfId="2" applyFont="1" applyBorder="1" applyAlignment="1">
      <alignment horizontal="center"/>
    </xf>
    <xf numFmtId="0" fontId="67" fillId="0" borderId="4" xfId="2" applyFont="1" applyBorder="1" applyAlignment="1">
      <alignment horizontal="center"/>
    </xf>
    <xf numFmtId="0" fontId="67" fillId="0" borderId="2" xfId="2" applyFont="1" applyBorder="1"/>
    <xf numFmtId="0" fontId="67" fillId="0" borderId="3" xfId="2" applyFont="1" applyBorder="1" applyAlignment="1">
      <alignment horizontal="center"/>
    </xf>
    <xf numFmtId="0" fontId="67" fillId="0" borderId="1" xfId="2" applyFont="1" applyBorder="1" applyAlignment="1">
      <alignment horizontal="center"/>
    </xf>
    <xf numFmtId="0" fontId="67" fillId="0" borderId="7" xfId="2" applyFont="1" applyBorder="1" applyAlignment="1">
      <alignment horizontal="center"/>
    </xf>
    <xf numFmtId="0" fontId="67" fillId="0" borderId="8" xfId="2" applyFont="1" applyBorder="1" applyAlignment="1">
      <alignment horizontal="center"/>
    </xf>
    <xf numFmtId="0" fontId="67" fillId="0" borderId="9" xfId="2" applyFont="1" applyBorder="1" applyAlignment="1">
      <alignment horizontal="center" wrapText="1"/>
    </xf>
    <xf numFmtId="0" fontId="67" fillId="7" borderId="9" xfId="2" applyFont="1" applyFill="1" applyBorder="1" applyAlignment="1">
      <alignment horizontal="center" wrapText="1"/>
    </xf>
    <xf numFmtId="0" fontId="67" fillId="22" borderId="9" xfId="2" applyFont="1" applyFill="1" applyBorder="1" applyAlignment="1">
      <alignment horizontal="center" wrapText="1"/>
    </xf>
    <xf numFmtId="0" fontId="67" fillId="15" borderId="9" xfId="2" applyFont="1" applyFill="1" applyBorder="1" applyAlignment="1" applyProtection="1">
      <alignment wrapText="1"/>
      <protection locked="0"/>
    </xf>
    <xf numFmtId="0" fontId="63" fillId="0" borderId="5" xfId="2" applyFont="1" applyBorder="1"/>
    <xf numFmtId="0" fontId="63" fillId="0" borderId="6" xfId="2" applyFont="1" applyBorder="1"/>
    <xf numFmtId="37" fontId="63" fillId="0" borderId="5" xfId="2" applyNumberFormat="1" applyFont="1" applyBorder="1"/>
    <xf numFmtId="175" fontId="63" fillId="0" borderId="6" xfId="2" applyNumberFormat="1" applyFont="1" applyBorder="1"/>
    <xf numFmtId="175" fontId="63" fillId="0" borderId="5" xfId="2" applyNumberFormat="1" applyFont="1" applyBorder="1"/>
    <xf numFmtId="5" fontId="63" fillId="0" borderId="0" xfId="2" applyNumberFormat="1" applyFont="1"/>
    <xf numFmtId="10" fontId="63" fillId="0" borderId="6" xfId="5" applyNumberFormat="1" applyFont="1" applyFill="1" applyBorder="1"/>
    <xf numFmtId="167" fontId="63" fillId="0" borderId="5" xfId="1" applyNumberFormat="1" applyFont="1" applyBorder="1"/>
    <xf numFmtId="187" fontId="63" fillId="0" borderId="0" xfId="13" applyNumberFormat="1" applyFont="1" applyBorder="1"/>
    <xf numFmtId="9" fontId="63" fillId="0" borderId="6" xfId="1" applyFont="1" applyBorder="1"/>
    <xf numFmtId="167" fontId="63" fillId="18" borderId="5" xfId="1" applyNumberFormat="1" applyFont="1" applyFill="1" applyBorder="1"/>
    <xf numFmtId="175" fontId="63" fillId="4" borderId="6" xfId="2" applyNumberFormat="1" applyFont="1" applyFill="1" applyBorder="1"/>
    <xf numFmtId="167" fontId="63" fillId="15" borderId="5" xfId="1" applyNumberFormat="1" applyFont="1" applyFill="1" applyBorder="1"/>
    <xf numFmtId="10" fontId="63" fillId="15" borderId="0" xfId="1" applyNumberFormat="1" applyFont="1" applyFill="1" applyBorder="1"/>
    <xf numFmtId="10" fontId="63" fillId="15" borderId="6" xfId="1" applyNumberFormat="1" applyFont="1" applyFill="1" applyBorder="1"/>
    <xf numFmtId="0" fontId="63" fillId="26" borderId="0" xfId="2" applyFont="1" applyFill="1" applyAlignment="1">
      <alignment horizontal="right"/>
    </xf>
    <xf numFmtId="175" fontId="63" fillId="26" borderId="82" xfId="2" applyNumberFormat="1" applyFont="1" applyFill="1" applyBorder="1"/>
    <xf numFmtId="175" fontId="63" fillId="26" borderId="0" xfId="2" applyNumberFormat="1" applyFont="1" applyFill="1"/>
    <xf numFmtId="167" fontId="63" fillId="26" borderId="0" xfId="1" applyNumberFormat="1" applyFont="1" applyFill="1"/>
    <xf numFmtId="175" fontId="63" fillId="4" borderId="6" xfId="1" applyNumberFormat="1" applyFont="1" applyFill="1" applyBorder="1"/>
    <xf numFmtId="0" fontId="63" fillId="26" borderId="0" xfId="2" applyFont="1" applyFill="1"/>
    <xf numFmtId="175" fontId="63" fillId="26" borderId="83" xfId="1" applyNumberFormat="1" applyFont="1" applyFill="1" applyBorder="1"/>
    <xf numFmtId="175" fontId="63" fillId="26" borderId="0" xfId="1" applyNumberFormat="1" applyFont="1" applyFill="1"/>
    <xf numFmtId="175" fontId="63" fillId="15" borderId="5" xfId="2" applyNumberFormat="1" applyFont="1" applyFill="1" applyBorder="1"/>
    <xf numFmtId="167" fontId="63" fillId="0" borderId="5" xfId="1" applyNumberFormat="1" applyFont="1" applyFill="1" applyBorder="1"/>
    <xf numFmtId="187" fontId="63" fillId="0" borderId="0" xfId="13" applyNumberFormat="1" applyFont="1" applyFill="1" applyBorder="1"/>
    <xf numFmtId="9" fontId="63" fillId="0" borderId="6" xfId="1" applyFont="1" applyFill="1" applyBorder="1"/>
    <xf numFmtId="167" fontId="63" fillId="15" borderId="0" xfId="1" applyNumberFormat="1" applyFont="1" applyFill="1" applyBorder="1"/>
    <xf numFmtId="167" fontId="63" fillId="15" borderId="6" xfId="1" applyNumberFormat="1" applyFont="1" applyFill="1" applyBorder="1"/>
    <xf numFmtId="37" fontId="63" fillId="0" borderId="2" xfId="2" applyNumberFormat="1" applyFont="1" applyBorder="1"/>
    <xf numFmtId="175" fontId="63" fillId="0" borderId="4" xfId="2" applyNumberFormat="1" applyFont="1" applyBorder="1"/>
    <xf numFmtId="175" fontId="63" fillId="0" borderId="2" xfId="2" applyNumberFormat="1" applyFont="1" applyBorder="1"/>
    <xf numFmtId="5" fontId="63" fillId="0" borderId="3" xfId="2" applyNumberFormat="1" applyFont="1" applyBorder="1"/>
    <xf numFmtId="10" fontId="63" fillId="0" borderId="4" xfId="5" applyNumberFormat="1" applyFont="1" applyFill="1" applyBorder="1"/>
    <xf numFmtId="167" fontId="63" fillId="0" borderId="2" xfId="1" applyNumberFormat="1" applyFont="1" applyBorder="1"/>
    <xf numFmtId="187" fontId="63" fillId="0" borderId="3" xfId="13" applyNumberFormat="1" applyFont="1" applyBorder="1"/>
    <xf numFmtId="9" fontId="63" fillId="0" borderId="4" xfId="1" applyFont="1" applyBorder="1"/>
    <xf numFmtId="167" fontId="63" fillId="18" borderId="2" xfId="1" applyNumberFormat="1" applyFont="1" applyFill="1" applyBorder="1"/>
    <xf numFmtId="175" fontId="63" fillId="22" borderId="4" xfId="1" applyNumberFormat="1" applyFont="1" applyFill="1" applyBorder="1"/>
    <xf numFmtId="167" fontId="63" fillId="15" borderId="2" xfId="1" applyNumberFormat="1" applyFont="1" applyFill="1" applyBorder="1"/>
    <xf numFmtId="167" fontId="63" fillId="15" borderId="3" xfId="1" applyNumberFormat="1" applyFont="1" applyFill="1" applyBorder="1"/>
    <xf numFmtId="167" fontId="63" fillId="15" borderId="4" xfId="1" applyNumberFormat="1" applyFont="1" applyFill="1" applyBorder="1"/>
    <xf numFmtId="175" fontId="63" fillId="26" borderId="84" xfId="1" applyNumberFormat="1" applyFont="1" applyFill="1" applyBorder="1"/>
    <xf numFmtId="175" fontId="63" fillId="26" borderId="3" xfId="1" applyNumberFormat="1" applyFont="1" applyFill="1" applyBorder="1"/>
    <xf numFmtId="167" fontId="67" fillId="26" borderId="3" xfId="1" applyNumberFormat="1" applyFont="1" applyFill="1" applyBorder="1"/>
    <xf numFmtId="37" fontId="63" fillId="0" borderId="6" xfId="2" applyNumberFormat="1" applyFont="1" applyBorder="1"/>
    <xf numFmtId="175" fontId="63" fillId="0" borderId="83" xfId="1" applyNumberFormat="1" applyFont="1" applyFill="1" applyBorder="1"/>
    <xf numFmtId="193" fontId="63" fillId="0" borderId="0" xfId="2" applyNumberFormat="1" applyFont="1"/>
    <xf numFmtId="0" fontId="63" fillId="15" borderId="0" xfId="2" applyFont="1" applyFill="1"/>
    <xf numFmtId="175" fontId="63" fillId="15" borderId="83" xfId="1" applyNumberFormat="1" applyFont="1" applyFill="1" applyBorder="1"/>
    <xf numFmtId="175" fontId="63" fillId="15" borderId="0" xfId="1" applyNumberFormat="1" applyFont="1" applyFill="1"/>
    <xf numFmtId="167" fontId="63" fillId="15" borderId="0" xfId="1" applyNumberFormat="1" applyFont="1" applyFill="1"/>
    <xf numFmtId="10" fontId="63" fillId="0" borderId="0" xfId="1" applyNumberFormat="1" applyFont="1"/>
    <xf numFmtId="0" fontId="63" fillId="15" borderId="0" xfId="2" applyFont="1" applyFill="1" applyAlignment="1">
      <alignment horizontal="right"/>
    </xf>
    <xf numFmtId="37" fontId="63" fillId="0" borderId="7" xfId="2" applyNumberFormat="1" applyFont="1" applyBorder="1"/>
    <xf numFmtId="175" fontId="63" fillId="15" borderId="84" xfId="1" applyNumberFormat="1" applyFont="1" applyFill="1" applyBorder="1"/>
    <xf numFmtId="175" fontId="63" fillId="15" borderId="3" xfId="1" applyNumberFormat="1" applyFont="1" applyFill="1" applyBorder="1"/>
    <xf numFmtId="167" fontId="67" fillId="15" borderId="3" xfId="1" applyNumberFormat="1" applyFont="1" applyFill="1" applyBorder="1"/>
    <xf numFmtId="167" fontId="63" fillId="0" borderId="6" xfId="2" applyNumberFormat="1" applyFont="1" applyBorder="1"/>
    <xf numFmtId="174" fontId="63" fillId="0" borderId="5" xfId="6" applyNumberFormat="1" applyFont="1" applyBorder="1"/>
    <xf numFmtId="10" fontId="67" fillId="15" borderId="3" xfId="1" applyNumberFormat="1" applyFont="1" applyFill="1" applyBorder="1"/>
    <xf numFmtId="10" fontId="63" fillId="0" borderId="0" xfId="2" applyNumberFormat="1" applyFont="1"/>
    <xf numFmtId="10" fontId="63" fillId="15" borderId="0" xfId="2" applyNumberFormat="1" applyFont="1" applyFill="1"/>
    <xf numFmtId="10" fontId="63" fillId="15" borderId="3" xfId="1" applyNumberFormat="1" applyFont="1" applyFill="1" applyBorder="1"/>
    <xf numFmtId="5" fontId="63" fillId="0" borderId="6" xfId="2" applyNumberFormat="1" applyFont="1" applyBorder="1"/>
    <xf numFmtId="5" fontId="63" fillId="0" borderId="5" xfId="2" applyNumberFormat="1" applyFont="1" applyBorder="1"/>
    <xf numFmtId="167" fontId="63" fillId="0" borderId="6" xfId="5" applyNumberFormat="1" applyFont="1" applyFill="1" applyBorder="1"/>
    <xf numFmtId="175" fontId="63" fillId="0" borderId="0" xfId="1" applyNumberFormat="1" applyFont="1" applyFill="1"/>
    <xf numFmtId="167" fontId="63" fillId="0" borderId="0" xfId="1" applyNumberFormat="1" applyFont="1" applyFill="1"/>
    <xf numFmtId="37" fontId="66" fillId="0" borderId="72" xfId="2" applyNumberFormat="1" applyFont="1" applyBorder="1"/>
    <xf numFmtId="5" fontId="63" fillId="0" borderId="73" xfId="2" applyNumberFormat="1" applyFont="1" applyBorder="1"/>
    <xf numFmtId="5" fontId="63" fillId="0" borderId="72" xfId="2" applyNumberFormat="1" applyFont="1" applyBorder="1"/>
    <xf numFmtId="5" fontId="63" fillId="0" borderId="14" xfId="2" applyNumberFormat="1" applyFont="1" applyBorder="1"/>
    <xf numFmtId="10" fontId="63" fillId="0" borderId="73" xfId="5" applyNumberFormat="1" applyFont="1" applyFill="1" applyBorder="1"/>
    <xf numFmtId="167" fontId="63" fillId="0" borderId="72" xfId="1" applyNumberFormat="1" applyFont="1" applyBorder="1"/>
    <xf numFmtId="187" fontId="63" fillId="0" borderId="14" xfId="13" applyNumberFormat="1" applyFont="1" applyBorder="1"/>
    <xf numFmtId="9" fontId="63" fillId="0" borderId="73" xfId="1" applyFont="1" applyBorder="1"/>
    <xf numFmtId="167" fontId="63" fillId="18" borderId="72" xfId="1" applyNumberFormat="1" applyFont="1" applyFill="1" applyBorder="1"/>
    <xf numFmtId="175" fontId="63" fillId="4" borderId="73" xfId="1" applyNumberFormat="1" applyFont="1" applyFill="1" applyBorder="1"/>
    <xf numFmtId="167" fontId="63" fillId="15" borderId="10" xfId="1" applyNumberFormat="1" applyFont="1" applyFill="1" applyBorder="1"/>
    <xf numFmtId="167" fontId="63" fillId="15" borderId="11" xfId="1" applyNumberFormat="1" applyFont="1" applyFill="1" applyBorder="1"/>
    <xf numFmtId="167" fontId="63" fillId="15" borderId="12" xfId="1" applyNumberFormat="1" applyFont="1" applyFill="1" applyBorder="1"/>
    <xf numFmtId="175" fontId="63" fillId="0" borderId="14" xfId="1" applyNumberFormat="1" applyFont="1" applyFill="1" applyBorder="1"/>
    <xf numFmtId="175" fontId="63" fillId="0" borderId="85" xfId="1" applyNumberFormat="1" applyFont="1" applyFill="1" applyBorder="1"/>
    <xf numFmtId="167" fontId="63" fillId="0" borderId="14" xfId="1" applyNumberFormat="1" applyFont="1" applyFill="1" applyBorder="1"/>
    <xf numFmtId="37" fontId="63" fillId="0" borderId="0" xfId="2" applyNumberFormat="1" applyFont="1"/>
    <xf numFmtId="10" fontId="63" fillId="0" borderId="0" xfId="5" applyNumberFormat="1" applyFont="1" applyFill="1" applyBorder="1"/>
    <xf numFmtId="0" fontId="63" fillId="0" borderId="0" xfId="2" applyFont="1" applyAlignment="1">
      <alignment horizontal="right"/>
    </xf>
    <xf numFmtId="175" fontId="63" fillId="0" borderId="0" xfId="2" applyNumberFormat="1" applyFont="1"/>
    <xf numFmtId="10" fontId="63" fillId="0" borderId="0" xfId="5" applyNumberFormat="1" applyFont="1" applyFill="1"/>
    <xf numFmtId="37" fontId="63" fillId="0" borderId="14" xfId="2" applyNumberFormat="1" applyFont="1" applyBorder="1"/>
    <xf numFmtId="10" fontId="63" fillId="0" borderId="14" xfId="5" applyNumberFormat="1" applyFont="1" applyFill="1" applyBorder="1"/>
    <xf numFmtId="3" fontId="63" fillId="0" borderId="0" xfId="2" applyNumberFormat="1" applyFont="1"/>
    <xf numFmtId="0" fontId="63" fillId="0" borderId="0" xfId="2" applyFont="1" applyAlignment="1">
      <alignment vertical="top"/>
    </xf>
    <xf numFmtId="43" fontId="63" fillId="0" borderId="0" xfId="6" applyFont="1"/>
    <xf numFmtId="164" fontId="63" fillId="0" borderId="0" xfId="2" applyNumberFormat="1" applyFont="1" applyAlignment="1" applyProtection="1">
      <alignment horizontal="left"/>
      <protection locked="0"/>
    </xf>
    <xf numFmtId="168" fontId="63" fillId="0" borderId="0" xfId="2" applyNumberFormat="1" applyFont="1"/>
    <xf numFmtId="9" fontId="63" fillId="0" borderId="0" xfId="1" applyFont="1" applyProtection="1">
      <protection locked="0"/>
    </xf>
    <xf numFmtId="192" fontId="63" fillId="0" borderId="0" xfId="13" applyNumberFormat="1" applyFont="1"/>
    <xf numFmtId="0" fontId="63" fillId="0" borderId="0" xfId="2" applyFont="1" applyAlignment="1">
      <alignment horizontal="left"/>
    </xf>
    <xf numFmtId="187" fontId="63" fillId="0" borderId="0" xfId="13" applyNumberFormat="1" applyFont="1" applyProtection="1">
      <protection locked="0"/>
    </xf>
    <xf numFmtId="0" fontId="63" fillId="18" borderId="9" xfId="2" applyFont="1" applyFill="1" applyBorder="1" applyAlignment="1" applyProtection="1">
      <alignment horizontal="left"/>
      <protection locked="0"/>
    </xf>
    <xf numFmtId="169" fontId="63" fillId="0" borderId="0" xfId="2" applyNumberFormat="1" applyFont="1" applyProtection="1">
      <protection locked="0"/>
    </xf>
    <xf numFmtId="174" fontId="63" fillId="0" borderId="0" xfId="6" applyNumberFormat="1" applyFont="1" applyProtection="1">
      <protection locked="0"/>
    </xf>
    <xf numFmtId="0" fontId="63" fillId="18" borderId="9" xfId="0" applyFont="1" applyFill="1" applyBorder="1"/>
    <xf numFmtId="0" fontId="69" fillId="18" borderId="9" xfId="4" applyFont="1" applyFill="1" applyBorder="1" applyAlignment="1" applyProtection="1">
      <alignment horizontal="left"/>
      <protection locked="0"/>
    </xf>
    <xf numFmtId="0" fontId="73" fillId="0" borderId="0" xfId="4" applyFont="1" applyAlignment="1" applyProtection="1">
      <alignment wrapText="1"/>
      <protection locked="0"/>
    </xf>
    <xf numFmtId="0" fontId="63" fillId="0" borderId="1" xfId="4" applyFont="1" applyBorder="1" applyProtection="1">
      <protection locked="0"/>
    </xf>
    <xf numFmtId="0" fontId="69" fillId="18" borderId="15" xfId="4" applyFont="1" applyFill="1" applyBorder="1" applyAlignment="1" applyProtection="1">
      <alignment horizontal="left"/>
      <protection locked="0"/>
    </xf>
    <xf numFmtId="0" fontId="67" fillId="0" borderId="0" xfId="2" applyFont="1" applyProtection="1">
      <protection locked="0"/>
    </xf>
    <xf numFmtId="0" fontId="73" fillId="0" borderId="0" xfId="4" applyFont="1" applyProtection="1">
      <protection locked="0"/>
    </xf>
    <xf numFmtId="0" fontId="63" fillId="0" borderId="0" xfId="2" applyFont="1" applyAlignment="1" applyProtection="1">
      <alignment horizontal="center"/>
      <protection locked="0"/>
    </xf>
    <xf numFmtId="0" fontId="70" fillId="0" borderId="2" xfId="4" applyFont="1" applyBorder="1" applyAlignment="1" applyProtection="1">
      <alignment horizontal="center"/>
      <protection locked="0"/>
    </xf>
    <xf numFmtId="0" fontId="70" fillId="0" borderId="3" xfId="4" applyFont="1" applyBorder="1" applyAlignment="1" applyProtection="1">
      <alignment horizontal="center"/>
      <protection locked="0"/>
    </xf>
    <xf numFmtId="7" fontId="70" fillId="0" borderId="4" xfId="4" applyNumberFormat="1" applyFont="1" applyBorder="1" applyAlignment="1" applyProtection="1">
      <alignment horizontal="center"/>
      <protection locked="0"/>
    </xf>
    <xf numFmtId="0" fontId="70" fillId="0" borderId="5" xfId="4" applyFont="1" applyBorder="1" applyAlignment="1" applyProtection="1">
      <alignment horizontal="center"/>
      <protection locked="0"/>
    </xf>
    <xf numFmtId="0" fontId="70" fillId="0" borderId="6" xfId="4" applyFont="1" applyBorder="1" applyAlignment="1" applyProtection="1">
      <alignment horizontal="center"/>
      <protection locked="0"/>
    </xf>
    <xf numFmtId="0" fontId="67" fillId="0" borderId="0" xfId="2" applyFont="1" applyAlignment="1" applyProtection="1">
      <alignment horizontal="center"/>
      <protection locked="0"/>
    </xf>
    <xf numFmtId="0" fontId="70" fillId="0" borderId="17" xfId="4" applyFont="1" applyBorder="1" applyAlignment="1" applyProtection="1">
      <alignment horizontal="center"/>
      <protection locked="0"/>
    </xf>
    <xf numFmtId="0" fontId="73" fillId="18" borderId="10" xfId="4" applyFont="1" applyFill="1" applyBorder="1" applyAlignment="1" applyProtection="1">
      <alignment horizontal="center"/>
      <protection locked="0"/>
    </xf>
    <xf numFmtId="0" fontId="74" fillId="15" borderId="86" xfId="15" applyFont="1" applyFill="1" applyBorder="1" applyAlignment="1" applyProtection="1">
      <alignment horizontal="center" wrapText="1"/>
      <protection locked="0"/>
    </xf>
    <xf numFmtId="0" fontId="74" fillId="15" borderId="87" xfId="15" applyFont="1" applyFill="1" applyBorder="1" applyAlignment="1" applyProtection="1">
      <alignment horizontal="center" wrapText="1"/>
      <protection locked="0"/>
    </xf>
    <xf numFmtId="0" fontId="74" fillId="15" borderId="88" xfId="15" applyFont="1" applyFill="1" applyBorder="1" applyAlignment="1" applyProtection="1">
      <alignment horizontal="center" wrapText="1"/>
      <protection locked="0"/>
    </xf>
    <xf numFmtId="0" fontId="74" fillId="0" borderId="10" xfId="2" applyFont="1" applyBorder="1" applyAlignment="1" applyProtection="1">
      <alignment horizontal="center" wrapText="1"/>
      <protection locked="0"/>
    </xf>
    <xf numFmtId="0" fontId="74" fillId="0" borderId="11" xfId="2" applyFont="1" applyBorder="1" applyAlignment="1" applyProtection="1">
      <alignment horizontal="center" wrapText="1"/>
      <protection locked="0"/>
    </xf>
    <xf numFmtId="0" fontId="74" fillId="0" borderId="12" xfId="2" applyFont="1" applyBorder="1" applyAlignment="1" applyProtection="1">
      <alignment horizontal="center" wrapText="1"/>
      <protection locked="0"/>
    </xf>
    <xf numFmtId="0" fontId="67" fillId="0" borderId="9" xfId="2" applyFont="1" applyBorder="1" applyAlignment="1" applyProtection="1">
      <alignment horizontal="center" wrapText="1"/>
      <protection locked="0"/>
    </xf>
    <xf numFmtId="9" fontId="67" fillId="0" borderId="9" xfId="1" applyFont="1" applyBorder="1" applyAlignment="1" applyProtection="1">
      <alignment horizontal="center" wrapText="1"/>
      <protection locked="0"/>
    </xf>
    <xf numFmtId="0" fontId="67" fillId="20" borderId="9" xfId="2" applyFont="1" applyFill="1" applyBorder="1" applyAlignment="1" applyProtection="1">
      <alignment horizontal="center" wrapText="1"/>
      <protection locked="0"/>
    </xf>
    <xf numFmtId="9" fontId="67" fillId="20" borderId="9" xfId="1" applyFont="1" applyFill="1" applyBorder="1" applyAlignment="1" applyProtection="1">
      <alignment horizontal="center" wrapText="1"/>
      <protection locked="0"/>
    </xf>
    <xf numFmtId="0" fontId="63" fillId="0" borderId="0" xfId="2" applyFont="1" applyAlignment="1" applyProtection="1">
      <alignment wrapText="1"/>
      <protection locked="0"/>
    </xf>
    <xf numFmtId="0" fontId="70" fillId="0" borderId="7" xfId="4" applyFont="1" applyBorder="1" applyAlignment="1" applyProtection="1">
      <alignment horizontal="center"/>
      <protection locked="0"/>
    </xf>
    <xf numFmtId="0" fontId="70" fillId="0" borderId="8" xfId="4" applyFont="1" applyBorder="1" applyAlignment="1" applyProtection="1">
      <alignment horizontal="center"/>
      <protection locked="0"/>
    </xf>
    <xf numFmtId="0" fontId="70" fillId="0" borderId="16" xfId="4" applyFont="1" applyBorder="1" applyAlignment="1" applyProtection="1">
      <alignment horizontal="center"/>
      <protection locked="0"/>
    </xf>
    <xf numFmtId="0" fontId="63" fillId="0" borderId="5" xfId="2" applyFont="1" applyBorder="1" applyProtection="1">
      <protection locked="0"/>
    </xf>
    <xf numFmtId="0" fontId="63" fillId="0" borderId="6" xfId="2" applyFont="1" applyBorder="1" applyProtection="1">
      <protection locked="0"/>
    </xf>
    <xf numFmtId="0" fontId="66" fillId="0" borderId="5" xfId="2" applyFont="1" applyBorder="1" applyProtection="1">
      <protection locked="0"/>
    </xf>
    <xf numFmtId="0" fontId="66" fillId="0" borderId="6" xfId="2" applyFont="1" applyBorder="1" applyProtection="1">
      <protection locked="0"/>
    </xf>
    <xf numFmtId="9" fontId="63" fillId="0" borderId="0" xfId="1" applyFont="1" applyBorder="1" applyProtection="1">
      <protection locked="0"/>
    </xf>
    <xf numFmtId="0" fontId="63" fillId="20" borderId="5" xfId="2" applyFont="1" applyFill="1" applyBorder="1" applyProtection="1">
      <protection locked="0"/>
    </xf>
    <xf numFmtId="0" fontId="63" fillId="20" borderId="0" xfId="2" applyFont="1" applyFill="1" applyProtection="1">
      <protection locked="0"/>
    </xf>
    <xf numFmtId="9" fontId="63" fillId="20" borderId="0" xfId="1" applyFont="1" applyFill="1" applyBorder="1" applyProtection="1">
      <protection locked="0"/>
    </xf>
    <xf numFmtId="0" fontId="63" fillId="20" borderId="6" xfId="2" applyFont="1" applyFill="1" applyBorder="1" applyProtection="1">
      <protection locked="0"/>
    </xf>
    <xf numFmtId="0" fontId="69" fillId="20" borderId="5" xfId="4" applyFont="1" applyFill="1" applyBorder="1" applyProtection="1">
      <protection locked="0"/>
    </xf>
    <xf numFmtId="0" fontId="69" fillId="20" borderId="0" xfId="4" applyFont="1" applyFill="1" applyProtection="1">
      <protection locked="0"/>
    </xf>
    <xf numFmtId="0" fontId="69" fillId="20" borderId="6" xfId="4" applyFont="1" applyFill="1" applyBorder="1" applyProtection="1">
      <protection locked="0"/>
    </xf>
    <xf numFmtId="0" fontId="69" fillId="0" borderId="5" xfId="4" applyFont="1" applyBorder="1" applyProtection="1">
      <protection locked="0"/>
    </xf>
    <xf numFmtId="0" fontId="69" fillId="0" borderId="6" xfId="4" applyFont="1" applyBorder="1" applyProtection="1">
      <protection locked="0"/>
    </xf>
    <xf numFmtId="0" fontId="63" fillId="0" borderId="17" xfId="2" applyFont="1" applyBorder="1" applyProtection="1">
      <protection locked="0"/>
    </xf>
    <xf numFmtId="0" fontId="66" fillId="0" borderId="0" xfId="2" applyFont="1" applyAlignment="1" applyProtection="1">
      <alignment horizontal="right"/>
      <protection locked="0"/>
    </xf>
    <xf numFmtId="2" fontId="69" fillId="0" borderId="0" xfId="4" applyNumberFormat="1" applyFont="1" applyProtection="1">
      <protection locked="0"/>
    </xf>
    <xf numFmtId="0" fontId="69" fillId="0" borderId="17" xfId="4" applyFont="1" applyBorder="1" applyProtection="1">
      <protection locked="0"/>
    </xf>
    <xf numFmtId="37" fontId="69" fillId="0" borderId="5" xfId="4" applyNumberFormat="1" applyFont="1" applyBorder="1" applyProtection="1">
      <protection locked="0"/>
    </xf>
    <xf numFmtId="5" fontId="69" fillId="0" borderId="0" xfId="4" applyNumberFormat="1" applyFont="1" applyProtection="1">
      <protection locked="0"/>
    </xf>
    <xf numFmtId="174" fontId="69" fillId="0" borderId="0" xfId="6" applyNumberFormat="1" applyFont="1" applyFill="1" applyBorder="1" applyProtection="1">
      <protection locked="0"/>
    </xf>
    <xf numFmtId="171" fontId="69" fillId="9" borderId="0" xfId="4" applyNumberFormat="1" applyFont="1" applyFill="1" applyProtection="1">
      <protection locked="0"/>
    </xf>
    <xf numFmtId="5" fontId="69" fillId="4" borderId="5" xfId="4" applyNumberFormat="1" applyFont="1" applyFill="1" applyBorder="1" applyProtection="1">
      <protection locked="0"/>
    </xf>
    <xf numFmtId="5" fontId="69" fillId="4" borderId="0" xfId="4" applyNumberFormat="1" applyFont="1" applyFill="1" applyProtection="1">
      <protection locked="0"/>
    </xf>
    <xf numFmtId="10" fontId="69" fillId="4" borderId="6" xfId="5" applyNumberFormat="1" applyFont="1" applyFill="1" applyBorder="1" applyProtection="1"/>
    <xf numFmtId="5" fontId="69" fillId="0" borderId="17" xfId="4" applyNumberFormat="1" applyFont="1" applyBorder="1" applyProtection="1">
      <protection locked="0"/>
    </xf>
    <xf numFmtId="171" fontId="69" fillId="18" borderId="5" xfId="4" applyNumberFormat="1" applyFont="1" applyFill="1" applyBorder="1" applyProtection="1">
      <protection locked="0"/>
    </xf>
    <xf numFmtId="171" fontId="75" fillId="9" borderId="5" xfId="4" applyNumberFormat="1" applyFont="1" applyFill="1" applyBorder="1" applyProtection="1">
      <protection locked="0"/>
    </xf>
    <xf numFmtId="171" fontId="75" fillId="11" borderId="0" xfId="4" applyNumberFormat="1" applyFont="1" applyFill="1" applyProtection="1">
      <protection locked="0"/>
    </xf>
    <xf numFmtId="171" fontId="75" fillId="11" borderId="6" xfId="4" applyNumberFormat="1" applyFont="1" applyFill="1" applyBorder="1" applyProtection="1">
      <protection locked="0"/>
    </xf>
    <xf numFmtId="5" fontId="69" fillId="0" borderId="5" xfId="4" applyNumberFormat="1" applyFont="1" applyBorder="1" applyProtection="1">
      <protection locked="0"/>
    </xf>
    <xf numFmtId="9" fontId="69" fillId="0" borderId="0" xfId="1" applyFont="1" applyFill="1" applyBorder="1" applyProtection="1">
      <protection locked="0"/>
    </xf>
    <xf numFmtId="7" fontId="69" fillId="0" borderId="6" xfId="4" applyNumberFormat="1" applyFont="1" applyBorder="1" applyProtection="1">
      <protection locked="0"/>
    </xf>
    <xf numFmtId="5" fontId="69" fillId="20" borderId="5" xfId="4" applyNumberFormat="1" applyFont="1" applyFill="1" applyBorder="1" applyProtection="1">
      <protection locked="0"/>
    </xf>
    <xf numFmtId="5" fontId="69" fillId="20" borderId="0" xfId="4" applyNumberFormat="1" applyFont="1" applyFill="1" applyProtection="1">
      <protection locked="0"/>
    </xf>
    <xf numFmtId="9" fontId="69" fillId="20" borderId="0" xfId="1" applyFont="1" applyFill="1" applyBorder="1" applyProtection="1">
      <protection locked="0"/>
    </xf>
    <xf numFmtId="7" fontId="69" fillId="20" borderId="0" xfId="4" applyNumberFormat="1" applyFont="1" applyFill="1" applyProtection="1">
      <protection locked="0"/>
    </xf>
    <xf numFmtId="7" fontId="69" fillId="20" borderId="6" xfId="4" applyNumberFormat="1" applyFont="1" applyFill="1" applyBorder="1" applyProtection="1">
      <protection locked="0"/>
    </xf>
    <xf numFmtId="171" fontId="69" fillId="20" borderId="5" xfId="4" applyNumberFormat="1" applyFont="1" applyFill="1" applyBorder="1" applyProtection="1">
      <protection locked="0"/>
    </xf>
    <xf numFmtId="171" fontId="69" fillId="20" borderId="0" xfId="4" applyNumberFormat="1" applyFont="1" applyFill="1" applyProtection="1">
      <protection locked="0"/>
    </xf>
    <xf numFmtId="171" fontId="69" fillId="20" borderId="6" xfId="4" applyNumberFormat="1" applyFont="1" applyFill="1" applyBorder="1" applyProtection="1">
      <protection locked="0"/>
    </xf>
    <xf numFmtId="3" fontId="69" fillId="0" borderId="5" xfId="4" applyNumberFormat="1" applyFont="1" applyBorder="1" applyProtection="1">
      <protection locked="0"/>
    </xf>
    <xf numFmtId="3" fontId="69" fillId="0" borderId="0" xfId="4" applyNumberFormat="1" applyFont="1" applyProtection="1">
      <protection locked="0"/>
    </xf>
    <xf numFmtId="168" fontId="69" fillId="0" borderId="5" xfId="4" applyNumberFormat="1" applyFont="1" applyBorder="1" applyProtection="1">
      <protection locked="0"/>
    </xf>
    <xf numFmtId="168" fontId="69" fillId="0" borderId="6" xfId="4" applyNumberFormat="1" applyFont="1" applyBorder="1" applyProtection="1">
      <protection locked="0"/>
    </xf>
    <xf numFmtId="168" fontId="69" fillId="20" borderId="5" xfId="4" applyNumberFormat="1" applyFont="1" applyFill="1" applyBorder="1" applyProtection="1">
      <protection locked="0"/>
    </xf>
    <xf numFmtId="168" fontId="69" fillId="20" borderId="0" xfId="4" applyNumberFormat="1" applyFont="1" applyFill="1" applyProtection="1">
      <protection locked="0"/>
    </xf>
    <xf numFmtId="168" fontId="69" fillId="20" borderId="6" xfId="4" applyNumberFormat="1" applyFont="1" applyFill="1" applyBorder="1" applyProtection="1">
      <protection locked="0"/>
    </xf>
    <xf numFmtId="166" fontId="69" fillId="0" borderId="6" xfId="4" applyNumberFormat="1" applyFont="1" applyBorder="1" applyProtection="1">
      <protection locked="0"/>
    </xf>
    <xf numFmtId="37" fontId="69" fillId="0" borderId="0" xfId="4" applyNumberFormat="1" applyFont="1" applyProtection="1">
      <protection locked="0"/>
    </xf>
    <xf numFmtId="10" fontId="69" fillId="4" borderId="6" xfId="5" applyNumberFormat="1" applyFont="1" applyFill="1" applyBorder="1" applyProtection="1">
      <protection locked="0"/>
    </xf>
    <xf numFmtId="169" fontId="69" fillId="18" borderId="5" xfId="4" applyNumberFormat="1" applyFont="1" applyFill="1" applyBorder="1" applyProtection="1">
      <protection locked="0"/>
    </xf>
    <xf numFmtId="164" fontId="69" fillId="0" borderId="5" xfId="4" applyNumberFormat="1" applyFont="1" applyBorder="1" applyProtection="1">
      <protection locked="0"/>
    </xf>
    <xf numFmtId="164" fontId="69" fillId="0" borderId="6" xfId="4" applyNumberFormat="1" applyFont="1" applyBorder="1" applyProtection="1">
      <protection locked="0"/>
    </xf>
    <xf numFmtId="168" fontId="69" fillId="4" borderId="0" xfId="4" applyNumberFormat="1" applyFont="1" applyFill="1" applyProtection="1">
      <protection locked="0"/>
    </xf>
    <xf numFmtId="164" fontId="66" fillId="0" borderId="6" xfId="2" applyNumberFormat="1" applyFont="1" applyBorder="1" applyProtection="1">
      <protection locked="0"/>
    </xf>
    <xf numFmtId="37" fontId="69" fillId="0" borderId="72" xfId="4" applyNumberFormat="1" applyFont="1" applyBorder="1" applyProtection="1">
      <protection locked="0"/>
    </xf>
    <xf numFmtId="5" fontId="69" fillId="0" borderId="14" xfId="4" applyNumberFormat="1" applyFont="1" applyBorder="1" applyProtection="1">
      <protection locked="0"/>
    </xf>
    <xf numFmtId="37" fontId="69" fillId="0" borderId="14" xfId="4" applyNumberFormat="1" applyFont="1" applyBorder="1" applyProtection="1">
      <protection locked="0"/>
    </xf>
    <xf numFmtId="166" fontId="69" fillId="0" borderId="73" xfId="4" applyNumberFormat="1" applyFont="1" applyBorder="1" applyProtection="1">
      <protection locked="0"/>
    </xf>
    <xf numFmtId="5" fontId="69" fillId="4" borderId="72" xfId="4" applyNumberFormat="1" applyFont="1" applyFill="1" applyBorder="1" applyProtection="1">
      <protection locked="0"/>
    </xf>
    <xf numFmtId="5" fontId="69" fillId="4" borderId="14" xfId="4" applyNumberFormat="1" applyFont="1" applyFill="1" applyBorder="1" applyProtection="1">
      <protection locked="0"/>
    </xf>
    <xf numFmtId="10" fontId="69" fillId="4" borderId="73" xfId="5" applyNumberFormat="1" applyFont="1" applyFill="1" applyBorder="1" applyProtection="1">
      <protection locked="0"/>
    </xf>
    <xf numFmtId="5" fontId="69" fillId="7" borderId="80" xfId="4" applyNumberFormat="1" applyFont="1" applyFill="1" applyBorder="1" applyProtection="1">
      <protection locked="0"/>
    </xf>
    <xf numFmtId="168" fontId="69" fillId="0" borderId="72" xfId="4" applyNumberFormat="1" applyFont="1" applyBorder="1" applyProtection="1">
      <protection locked="0"/>
    </xf>
    <xf numFmtId="168" fontId="69" fillId="0" borderId="73" xfId="4" applyNumberFormat="1" applyFont="1" applyBorder="1" applyProtection="1">
      <protection locked="0"/>
    </xf>
    <xf numFmtId="5" fontId="69" fillId="0" borderId="72" xfId="4" applyNumberFormat="1" applyFont="1" applyBorder="1" applyProtection="1">
      <protection locked="0"/>
    </xf>
    <xf numFmtId="9" fontId="69" fillId="0" borderId="14" xfId="1" applyFont="1" applyFill="1" applyBorder="1" applyProtection="1">
      <protection locked="0"/>
    </xf>
    <xf numFmtId="7" fontId="69" fillId="0" borderId="14" xfId="4" applyNumberFormat="1" applyFont="1" applyBorder="1" applyProtection="1">
      <protection locked="0"/>
    </xf>
    <xf numFmtId="7" fontId="69" fillId="0" borderId="73" xfId="4" applyNumberFormat="1" applyFont="1" applyBorder="1" applyProtection="1">
      <protection locked="0"/>
    </xf>
    <xf numFmtId="5" fontId="69" fillId="20" borderId="72" xfId="4" applyNumberFormat="1" applyFont="1" applyFill="1" applyBorder="1" applyProtection="1">
      <protection locked="0"/>
    </xf>
    <xf numFmtId="5" fontId="69" fillId="20" borderId="14" xfId="4" applyNumberFormat="1" applyFont="1" applyFill="1" applyBorder="1" applyProtection="1">
      <protection locked="0"/>
    </xf>
    <xf numFmtId="9" fontId="69" fillId="20" borderId="14" xfId="1" applyFont="1" applyFill="1" applyBorder="1" applyProtection="1">
      <protection locked="0"/>
    </xf>
    <xf numFmtId="7" fontId="69" fillId="20" borderId="14" xfId="4" applyNumberFormat="1" applyFont="1" applyFill="1" applyBorder="1" applyProtection="1">
      <protection locked="0"/>
    </xf>
    <xf numFmtId="7" fontId="69" fillId="20" borderId="73" xfId="4" applyNumberFormat="1" applyFont="1" applyFill="1" applyBorder="1" applyProtection="1">
      <protection locked="0"/>
    </xf>
    <xf numFmtId="0" fontId="69" fillId="4" borderId="5" xfId="4" applyFont="1" applyFill="1" applyBorder="1" applyProtection="1">
      <protection locked="0"/>
    </xf>
    <xf numFmtId="0" fontId="69" fillId="4" borderId="0" xfId="4" applyFont="1" applyFill="1" applyProtection="1">
      <protection locked="0"/>
    </xf>
    <xf numFmtId="0" fontId="69" fillId="4" borderId="6" xfId="4" applyFont="1" applyFill="1" applyBorder="1" applyProtection="1">
      <protection locked="0"/>
    </xf>
    <xf numFmtId="0" fontId="69" fillId="0" borderId="5" xfId="4" applyFont="1" applyBorder="1"/>
    <xf numFmtId="2" fontId="69" fillId="0" borderId="0" xfId="4" applyNumberFormat="1" applyFont="1"/>
    <xf numFmtId="0" fontId="69" fillId="0" borderId="6" xfId="4" applyFont="1" applyBorder="1"/>
    <xf numFmtId="0" fontId="69" fillId="4" borderId="5" xfId="4" applyFont="1" applyFill="1" applyBorder="1"/>
    <xf numFmtId="0" fontId="69" fillId="4" borderId="0" xfId="4" applyFont="1" applyFill="1"/>
    <xf numFmtId="0" fontId="69" fillId="4" borderId="6" xfId="4" applyFont="1" applyFill="1" applyBorder="1"/>
    <xf numFmtId="0" fontId="69" fillId="0" borderId="17" xfId="4" applyFont="1" applyBorder="1"/>
    <xf numFmtId="0" fontId="66" fillId="0" borderId="0" xfId="2" applyFont="1"/>
    <xf numFmtId="0" fontId="66" fillId="0" borderId="6" xfId="2" applyFont="1" applyBorder="1"/>
    <xf numFmtId="9" fontId="69" fillId="0" borderId="0" xfId="1" applyFont="1" applyFill="1" applyBorder="1"/>
    <xf numFmtId="7" fontId="69" fillId="0" borderId="6" xfId="4" applyNumberFormat="1" applyFont="1" applyBorder="1"/>
    <xf numFmtId="0" fontId="69" fillId="20" borderId="5" xfId="4" applyFont="1" applyFill="1" applyBorder="1"/>
    <xf numFmtId="0" fontId="69" fillId="20" borderId="0" xfId="4" applyFont="1" applyFill="1"/>
    <xf numFmtId="9" fontId="69" fillId="20" borderId="0" xfId="1" applyFont="1" applyFill="1" applyBorder="1"/>
    <xf numFmtId="7" fontId="69" fillId="20" borderId="0" xfId="4" applyNumberFormat="1" applyFont="1" applyFill="1"/>
    <xf numFmtId="7" fontId="69" fillId="20" borderId="6" xfId="4" applyNumberFormat="1" applyFont="1" applyFill="1" applyBorder="1"/>
    <xf numFmtId="37" fontId="69" fillId="0" borderId="5" xfId="4" applyNumberFormat="1" applyFont="1" applyBorder="1"/>
    <xf numFmtId="5" fontId="69" fillId="0" borderId="0" xfId="4" applyNumberFormat="1" applyFont="1"/>
    <xf numFmtId="174" fontId="69" fillId="0" borderId="0" xfId="6" applyNumberFormat="1" applyFont="1" applyFill="1" applyBorder="1" applyProtection="1"/>
    <xf numFmtId="5" fontId="69" fillId="4" borderId="5" xfId="4" applyNumberFormat="1" applyFont="1" applyFill="1" applyBorder="1"/>
    <xf numFmtId="5" fontId="69" fillId="4" borderId="0" xfId="4" applyNumberFormat="1" applyFont="1" applyFill="1"/>
    <xf numFmtId="5" fontId="69" fillId="0" borderId="17" xfId="4" applyNumberFormat="1" applyFont="1" applyBorder="1"/>
    <xf numFmtId="171" fontId="69" fillId="18" borderId="5" xfId="4" applyNumberFormat="1" applyFont="1" applyFill="1" applyBorder="1"/>
    <xf numFmtId="171" fontId="75" fillId="9" borderId="0" xfId="4" applyNumberFormat="1" applyFont="1" applyFill="1" applyProtection="1">
      <protection locked="0"/>
    </xf>
    <xf numFmtId="171" fontId="75" fillId="9" borderId="6" xfId="4" applyNumberFormat="1" applyFont="1" applyFill="1" applyBorder="1" applyProtection="1">
      <protection locked="0"/>
    </xf>
    <xf numFmtId="5" fontId="69" fillId="0" borderId="5" xfId="4" applyNumberFormat="1" applyFont="1" applyBorder="1"/>
    <xf numFmtId="5" fontId="69" fillId="20" borderId="5" xfId="4" applyNumberFormat="1" applyFont="1" applyFill="1" applyBorder="1"/>
    <xf numFmtId="5" fontId="69" fillId="20" borderId="0" xfId="4" applyNumberFormat="1" applyFont="1" applyFill="1"/>
    <xf numFmtId="3" fontId="69" fillId="0" borderId="5" xfId="4" applyNumberFormat="1" applyFont="1" applyBorder="1"/>
    <xf numFmtId="3" fontId="69" fillId="0" borderId="0" xfId="4" applyNumberFormat="1" applyFont="1"/>
    <xf numFmtId="168" fontId="69" fillId="0" borderId="5" xfId="4" applyNumberFormat="1" applyFont="1" applyBorder="1"/>
    <xf numFmtId="168" fontId="69" fillId="0" borderId="6" xfId="4" applyNumberFormat="1" applyFont="1" applyBorder="1"/>
    <xf numFmtId="37" fontId="69" fillId="0" borderId="0" xfId="4" applyNumberFormat="1" applyFont="1"/>
    <xf numFmtId="164" fontId="69" fillId="4" borderId="0" xfId="4" applyNumberFormat="1" applyFont="1" applyFill="1" applyProtection="1">
      <protection locked="0"/>
    </xf>
    <xf numFmtId="166" fontId="69" fillId="0" borderId="6" xfId="4" applyNumberFormat="1" applyFont="1" applyBorder="1"/>
    <xf numFmtId="164" fontId="69" fillId="18" borderId="5" xfId="4" applyNumberFormat="1" applyFont="1" applyFill="1" applyBorder="1" applyProtection="1">
      <protection locked="0"/>
    </xf>
    <xf numFmtId="168" fontId="69" fillId="18" borderId="5" xfId="4" applyNumberFormat="1" applyFont="1" applyFill="1" applyBorder="1" applyProtection="1">
      <protection locked="0"/>
    </xf>
    <xf numFmtId="37" fontId="69" fillId="0" borderId="72" xfId="4" applyNumberFormat="1" applyFont="1" applyBorder="1"/>
    <xf numFmtId="5" fontId="69" fillId="0" borderId="14" xfId="4" applyNumberFormat="1" applyFont="1" applyBorder="1"/>
    <xf numFmtId="37" fontId="69" fillId="0" borderId="14" xfId="4" applyNumberFormat="1" applyFont="1" applyBorder="1"/>
    <xf numFmtId="166" fontId="69" fillId="0" borderId="73" xfId="4" applyNumberFormat="1" applyFont="1" applyBorder="1"/>
    <xf numFmtId="5" fontId="69" fillId="4" borderId="72" xfId="4" applyNumberFormat="1" applyFont="1" applyFill="1" applyBorder="1"/>
    <xf numFmtId="5" fontId="69" fillId="4" borderId="14" xfId="4" applyNumberFormat="1" applyFont="1" applyFill="1" applyBorder="1"/>
    <xf numFmtId="10" fontId="69" fillId="4" borderId="73" xfId="5" applyNumberFormat="1" applyFont="1" applyFill="1" applyBorder="1" applyProtection="1"/>
    <xf numFmtId="168" fontId="69" fillId="0" borderId="72" xfId="4" applyNumberFormat="1" applyFont="1" applyBorder="1"/>
    <xf numFmtId="168" fontId="69" fillId="0" borderId="73" xfId="4" applyNumberFormat="1" applyFont="1" applyBorder="1"/>
    <xf numFmtId="5" fontId="69" fillId="0" borderId="72" xfId="4" applyNumberFormat="1" applyFont="1" applyBorder="1"/>
    <xf numFmtId="9" fontId="69" fillId="0" borderId="14" xfId="1" applyFont="1" applyFill="1" applyBorder="1"/>
    <xf numFmtId="7" fontId="69" fillId="0" borderId="14" xfId="4" applyNumberFormat="1" applyFont="1" applyBorder="1"/>
    <xf numFmtId="5" fontId="69" fillId="20" borderId="72" xfId="4" applyNumberFormat="1" applyFont="1" applyFill="1" applyBorder="1"/>
    <xf numFmtId="9" fontId="69" fillId="20" borderId="14" xfId="1" applyFont="1" applyFill="1" applyBorder="1"/>
    <xf numFmtId="7" fontId="69" fillId="20" borderId="14" xfId="4" applyNumberFormat="1" applyFont="1" applyFill="1" applyBorder="1"/>
    <xf numFmtId="5" fontId="69" fillId="20" borderId="14" xfId="4" applyNumberFormat="1" applyFont="1" applyFill="1" applyBorder="1"/>
    <xf numFmtId="188" fontId="63" fillId="0" borderId="0" xfId="2" applyNumberFormat="1" applyFont="1"/>
    <xf numFmtId="171" fontId="69" fillId="0" borderId="5" xfId="4" applyNumberFormat="1" applyFont="1" applyBorder="1"/>
    <xf numFmtId="171" fontId="69" fillId="0" borderId="6" xfId="4" applyNumberFormat="1" applyFont="1" applyBorder="1"/>
    <xf numFmtId="171" fontId="75" fillId="21" borderId="5" xfId="4" applyNumberFormat="1" applyFont="1" applyFill="1" applyBorder="1" applyProtection="1">
      <protection locked="0"/>
    </xf>
    <xf numFmtId="171" fontId="75" fillId="21" borderId="0" xfId="4" applyNumberFormat="1" applyFont="1" applyFill="1" applyProtection="1">
      <protection locked="0"/>
    </xf>
    <xf numFmtId="171" fontId="75" fillId="21" borderId="6" xfId="4" applyNumberFormat="1" applyFont="1" applyFill="1" applyBorder="1" applyProtection="1">
      <protection locked="0"/>
    </xf>
    <xf numFmtId="7" fontId="69" fillId="15" borderId="0" xfId="4" applyNumberFormat="1" applyFont="1" applyFill="1"/>
    <xf numFmtId="7" fontId="69" fillId="15" borderId="6" xfId="4" applyNumberFormat="1" applyFont="1" applyFill="1" applyBorder="1"/>
    <xf numFmtId="0" fontId="63" fillId="0" borderId="17" xfId="2" applyFont="1" applyBorder="1"/>
    <xf numFmtId="164" fontId="69" fillId="18" borderId="5" xfId="4" applyNumberFormat="1" applyFont="1" applyFill="1" applyBorder="1"/>
    <xf numFmtId="164" fontId="69" fillId="0" borderId="5" xfId="4" applyNumberFormat="1" applyFont="1" applyBorder="1"/>
    <xf numFmtId="164" fontId="69" fillId="0" borderId="6" xfId="4" applyNumberFormat="1" applyFont="1" applyBorder="1"/>
    <xf numFmtId="7" fontId="69" fillId="18" borderId="6" xfId="4" applyNumberFormat="1" applyFont="1" applyFill="1" applyBorder="1"/>
    <xf numFmtId="164" fontId="69" fillId="9" borderId="0" xfId="4" applyNumberFormat="1" applyFont="1" applyFill="1"/>
    <xf numFmtId="7" fontId="69" fillId="15" borderId="73" xfId="4" applyNumberFormat="1" applyFont="1" applyFill="1" applyBorder="1"/>
    <xf numFmtId="7" fontId="69" fillId="20" borderId="73" xfId="4" applyNumberFormat="1" applyFont="1" applyFill="1" applyBorder="1"/>
    <xf numFmtId="169" fontId="69" fillId="0" borderId="5" xfId="4" applyNumberFormat="1" applyFont="1" applyBorder="1" applyProtection="1">
      <protection locked="0"/>
    </xf>
    <xf numFmtId="169" fontId="69" fillId="0" borderId="6" xfId="4" applyNumberFormat="1" applyFont="1" applyBorder="1" applyProtection="1">
      <protection locked="0"/>
    </xf>
    <xf numFmtId="7" fontId="69" fillId="18" borderId="5" xfId="4" applyNumberFormat="1" applyFont="1" applyFill="1" applyBorder="1" applyProtection="1">
      <protection locked="0"/>
    </xf>
    <xf numFmtId="7" fontId="69" fillId="0" borderId="5" xfId="4" applyNumberFormat="1" applyFont="1" applyBorder="1" applyProtection="1">
      <protection locked="0"/>
    </xf>
    <xf numFmtId="168" fontId="69" fillId="22" borderId="0" xfId="4" applyNumberFormat="1" applyFont="1" applyFill="1" applyProtection="1">
      <protection locked="0"/>
    </xf>
    <xf numFmtId="7" fontId="69" fillId="18" borderId="5" xfId="4" applyNumberFormat="1" applyFont="1" applyFill="1" applyBorder="1"/>
    <xf numFmtId="7" fontId="69" fillId="0" borderId="5" xfId="4" applyNumberFormat="1" applyFont="1" applyBorder="1"/>
    <xf numFmtId="164" fontId="63" fillId="0" borderId="0" xfId="2" applyNumberFormat="1" applyFont="1" applyProtection="1">
      <protection locked="0"/>
    </xf>
    <xf numFmtId="169" fontId="69" fillId="0" borderId="0" xfId="4" applyNumberFormat="1" applyFont="1"/>
    <xf numFmtId="169" fontId="69" fillId="4" borderId="0" xfId="4" applyNumberFormat="1" applyFont="1" applyFill="1" applyProtection="1">
      <protection locked="0"/>
    </xf>
    <xf numFmtId="8" fontId="69" fillId="0" borderId="0" xfId="4" applyNumberFormat="1" applyFont="1" applyProtection="1">
      <protection locked="0"/>
    </xf>
    <xf numFmtId="8" fontId="69" fillId="18" borderId="5" xfId="4" applyNumberFormat="1" applyFont="1" applyFill="1" applyBorder="1" applyProtection="1">
      <protection locked="0"/>
    </xf>
    <xf numFmtId="7" fontId="69" fillId="0" borderId="72" xfId="4" applyNumberFormat="1" applyFont="1" applyBorder="1" applyProtection="1">
      <protection locked="0"/>
    </xf>
    <xf numFmtId="7" fontId="69" fillId="20" borderId="72" xfId="4" applyNumberFormat="1" applyFont="1" applyFill="1" applyBorder="1" applyProtection="1">
      <protection locked="0"/>
    </xf>
    <xf numFmtId="168" fontId="69" fillId="0" borderId="10" xfId="4" applyNumberFormat="1" applyFont="1" applyBorder="1" applyProtection="1">
      <protection locked="0"/>
    </xf>
    <xf numFmtId="168" fontId="69" fillId="0" borderId="11" xfId="4" applyNumberFormat="1" applyFont="1" applyBorder="1" applyProtection="1">
      <protection locked="0"/>
    </xf>
    <xf numFmtId="168" fontId="69" fillId="0" borderId="12" xfId="4" applyNumberFormat="1" applyFont="1" applyBorder="1" applyProtection="1">
      <protection locked="0"/>
    </xf>
    <xf numFmtId="0" fontId="66" fillId="0" borderId="7" xfId="2" applyFont="1" applyBorder="1" applyProtection="1">
      <protection locked="0"/>
    </xf>
    <xf numFmtId="0" fontId="66" fillId="0" borderId="1" xfId="2" applyFont="1" applyBorder="1" applyProtection="1">
      <protection locked="0"/>
    </xf>
    <xf numFmtId="0" fontId="66" fillId="0" borderId="8" xfId="2" applyFont="1" applyBorder="1" applyProtection="1">
      <protection locked="0"/>
    </xf>
    <xf numFmtId="168" fontId="69" fillId="20" borderId="72" xfId="4" applyNumberFormat="1" applyFont="1" applyFill="1" applyBorder="1" applyProtection="1">
      <protection locked="0"/>
    </xf>
    <xf numFmtId="168" fontId="69" fillId="20" borderId="14" xfId="4" applyNumberFormat="1" applyFont="1" applyFill="1" applyBorder="1" applyProtection="1">
      <protection locked="0"/>
    </xf>
    <xf numFmtId="168" fontId="69" fillId="20" borderId="73" xfId="4" applyNumberFormat="1" applyFont="1" applyFill="1" applyBorder="1" applyProtection="1">
      <protection locked="0"/>
    </xf>
    <xf numFmtId="5" fontId="63" fillId="0" borderId="0" xfId="2" applyNumberFormat="1" applyFont="1" applyProtection="1">
      <protection locked="0"/>
    </xf>
    <xf numFmtId="9" fontId="63" fillId="0" borderId="0" xfId="1" applyFont="1" applyFill="1" applyProtection="1">
      <protection locked="0"/>
    </xf>
    <xf numFmtId="5" fontId="63" fillId="20" borderId="0" xfId="2" applyNumberFormat="1" applyFont="1" applyFill="1" applyProtection="1">
      <protection locked="0"/>
    </xf>
    <xf numFmtId="9" fontId="63" fillId="20" borderId="0" xfId="1" applyFont="1" applyFill="1" applyProtection="1">
      <protection locked="0"/>
    </xf>
    <xf numFmtId="174" fontId="63" fillId="0" borderId="0" xfId="6" applyNumberFormat="1" applyFont="1" applyFill="1" applyProtection="1">
      <protection locked="0"/>
    </xf>
    <xf numFmtId="0" fontId="76" fillId="0" borderId="0" xfId="2" applyFont="1" applyProtection="1">
      <protection locked="0"/>
    </xf>
    <xf numFmtId="37" fontId="69" fillId="18" borderId="0" xfId="4" applyNumberFormat="1" applyFont="1" applyFill="1" applyProtection="1">
      <protection locked="0"/>
    </xf>
    <xf numFmtId="3" fontId="69" fillId="18" borderId="0" xfId="4" applyNumberFormat="1" applyFont="1" applyFill="1" applyProtection="1">
      <protection locked="0"/>
    </xf>
    <xf numFmtId="37" fontId="69" fillId="18" borderId="14" xfId="4" applyNumberFormat="1" applyFont="1" applyFill="1" applyBorder="1" applyProtection="1">
      <protection locked="0"/>
    </xf>
    <xf numFmtId="10" fontId="63" fillId="0" borderId="0" xfId="1" applyNumberFormat="1" applyFont="1" applyProtection="1">
      <protection locked="0"/>
    </xf>
    <xf numFmtId="2" fontId="69" fillId="18" borderId="0" xfId="4" applyNumberFormat="1" applyFont="1" applyFill="1"/>
    <xf numFmtId="37" fontId="69" fillId="18" borderId="0" xfId="4" applyNumberFormat="1" applyFont="1" applyFill="1"/>
    <xf numFmtId="5" fontId="69" fillId="18" borderId="0" xfId="4" applyNumberFormat="1" applyFont="1" applyFill="1"/>
    <xf numFmtId="174" fontId="69" fillId="18" borderId="0" xfId="6" applyNumberFormat="1" applyFont="1" applyFill="1" applyProtection="1"/>
    <xf numFmtId="171" fontId="69" fillId="21" borderId="0" xfId="4" applyNumberFormat="1" applyFont="1" applyFill="1" applyProtection="1">
      <protection locked="0"/>
    </xf>
    <xf numFmtId="3" fontId="69" fillId="18" borderId="0" xfId="4" applyNumberFormat="1" applyFont="1" applyFill="1"/>
    <xf numFmtId="164" fontId="69" fillId="7" borderId="0" xfId="4" applyNumberFormat="1" applyFont="1" applyFill="1"/>
    <xf numFmtId="166" fontId="69" fillId="18" borderId="0" xfId="4" applyNumberFormat="1" applyFont="1" applyFill="1"/>
    <xf numFmtId="37" fontId="69" fillId="18" borderId="14" xfId="4" applyNumberFormat="1" applyFont="1" applyFill="1" applyBorder="1"/>
    <xf numFmtId="5" fontId="69" fillId="18" borderId="14" xfId="4" applyNumberFormat="1" applyFont="1" applyFill="1" applyBorder="1"/>
    <xf numFmtId="0" fontId="69" fillId="18" borderId="14" xfId="4" applyFont="1" applyFill="1" applyBorder="1"/>
    <xf numFmtId="0" fontId="63" fillId="0" borderId="0" xfId="2" applyFont="1" applyAlignment="1" applyProtection="1">
      <alignment horizontal="right"/>
      <protection locked="0"/>
    </xf>
    <xf numFmtId="194" fontId="63" fillId="0" borderId="0" xfId="2" applyNumberFormat="1" applyFont="1" applyProtection="1">
      <protection locked="0"/>
    </xf>
    <xf numFmtId="0" fontId="63" fillId="0" borderId="0" xfId="0" applyFont="1" applyAlignment="1">
      <alignment horizontal="right"/>
    </xf>
    <xf numFmtId="0" fontId="67" fillId="0" borderId="2" xfId="4" applyFont="1" applyBorder="1" applyAlignment="1" applyProtection="1">
      <alignment horizontal="center"/>
      <protection locked="0"/>
    </xf>
    <xf numFmtId="0" fontId="67" fillId="0" borderId="3" xfId="4" applyFont="1" applyBorder="1" applyAlignment="1" applyProtection="1">
      <alignment horizontal="center"/>
      <protection locked="0"/>
    </xf>
    <xf numFmtId="0" fontId="67" fillId="0" borderId="4" xfId="4" applyFont="1" applyBorder="1" applyAlignment="1" applyProtection="1">
      <alignment horizontal="center"/>
      <protection locked="0"/>
    </xf>
    <xf numFmtId="0" fontId="67" fillId="0" borderId="3" xfId="4" applyFont="1" applyBorder="1" applyAlignment="1" applyProtection="1">
      <alignment horizontal="centerContinuous"/>
      <protection locked="0"/>
    </xf>
    <xf numFmtId="0" fontId="67" fillId="0" borderId="4" xfId="4" applyFont="1" applyBorder="1" applyAlignment="1" applyProtection="1">
      <alignment horizontal="centerContinuous"/>
      <protection locked="0"/>
    </xf>
    <xf numFmtId="0" fontId="73" fillId="18" borderId="9" xfId="4" applyFont="1" applyFill="1" applyBorder="1" applyProtection="1">
      <protection locked="0"/>
    </xf>
    <xf numFmtId="0" fontId="74" fillId="15" borderId="89" xfId="15" applyFont="1" applyFill="1" applyBorder="1" applyAlignment="1" applyProtection="1">
      <alignment wrapText="1"/>
      <protection locked="0"/>
    </xf>
    <xf numFmtId="0" fontId="74" fillId="15" borderId="90" xfId="15" applyFont="1" applyFill="1" applyBorder="1" applyAlignment="1" applyProtection="1">
      <alignment wrapText="1"/>
      <protection locked="0"/>
    </xf>
    <xf numFmtId="0" fontId="66" fillId="0" borderId="0" xfId="2" applyFont="1" applyAlignment="1" applyProtection="1">
      <alignment wrapText="1"/>
      <protection locked="0"/>
    </xf>
    <xf numFmtId="0" fontId="67" fillId="0" borderId="10" xfId="4" applyFont="1" applyBorder="1" applyAlignment="1" applyProtection="1">
      <alignment wrapText="1"/>
      <protection locked="0"/>
    </xf>
    <xf numFmtId="0" fontId="67" fillId="0" borderId="11" xfId="4" applyFont="1" applyBorder="1" applyAlignment="1" applyProtection="1">
      <alignment wrapText="1"/>
      <protection locked="0"/>
    </xf>
    <xf numFmtId="0" fontId="67" fillId="0" borderId="11" xfId="4" applyFont="1" applyBorder="1" applyProtection="1">
      <protection locked="0"/>
    </xf>
    <xf numFmtId="0" fontId="67" fillId="0" borderId="11" xfId="2" applyFont="1" applyBorder="1" applyAlignment="1" applyProtection="1">
      <alignment wrapText="1"/>
      <protection locked="0"/>
    </xf>
    <xf numFmtId="9" fontId="67" fillId="0" borderId="11" xfId="1" applyFont="1" applyBorder="1" applyAlignment="1" applyProtection="1">
      <alignment wrapText="1"/>
      <protection locked="0"/>
    </xf>
    <xf numFmtId="0" fontId="67" fillId="0" borderId="12" xfId="2" applyFont="1" applyBorder="1" applyAlignment="1" applyProtection="1">
      <alignment wrapText="1"/>
      <protection locked="0"/>
    </xf>
    <xf numFmtId="0" fontId="67" fillId="20" borderId="10" xfId="4" applyFont="1" applyFill="1" applyBorder="1" applyAlignment="1" applyProtection="1">
      <alignment wrapText="1"/>
      <protection locked="0"/>
    </xf>
    <xf numFmtId="0" fontId="67" fillId="20" borderId="11" xfId="4" applyFont="1" applyFill="1" applyBorder="1" applyAlignment="1" applyProtection="1">
      <alignment wrapText="1"/>
      <protection locked="0"/>
    </xf>
    <xf numFmtId="0" fontId="67" fillId="20" borderId="11" xfId="4" applyFont="1" applyFill="1" applyBorder="1" applyProtection="1">
      <protection locked="0"/>
    </xf>
    <xf numFmtId="0" fontId="67" fillId="20" borderId="11" xfId="2" applyFont="1" applyFill="1" applyBorder="1" applyAlignment="1" applyProtection="1">
      <alignment wrapText="1"/>
      <protection locked="0"/>
    </xf>
    <xf numFmtId="9" fontId="67" fillId="20" borderId="11" xfId="1" applyFont="1" applyFill="1" applyBorder="1" applyAlignment="1" applyProtection="1">
      <alignment wrapText="1"/>
      <protection locked="0"/>
    </xf>
    <xf numFmtId="0" fontId="67" fillId="20" borderId="12" xfId="2" applyFont="1" applyFill="1" applyBorder="1" applyAlignment="1" applyProtection="1">
      <alignment wrapText="1"/>
      <protection locked="0"/>
    </xf>
    <xf numFmtId="0" fontId="67" fillId="0" borderId="7" xfId="4" applyFont="1" applyBorder="1" applyAlignment="1" applyProtection="1">
      <alignment horizontal="center"/>
      <protection locked="0"/>
    </xf>
    <xf numFmtId="0" fontId="67" fillId="0" borderId="8" xfId="4" applyFont="1" applyBorder="1" applyAlignment="1" applyProtection="1">
      <alignment horizontal="center"/>
      <protection locked="0"/>
    </xf>
    <xf numFmtId="0" fontId="63" fillId="0" borderId="2" xfId="2" applyFont="1" applyBorder="1" applyProtection="1">
      <protection locked="0"/>
    </xf>
    <xf numFmtId="0" fontId="63" fillId="0" borderId="3" xfId="2" applyFont="1" applyBorder="1" applyProtection="1">
      <protection locked="0"/>
    </xf>
    <xf numFmtId="0" fontId="63" fillId="0" borderId="4" xfId="2" applyFont="1" applyBorder="1" applyProtection="1">
      <protection locked="0"/>
    </xf>
    <xf numFmtId="0" fontId="63" fillId="0" borderId="5" xfId="4" applyFont="1" applyBorder="1" applyProtection="1">
      <protection locked="0"/>
    </xf>
    <xf numFmtId="0" fontId="63" fillId="20" borderId="5" xfId="4" applyFont="1" applyFill="1" applyBorder="1" applyProtection="1">
      <protection locked="0"/>
    </xf>
    <xf numFmtId="0" fontId="63" fillId="20" borderId="0" xfId="4" applyFont="1" applyFill="1" applyProtection="1">
      <protection locked="0"/>
    </xf>
    <xf numFmtId="0" fontId="63" fillId="20" borderId="6" xfId="4" applyFont="1" applyFill="1" applyBorder="1" applyProtection="1">
      <protection locked="0"/>
    </xf>
    <xf numFmtId="0" fontId="63" fillId="0" borderId="5" xfId="4" applyFont="1" applyBorder="1" applyAlignment="1" applyProtection="1">
      <alignment horizontal="center"/>
      <protection locked="0"/>
    </xf>
    <xf numFmtId="0" fontId="63" fillId="0" borderId="6" xfId="4" applyFont="1" applyBorder="1" applyAlignment="1" applyProtection="1">
      <alignment horizontal="center"/>
      <protection locked="0"/>
    </xf>
    <xf numFmtId="169" fontId="69" fillId="0" borderId="17" xfId="4" applyNumberFormat="1" applyFont="1" applyBorder="1" applyProtection="1">
      <protection locked="0"/>
    </xf>
    <xf numFmtId="0" fontId="63" fillId="20" borderId="5" xfId="2" applyFont="1" applyFill="1" applyBorder="1"/>
    <xf numFmtId="0" fontId="63" fillId="20" borderId="0" xfId="2" applyFont="1" applyFill="1"/>
    <xf numFmtId="0" fontId="63" fillId="20" borderId="6" xfId="2" applyFont="1" applyFill="1" applyBorder="1"/>
    <xf numFmtId="168" fontId="69" fillId="0" borderId="17" xfId="4" applyNumberFormat="1" applyFont="1" applyBorder="1" applyProtection="1">
      <protection locked="0"/>
    </xf>
    <xf numFmtId="169" fontId="69" fillId="21" borderId="0" xfId="4" applyNumberFormat="1" applyFont="1" applyFill="1" applyProtection="1">
      <protection locked="0"/>
    </xf>
    <xf numFmtId="169" fontId="69" fillId="4" borderId="6" xfId="4" applyNumberFormat="1" applyFont="1" applyFill="1" applyBorder="1" applyProtection="1">
      <protection locked="0"/>
    </xf>
    <xf numFmtId="191" fontId="69" fillId="0" borderId="0" xfId="13" applyNumberFormat="1" applyFont="1" applyFill="1" applyBorder="1" applyProtection="1">
      <protection locked="0"/>
    </xf>
    <xf numFmtId="187" fontId="69" fillId="0" borderId="0" xfId="13" applyNumberFormat="1" applyFont="1" applyFill="1" applyBorder="1" applyProtection="1">
      <protection locked="0"/>
    </xf>
    <xf numFmtId="187" fontId="69" fillId="0" borderId="6" xfId="13" applyNumberFormat="1" applyFont="1" applyFill="1" applyBorder="1" applyProtection="1">
      <protection locked="0"/>
    </xf>
    <xf numFmtId="37" fontId="69" fillId="20" borderId="5" xfId="4" applyNumberFormat="1" applyFont="1" applyFill="1" applyBorder="1" applyProtection="1">
      <protection locked="0"/>
    </xf>
    <xf numFmtId="191" fontId="69" fillId="20" borderId="0" xfId="13" applyNumberFormat="1" applyFont="1" applyFill="1" applyBorder="1" applyProtection="1">
      <protection locked="0"/>
    </xf>
    <xf numFmtId="37" fontId="69" fillId="20" borderId="0" xfId="4" applyNumberFormat="1" applyFont="1" applyFill="1" applyProtection="1">
      <protection locked="0"/>
    </xf>
    <xf numFmtId="187" fontId="69" fillId="20" borderId="0" xfId="13" applyNumberFormat="1" applyFont="1" applyFill="1" applyBorder="1" applyProtection="1">
      <protection locked="0"/>
    </xf>
    <xf numFmtId="187" fontId="69" fillId="20" borderId="6" xfId="13" applyNumberFormat="1" applyFont="1" applyFill="1" applyBorder="1" applyProtection="1">
      <protection locked="0"/>
    </xf>
    <xf numFmtId="0" fontId="69" fillId="0" borderId="13" xfId="4" applyFont="1" applyBorder="1" applyProtection="1">
      <protection locked="0"/>
    </xf>
    <xf numFmtId="37" fontId="69" fillId="0" borderId="75" xfId="4" applyNumberFormat="1" applyFont="1" applyBorder="1" applyProtection="1">
      <protection locked="0"/>
    </xf>
    <xf numFmtId="5" fontId="69" fillId="0" borderId="13" xfId="4" applyNumberFormat="1" applyFont="1" applyBorder="1" applyProtection="1">
      <protection locked="0"/>
    </xf>
    <xf numFmtId="37" fontId="69" fillId="0" borderId="13" xfId="4" applyNumberFormat="1" applyFont="1" applyBorder="1" applyProtection="1">
      <protection locked="0"/>
    </xf>
    <xf numFmtId="169" fontId="69" fillId="4" borderId="13" xfId="4" applyNumberFormat="1" applyFont="1" applyFill="1" applyBorder="1" applyProtection="1">
      <protection locked="0"/>
    </xf>
    <xf numFmtId="166" fontId="69" fillId="0" borderId="76" xfId="4" applyNumberFormat="1" applyFont="1" applyBorder="1" applyProtection="1">
      <protection locked="0"/>
    </xf>
    <xf numFmtId="5" fontId="69" fillId="4" borderId="75" xfId="4" applyNumberFormat="1" applyFont="1" applyFill="1" applyBorder="1" applyProtection="1">
      <protection locked="0"/>
    </xf>
    <xf numFmtId="5" fontId="69" fillId="4" borderId="13" xfId="4" applyNumberFormat="1" applyFont="1" applyFill="1" applyBorder="1" applyProtection="1">
      <protection locked="0"/>
    </xf>
    <xf numFmtId="10" fontId="69" fillId="4" borderId="76" xfId="5" applyNumberFormat="1" applyFont="1" applyFill="1" applyBorder="1" applyProtection="1">
      <protection locked="0"/>
    </xf>
    <xf numFmtId="169" fontId="69" fillId="0" borderId="79" xfId="4" applyNumberFormat="1" applyFont="1" applyBorder="1" applyProtection="1">
      <protection locked="0"/>
    </xf>
    <xf numFmtId="169" fontId="69" fillId="21" borderId="13" xfId="4" applyNumberFormat="1" applyFont="1" applyFill="1" applyBorder="1" applyProtection="1">
      <protection locked="0"/>
    </xf>
    <xf numFmtId="169" fontId="69" fillId="4" borderId="76" xfId="4" applyNumberFormat="1" applyFont="1" applyFill="1" applyBorder="1" applyProtection="1">
      <protection locked="0"/>
    </xf>
    <xf numFmtId="191" fontId="69" fillId="0" borderId="13" xfId="13" applyNumberFormat="1" applyFont="1" applyFill="1" applyBorder="1" applyProtection="1">
      <protection locked="0"/>
    </xf>
    <xf numFmtId="187" fontId="69" fillId="0" borderId="13" xfId="13" applyNumberFormat="1" applyFont="1" applyFill="1" applyBorder="1" applyProtection="1">
      <protection locked="0"/>
    </xf>
    <xf numFmtId="187" fontId="69" fillId="0" borderId="76" xfId="13" applyNumberFormat="1" applyFont="1" applyFill="1" applyBorder="1" applyProtection="1">
      <protection locked="0"/>
    </xf>
    <xf numFmtId="37" fontId="69" fillId="20" borderId="75" xfId="4" applyNumberFormat="1" applyFont="1" applyFill="1" applyBorder="1" applyProtection="1">
      <protection locked="0"/>
    </xf>
    <xf numFmtId="191" fontId="69" fillId="20" borderId="13" xfId="13" applyNumberFormat="1" applyFont="1" applyFill="1" applyBorder="1" applyProtection="1">
      <protection locked="0"/>
    </xf>
    <xf numFmtId="37" fontId="69" fillId="20" borderId="13" xfId="4" applyNumberFormat="1" applyFont="1" applyFill="1" applyBorder="1" applyProtection="1">
      <protection locked="0"/>
    </xf>
    <xf numFmtId="187" fontId="69" fillId="20" borderId="13" xfId="13" applyNumberFormat="1" applyFont="1" applyFill="1" applyBorder="1" applyProtection="1">
      <protection locked="0"/>
    </xf>
    <xf numFmtId="187" fontId="69" fillId="20" borderId="76" xfId="13" applyNumberFormat="1" applyFont="1" applyFill="1" applyBorder="1" applyProtection="1">
      <protection locked="0"/>
    </xf>
    <xf numFmtId="168" fontId="69" fillId="0" borderId="13" xfId="4" applyNumberFormat="1" applyFont="1" applyBorder="1" applyProtection="1">
      <protection locked="0"/>
    </xf>
    <xf numFmtId="168" fontId="69" fillId="0" borderId="79" xfId="4" applyNumberFormat="1" applyFont="1" applyBorder="1" applyProtection="1">
      <protection locked="0"/>
    </xf>
    <xf numFmtId="168" fontId="69" fillId="0" borderId="76" xfId="4" applyNumberFormat="1" applyFont="1" applyBorder="1" applyProtection="1">
      <protection locked="0"/>
    </xf>
    <xf numFmtId="187" fontId="69" fillId="4" borderId="13" xfId="13" applyNumberFormat="1" applyFont="1" applyFill="1" applyBorder="1" applyProtection="1">
      <protection locked="0"/>
    </xf>
    <xf numFmtId="9" fontId="69" fillId="0" borderId="13" xfId="1" applyFont="1" applyFill="1" applyBorder="1" applyProtection="1">
      <protection locked="0"/>
    </xf>
    <xf numFmtId="187" fontId="69" fillId="4" borderId="76" xfId="13" applyNumberFormat="1" applyFont="1" applyFill="1" applyBorder="1" applyProtection="1">
      <protection locked="0"/>
    </xf>
    <xf numFmtId="9" fontId="69" fillId="20" borderId="13" xfId="1" applyFont="1" applyFill="1" applyBorder="1" applyProtection="1">
      <protection locked="0"/>
    </xf>
    <xf numFmtId="5" fontId="63" fillId="4" borderId="5" xfId="4" applyNumberFormat="1" applyFont="1" applyFill="1" applyBorder="1" applyProtection="1">
      <protection locked="0"/>
    </xf>
    <xf numFmtId="0" fontId="63" fillId="4" borderId="0" xfId="4" applyFont="1" applyFill="1" applyProtection="1">
      <protection locked="0"/>
    </xf>
    <xf numFmtId="0" fontId="63" fillId="4" borderId="6" xfId="4" applyFont="1" applyFill="1" applyBorder="1" applyProtection="1">
      <protection locked="0"/>
    </xf>
    <xf numFmtId="0" fontId="63" fillId="0" borderId="17" xfId="4" applyFont="1" applyBorder="1" applyProtection="1">
      <protection locked="0"/>
    </xf>
    <xf numFmtId="191" fontId="63" fillId="0" borderId="0" xfId="13" applyNumberFormat="1" applyFont="1" applyFill="1" applyBorder="1" applyProtection="1">
      <protection locked="0"/>
    </xf>
    <xf numFmtId="187" fontId="63" fillId="0" borderId="0" xfId="13" applyNumberFormat="1" applyFont="1" applyFill="1" applyBorder="1" applyProtection="1">
      <protection locked="0"/>
    </xf>
    <xf numFmtId="187" fontId="63" fillId="0" borderId="6" xfId="13" applyNumberFormat="1" applyFont="1" applyFill="1" applyBorder="1" applyProtection="1">
      <protection locked="0"/>
    </xf>
    <xf numFmtId="191" fontId="63" fillId="20" borderId="0" xfId="13" applyNumberFormat="1" applyFont="1" applyFill="1" applyBorder="1" applyProtection="1">
      <protection locked="0"/>
    </xf>
    <xf numFmtId="187" fontId="63" fillId="20" borderId="0" xfId="13" applyNumberFormat="1" applyFont="1" applyFill="1" applyBorder="1" applyProtection="1">
      <protection locked="0"/>
    </xf>
    <xf numFmtId="187" fontId="63" fillId="20" borderId="6" xfId="13" applyNumberFormat="1" applyFont="1" applyFill="1" applyBorder="1" applyProtection="1">
      <protection locked="0"/>
    </xf>
    <xf numFmtId="3" fontId="63" fillId="0" borderId="0" xfId="4" applyNumberFormat="1" applyFont="1" applyProtection="1">
      <protection locked="0"/>
    </xf>
    <xf numFmtId="169" fontId="69" fillId="22" borderId="0" xfId="4" applyNumberFormat="1" applyFont="1" applyFill="1" applyProtection="1">
      <protection locked="0"/>
    </xf>
    <xf numFmtId="8" fontId="63" fillId="0" borderId="6" xfId="4" applyNumberFormat="1" applyFont="1" applyBorder="1" applyAlignment="1" applyProtection="1">
      <alignment horizontal="right"/>
      <protection locked="0"/>
    </xf>
    <xf numFmtId="5" fontId="63" fillId="4" borderId="5" xfId="4" applyNumberFormat="1" applyFont="1" applyFill="1" applyBorder="1" applyAlignment="1" applyProtection="1">
      <alignment horizontal="right"/>
      <protection locked="0"/>
    </xf>
    <xf numFmtId="8" fontId="63" fillId="0" borderId="17" xfId="4" applyNumberFormat="1" applyFont="1" applyBorder="1" applyAlignment="1" applyProtection="1">
      <alignment horizontal="right"/>
      <protection locked="0"/>
    </xf>
    <xf numFmtId="8" fontId="63" fillId="21" borderId="0" xfId="4" applyNumberFormat="1" applyFont="1" applyFill="1" applyAlignment="1" applyProtection="1">
      <alignment horizontal="right"/>
      <protection locked="0"/>
    </xf>
    <xf numFmtId="8" fontId="63" fillId="4" borderId="0" xfId="4" applyNumberFormat="1" applyFont="1" applyFill="1" applyAlignment="1" applyProtection="1">
      <alignment horizontal="right"/>
      <protection locked="0"/>
    </xf>
    <xf numFmtId="8" fontId="63" fillId="4" borderId="6" xfId="4" applyNumberFormat="1" applyFont="1" applyFill="1" applyBorder="1" applyAlignment="1" applyProtection="1">
      <alignment horizontal="right"/>
      <protection locked="0"/>
    </xf>
    <xf numFmtId="3" fontId="63" fillId="0" borderId="5" xfId="4" applyNumberFormat="1" applyFont="1" applyBorder="1" applyProtection="1">
      <protection locked="0"/>
    </xf>
    <xf numFmtId="3" fontId="63" fillId="20" borderId="5" xfId="4" applyNumberFormat="1" applyFont="1" applyFill="1" applyBorder="1" applyProtection="1">
      <protection locked="0"/>
    </xf>
    <xf numFmtId="3" fontId="63" fillId="20" borderId="0" xfId="4" applyNumberFormat="1" applyFont="1" applyFill="1" applyProtection="1">
      <protection locked="0"/>
    </xf>
    <xf numFmtId="170" fontId="63" fillId="0" borderId="5" xfId="4" applyNumberFormat="1" applyFont="1" applyBorder="1" applyAlignment="1" applyProtection="1">
      <alignment horizontal="right"/>
      <protection locked="0"/>
    </xf>
    <xf numFmtId="0" fontId="63" fillId="0" borderId="6" xfId="4" applyFont="1" applyBorder="1" applyAlignment="1" applyProtection="1">
      <alignment horizontal="left"/>
      <protection locked="0"/>
    </xf>
    <xf numFmtId="0" fontId="63" fillId="15" borderId="5" xfId="4" applyFont="1" applyFill="1" applyBorder="1" applyProtection="1">
      <protection locked="0"/>
    </xf>
    <xf numFmtId="37" fontId="63" fillId="0" borderId="5" xfId="4" applyNumberFormat="1" applyFont="1" applyBorder="1" applyProtection="1">
      <protection locked="0"/>
    </xf>
    <xf numFmtId="5" fontId="63" fillId="0" borderId="0" xfId="4" applyNumberFormat="1" applyFont="1" applyProtection="1">
      <protection locked="0"/>
    </xf>
    <xf numFmtId="37" fontId="63" fillId="0" borderId="0" xfId="4" applyNumberFormat="1" applyFont="1" applyProtection="1">
      <protection locked="0"/>
    </xf>
    <xf numFmtId="7" fontId="63" fillId="0" borderId="17" xfId="4" applyNumberFormat="1" applyFont="1" applyBorder="1" applyProtection="1">
      <protection locked="0"/>
    </xf>
    <xf numFmtId="7" fontId="63" fillId="0" borderId="6" xfId="4" applyNumberFormat="1" applyFont="1" applyBorder="1" applyProtection="1">
      <protection locked="0"/>
    </xf>
    <xf numFmtId="37" fontId="63" fillId="20" borderId="5" xfId="4" applyNumberFormat="1" applyFont="1" applyFill="1" applyBorder="1" applyProtection="1">
      <protection locked="0"/>
    </xf>
    <xf numFmtId="37" fontId="63" fillId="20" borderId="0" xfId="4" applyNumberFormat="1" applyFont="1" applyFill="1" applyProtection="1">
      <protection locked="0"/>
    </xf>
    <xf numFmtId="37" fontId="63" fillId="21" borderId="0" xfId="4" applyNumberFormat="1" applyFont="1" applyFill="1" applyProtection="1">
      <protection locked="0"/>
    </xf>
    <xf numFmtId="171" fontId="63" fillId="0" borderId="6" xfId="4" applyNumberFormat="1" applyFont="1" applyBorder="1" applyProtection="1">
      <protection locked="0"/>
    </xf>
    <xf numFmtId="5" fontId="63" fillId="4" borderId="0" xfId="4" applyNumberFormat="1" applyFont="1" applyFill="1" applyProtection="1">
      <protection locked="0"/>
    </xf>
    <xf numFmtId="171" fontId="63" fillId="0" borderId="17" xfId="4" applyNumberFormat="1" applyFont="1" applyBorder="1" applyProtection="1">
      <protection locked="0"/>
    </xf>
    <xf numFmtId="171" fontId="63" fillId="11" borderId="0" xfId="4" applyNumberFormat="1" applyFont="1" applyFill="1" applyProtection="1">
      <protection locked="0"/>
    </xf>
    <xf numFmtId="191" fontId="63" fillId="4" borderId="0" xfId="13" applyNumberFormat="1" applyFont="1" applyFill="1" applyBorder="1" applyProtection="1">
      <protection locked="0"/>
    </xf>
    <xf numFmtId="170" fontId="63" fillId="15" borderId="5" xfId="4" applyNumberFormat="1" applyFont="1" applyFill="1" applyBorder="1" applyAlignment="1" applyProtection="1">
      <alignment horizontal="right"/>
      <protection locked="0"/>
    </xf>
    <xf numFmtId="3" fontId="63" fillId="9" borderId="0" xfId="4" applyNumberFormat="1" applyFont="1" applyFill="1" applyProtection="1">
      <protection locked="0"/>
    </xf>
    <xf numFmtId="174" fontId="69" fillId="0" borderId="17" xfId="6" applyNumberFormat="1" applyFont="1" applyBorder="1"/>
    <xf numFmtId="169" fontId="69" fillId="22" borderId="1" xfId="4" applyNumberFormat="1" applyFont="1" applyFill="1" applyBorder="1" applyProtection="1">
      <protection locked="0"/>
    </xf>
    <xf numFmtId="37" fontId="63" fillId="0" borderId="72" xfId="4" applyNumberFormat="1" applyFont="1" applyBorder="1" applyProtection="1">
      <protection locked="0"/>
    </xf>
    <xf numFmtId="171" fontId="63" fillId="0" borderId="14" xfId="4" applyNumberFormat="1" applyFont="1" applyBorder="1" applyProtection="1">
      <protection locked="0"/>
    </xf>
    <xf numFmtId="37" fontId="63" fillId="0" borderId="14" xfId="4" applyNumberFormat="1" applyFont="1" applyBorder="1" applyProtection="1">
      <protection locked="0"/>
    </xf>
    <xf numFmtId="0" fontId="63" fillId="0" borderId="73" xfId="4" applyFont="1" applyBorder="1" applyProtection="1">
      <protection locked="0"/>
    </xf>
    <xf numFmtId="5" fontId="63" fillId="4" borderId="72" xfId="4" applyNumberFormat="1" applyFont="1" applyFill="1" applyBorder="1" applyProtection="1">
      <protection locked="0"/>
    </xf>
    <xf numFmtId="5" fontId="63" fillId="0" borderId="14" xfId="4" applyNumberFormat="1" applyFont="1" applyBorder="1" applyProtection="1">
      <protection locked="0"/>
    </xf>
    <xf numFmtId="7" fontId="63" fillId="0" borderId="80" xfId="4" applyNumberFormat="1" applyFont="1" applyBorder="1" applyProtection="1">
      <protection locked="0"/>
    </xf>
    <xf numFmtId="7" fontId="63" fillId="0" borderId="73" xfId="4" applyNumberFormat="1" applyFont="1" applyBorder="1" applyProtection="1">
      <protection locked="0"/>
    </xf>
    <xf numFmtId="191" fontId="63" fillId="0" borderId="14" xfId="13" applyNumberFormat="1" applyFont="1" applyFill="1" applyBorder="1" applyProtection="1">
      <protection locked="0"/>
    </xf>
    <xf numFmtId="187" fontId="63" fillId="0" borderId="14" xfId="13" applyNumberFormat="1" applyFont="1" applyFill="1" applyBorder="1" applyProtection="1">
      <protection locked="0"/>
    </xf>
    <xf numFmtId="187" fontId="63" fillId="0" borderId="73" xfId="13" applyNumberFormat="1" applyFont="1" applyFill="1" applyBorder="1" applyProtection="1">
      <protection locked="0"/>
    </xf>
    <xf numFmtId="37" fontId="63" fillId="20" borderId="72" xfId="4" applyNumberFormat="1" applyFont="1" applyFill="1" applyBorder="1" applyProtection="1">
      <protection locked="0"/>
    </xf>
    <xf numFmtId="191" fontId="63" fillId="20" borderId="14" xfId="13" applyNumberFormat="1" applyFont="1" applyFill="1" applyBorder="1" applyProtection="1">
      <protection locked="0"/>
    </xf>
    <xf numFmtId="37" fontId="63" fillId="20" borderId="14" xfId="4" applyNumberFormat="1" applyFont="1" applyFill="1" applyBorder="1" applyProtection="1">
      <protection locked="0"/>
    </xf>
    <xf numFmtId="187" fontId="63" fillId="20" borderId="14" xfId="13" applyNumberFormat="1" applyFont="1" applyFill="1" applyBorder="1" applyProtection="1">
      <protection locked="0"/>
    </xf>
    <xf numFmtId="187" fontId="63" fillId="20" borderId="73" xfId="13" applyNumberFormat="1" applyFont="1" applyFill="1" applyBorder="1" applyProtection="1">
      <protection locked="0"/>
    </xf>
    <xf numFmtId="7" fontId="63" fillId="21" borderId="0" xfId="4" applyNumberFormat="1" applyFont="1" applyFill="1" applyProtection="1">
      <protection locked="0"/>
    </xf>
    <xf numFmtId="7" fontId="63" fillId="4" borderId="0" xfId="4" applyNumberFormat="1" applyFont="1" applyFill="1" applyProtection="1">
      <protection locked="0"/>
    </xf>
    <xf numFmtId="7" fontId="63" fillId="4" borderId="6" xfId="4" applyNumberFormat="1" applyFont="1" applyFill="1" applyBorder="1" applyProtection="1">
      <protection locked="0"/>
    </xf>
    <xf numFmtId="166" fontId="63" fillId="0" borderId="17" xfId="4" applyNumberFormat="1" applyFont="1" applyBorder="1" applyProtection="1">
      <protection locked="0"/>
    </xf>
    <xf numFmtId="166" fontId="63" fillId="21" borderId="0" xfId="4" applyNumberFormat="1" applyFont="1" applyFill="1" applyProtection="1">
      <protection locked="0"/>
    </xf>
    <xf numFmtId="166" fontId="63" fillId="4" borderId="0" xfId="4" applyNumberFormat="1" applyFont="1" applyFill="1" applyProtection="1">
      <protection locked="0"/>
    </xf>
    <xf numFmtId="166" fontId="63" fillId="4" borderId="6" xfId="4" applyNumberFormat="1" applyFont="1" applyFill="1" applyBorder="1" applyProtection="1">
      <protection locked="0"/>
    </xf>
    <xf numFmtId="168" fontId="63" fillId="0" borderId="6" xfId="4" applyNumberFormat="1" applyFont="1" applyBorder="1" applyProtection="1">
      <protection locked="0"/>
    </xf>
    <xf numFmtId="168" fontId="63" fillId="0" borderId="17" xfId="4" applyNumberFormat="1" applyFont="1" applyBorder="1" applyProtection="1">
      <protection locked="0"/>
    </xf>
    <xf numFmtId="168" fontId="63" fillId="21" borderId="0" xfId="4" applyNumberFormat="1" applyFont="1" applyFill="1" applyProtection="1">
      <protection locked="0"/>
    </xf>
    <xf numFmtId="168" fontId="63" fillId="4" borderId="0" xfId="4" applyNumberFormat="1" applyFont="1" applyFill="1" applyProtection="1">
      <protection locked="0"/>
    </xf>
    <xf numFmtId="168" fontId="63" fillId="4" borderId="6" xfId="4" applyNumberFormat="1" applyFont="1" applyFill="1" applyBorder="1" applyProtection="1">
      <protection locked="0"/>
    </xf>
    <xf numFmtId="0" fontId="63" fillId="0" borderId="18" xfId="4" applyFont="1" applyBorder="1" applyProtection="1">
      <protection locked="0"/>
    </xf>
    <xf numFmtId="0" fontId="63" fillId="0" borderId="77" xfId="4" applyFont="1" applyBorder="1" applyProtection="1">
      <protection locked="0"/>
    </xf>
    <xf numFmtId="0" fontId="63" fillId="0" borderId="78" xfId="4" applyFont="1" applyBorder="1" applyProtection="1">
      <protection locked="0"/>
    </xf>
    <xf numFmtId="5" fontId="63" fillId="4" borderId="77" xfId="4" applyNumberFormat="1" applyFont="1" applyFill="1" applyBorder="1" applyProtection="1">
      <protection locked="0"/>
    </xf>
    <xf numFmtId="0" fontId="63" fillId="4" borderId="18" xfId="4" applyFont="1" applyFill="1" applyBorder="1" applyProtection="1">
      <protection locked="0"/>
    </xf>
    <xf numFmtId="0" fontId="63" fillId="4" borderId="78" xfId="4" applyFont="1" applyFill="1" applyBorder="1" applyProtection="1">
      <protection locked="0"/>
    </xf>
    <xf numFmtId="0" fontId="63" fillId="0" borderId="81" xfId="4" applyFont="1" applyBorder="1" applyProtection="1">
      <protection locked="0"/>
    </xf>
    <xf numFmtId="187" fontId="63" fillId="0" borderId="18" xfId="13" applyNumberFormat="1" applyFont="1" applyFill="1" applyBorder="1" applyProtection="1">
      <protection locked="0"/>
    </xf>
    <xf numFmtId="187" fontId="63" fillId="0" borderId="78" xfId="13" applyNumberFormat="1" applyFont="1" applyFill="1" applyBorder="1" applyProtection="1">
      <protection locked="0"/>
    </xf>
    <xf numFmtId="0" fontId="63" fillId="20" borderId="77" xfId="4" applyFont="1" applyFill="1" applyBorder="1" applyProtection="1">
      <protection locked="0"/>
    </xf>
    <xf numFmtId="0" fontId="63" fillId="20" borderId="18" xfId="4" applyFont="1" applyFill="1" applyBorder="1" applyProtection="1">
      <protection locked="0"/>
    </xf>
    <xf numFmtId="187" fontId="63" fillId="20" borderId="18" xfId="13" applyNumberFormat="1" applyFont="1" applyFill="1" applyBorder="1" applyProtection="1">
      <protection locked="0"/>
    </xf>
    <xf numFmtId="187" fontId="63" fillId="20" borderId="78" xfId="13" applyNumberFormat="1" applyFont="1" applyFill="1" applyBorder="1" applyProtection="1">
      <protection locked="0"/>
    </xf>
    <xf numFmtId="0" fontId="63" fillId="0" borderId="13" xfId="4" applyFont="1" applyBorder="1" applyAlignment="1" applyProtection="1">
      <alignment horizontal="left"/>
      <protection locked="0"/>
    </xf>
    <xf numFmtId="0" fontId="63" fillId="0" borderId="13" xfId="4" applyFont="1" applyBorder="1" applyProtection="1">
      <protection locked="0"/>
    </xf>
    <xf numFmtId="37" fontId="66" fillId="0" borderId="75" xfId="4" applyNumberFormat="1" applyFont="1" applyBorder="1" applyProtection="1">
      <protection locked="0"/>
    </xf>
    <xf numFmtId="166" fontId="63" fillId="0" borderId="13" xfId="4" applyNumberFormat="1" applyFont="1" applyBorder="1" applyProtection="1">
      <protection locked="0"/>
    </xf>
    <xf numFmtId="5" fontId="63" fillId="0" borderId="13" xfId="4" applyNumberFormat="1" applyFont="1" applyBorder="1" applyProtection="1">
      <protection locked="0"/>
    </xf>
    <xf numFmtId="37" fontId="63" fillId="0" borderId="13" xfId="4" applyNumberFormat="1" applyFont="1" applyBorder="1" applyProtection="1">
      <protection locked="0"/>
    </xf>
    <xf numFmtId="168" fontId="63" fillId="0" borderId="13" xfId="4" applyNumberFormat="1" applyFont="1" applyBorder="1" applyProtection="1">
      <protection locked="0"/>
    </xf>
    <xf numFmtId="166" fontId="63" fillId="0" borderId="76" xfId="4" applyNumberFormat="1" applyFont="1" applyBorder="1" applyProtection="1">
      <protection locked="0"/>
    </xf>
    <xf numFmtId="5" fontId="63" fillId="4" borderId="75" xfId="4" applyNumberFormat="1" applyFont="1" applyFill="1" applyBorder="1" applyProtection="1">
      <protection locked="0"/>
    </xf>
    <xf numFmtId="5" fontId="63" fillId="0" borderId="18" xfId="4" applyNumberFormat="1" applyFont="1" applyBorder="1" applyProtection="1">
      <protection locked="0"/>
    </xf>
    <xf numFmtId="5" fontId="63" fillId="4" borderId="18" xfId="4" applyNumberFormat="1" applyFont="1" applyFill="1" applyBorder="1" applyProtection="1">
      <protection locked="0"/>
    </xf>
    <xf numFmtId="37" fontId="66" fillId="4" borderId="76" xfId="4" applyNumberFormat="1" applyFont="1" applyFill="1" applyBorder="1" applyProtection="1">
      <protection locked="0"/>
    </xf>
    <xf numFmtId="168" fontId="63" fillId="0" borderId="16" xfId="4" applyNumberFormat="1" applyFont="1" applyBorder="1" applyProtection="1">
      <protection locked="0"/>
    </xf>
    <xf numFmtId="168" fontId="63" fillId="0" borderId="1" xfId="4" applyNumberFormat="1" applyFont="1" applyBorder="1" applyProtection="1">
      <protection locked="0"/>
    </xf>
    <xf numFmtId="168" fontId="63" fillId="0" borderId="8" xfId="4" applyNumberFormat="1" applyFont="1" applyBorder="1" applyProtection="1">
      <protection locked="0"/>
    </xf>
    <xf numFmtId="37" fontId="63" fillId="0" borderId="75" xfId="4" applyNumberFormat="1" applyFont="1" applyBorder="1" applyProtection="1">
      <protection locked="0"/>
    </xf>
    <xf numFmtId="187" fontId="63" fillId="4" borderId="13" xfId="13" applyNumberFormat="1" applyFont="1" applyFill="1" applyBorder="1" applyProtection="1">
      <protection locked="0"/>
    </xf>
    <xf numFmtId="187" fontId="63" fillId="0" borderId="13" xfId="13" applyNumberFormat="1" applyFont="1" applyFill="1" applyBorder="1" applyProtection="1">
      <protection locked="0"/>
    </xf>
    <xf numFmtId="9" fontId="63" fillId="0" borderId="13" xfId="1" applyFont="1" applyFill="1" applyBorder="1" applyProtection="1">
      <protection locked="0"/>
    </xf>
    <xf numFmtId="187" fontId="63" fillId="4" borderId="76" xfId="13" applyNumberFormat="1" applyFont="1" applyFill="1" applyBorder="1" applyProtection="1">
      <protection locked="0"/>
    </xf>
    <xf numFmtId="37" fontId="63" fillId="20" borderId="75" xfId="4" applyNumberFormat="1" applyFont="1" applyFill="1" applyBorder="1" applyProtection="1">
      <protection locked="0"/>
    </xf>
    <xf numFmtId="37" fontId="63" fillId="20" borderId="13" xfId="4" applyNumberFormat="1" applyFont="1" applyFill="1" applyBorder="1" applyProtection="1">
      <protection locked="0"/>
    </xf>
    <xf numFmtId="187" fontId="63" fillId="20" borderId="13" xfId="13" applyNumberFormat="1" applyFont="1" applyFill="1" applyBorder="1" applyProtection="1">
      <protection locked="0"/>
    </xf>
    <xf numFmtId="9" fontId="63" fillId="20" borderId="13" xfId="1" applyFont="1" applyFill="1" applyBorder="1" applyProtection="1">
      <protection locked="0"/>
    </xf>
    <xf numFmtId="187" fontId="63" fillId="20" borderId="76" xfId="13" applyNumberFormat="1" applyFont="1" applyFill="1" applyBorder="1" applyProtection="1">
      <protection locked="0"/>
    </xf>
    <xf numFmtId="0" fontId="66" fillId="0" borderId="0" xfId="4" applyFont="1" applyAlignment="1" applyProtection="1">
      <alignment horizontal="right"/>
      <protection locked="0"/>
    </xf>
    <xf numFmtId="0" fontId="63" fillId="20" borderId="7" xfId="4" applyFont="1" applyFill="1" applyBorder="1" applyProtection="1">
      <protection locked="0"/>
    </xf>
    <xf numFmtId="0" fontId="63" fillId="20" borderId="1" xfId="4" applyFont="1" applyFill="1" applyBorder="1" applyProtection="1">
      <protection locked="0"/>
    </xf>
    <xf numFmtId="0" fontId="63" fillId="20" borderId="8" xfId="4" applyFont="1" applyFill="1" applyBorder="1" applyProtection="1">
      <protection locked="0"/>
    </xf>
    <xf numFmtId="5" fontId="63" fillId="0" borderId="0" xfId="4" applyNumberFormat="1" applyFont="1" applyAlignment="1" applyProtection="1">
      <alignment wrapText="1"/>
      <protection locked="0"/>
    </xf>
    <xf numFmtId="44" fontId="63" fillId="0" borderId="0" xfId="13" applyFont="1" applyAlignment="1" applyProtection="1">
      <alignment horizontal="right"/>
      <protection locked="0"/>
    </xf>
    <xf numFmtId="44" fontId="63" fillId="0" borderId="0" xfId="4" applyNumberFormat="1" applyFont="1" applyProtection="1">
      <protection locked="0"/>
    </xf>
    <xf numFmtId="5" fontId="63" fillId="18" borderId="0" xfId="4" applyNumberFormat="1" applyFont="1" applyFill="1" applyProtection="1">
      <protection locked="0"/>
    </xf>
    <xf numFmtId="44" fontId="63" fillId="0" borderId="0" xfId="13" applyFont="1" applyProtection="1">
      <protection locked="0"/>
    </xf>
    <xf numFmtId="0" fontId="63" fillId="0" borderId="0" xfId="4" applyFont="1" applyAlignment="1" applyProtection="1">
      <alignment horizontal="right"/>
      <protection locked="0"/>
    </xf>
    <xf numFmtId="5" fontId="69" fillId="7" borderId="14" xfId="4" applyNumberFormat="1" applyFont="1" applyFill="1" applyBorder="1" applyProtection="1">
      <protection locked="0"/>
    </xf>
    <xf numFmtId="5" fontId="69" fillId="18" borderId="0" xfId="4" applyNumberFormat="1" applyFont="1" applyFill="1" applyProtection="1">
      <protection locked="0"/>
    </xf>
    <xf numFmtId="3" fontId="63" fillId="18" borderId="0" xfId="4" applyNumberFormat="1" applyFont="1" applyFill="1" applyProtection="1">
      <protection locked="0"/>
    </xf>
    <xf numFmtId="170" fontId="63" fillId="18" borderId="0" xfId="4" applyNumberFormat="1" applyFont="1" applyFill="1" applyAlignment="1" applyProtection="1">
      <alignment horizontal="right"/>
      <protection locked="0"/>
    </xf>
    <xf numFmtId="0" fontId="63" fillId="18" borderId="0" xfId="4" applyFont="1" applyFill="1" applyAlignment="1" applyProtection="1">
      <alignment horizontal="left"/>
      <protection locked="0"/>
    </xf>
    <xf numFmtId="0" fontId="63" fillId="15" borderId="0" xfId="4" applyFont="1" applyFill="1" applyProtection="1">
      <protection locked="0"/>
    </xf>
    <xf numFmtId="37" fontId="63" fillId="18" borderId="0" xfId="4" applyNumberFormat="1" applyFont="1" applyFill="1" applyProtection="1">
      <protection locked="0"/>
    </xf>
    <xf numFmtId="170" fontId="63" fillId="15" borderId="0" xfId="4" applyNumberFormat="1" applyFont="1" applyFill="1" applyAlignment="1" applyProtection="1">
      <alignment horizontal="right"/>
      <protection locked="0"/>
    </xf>
    <xf numFmtId="37" fontId="63" fillId="18" borderId="14" xfId="4" applyNumberFormat="1" applyFont="1" applyFill="1" applyBorder="1" applyProtection="1">
      <protection locked="0"/>
    </xf>
    <xf numFmtId="0" fontId="63" fillId="18" borderId="14" xfId="4" applyFont="1" applyFill="1" applyBorder="1" applyProtection="1">
      <protection locked="0"/>
    </xf>
    <xf numFmtId="171" fontId="63" fillId="18" borderId="14" xfId="4" applyNumberFormat="1" applyFont="1" applyFill="1" applyBorder="1" applyProtection="1">
      <protection locked="0"/>
    </xf>
    <xf numFmtId="7" fontId="63" fillId="0" borderId="0" xfId="2" applyNumberFormat="1" applyFont="1" applyProtection="1">
      <protection locked="0"/>
    </xf>
    <xf numFmtId="0" fontId="67" fillId="0" borderId="0" xfId="2" applyFont="1" applyAlignment="1">
      <alignment horizontal="center"/>
    </xf>
    <xf numFmtId="190" fontId="61" fillId="0" borderId="0" xfId="0" applyNumberFormat="1" applyFont="1"/>
    <xf numFmtId="174" fontId="63" fillId="0" borderId="5" xfId="6" applyNumberFormat="1" applyFont="1" applyFill="1" applyBorder="1"/>
    <xf numFmtId="37" fontId="63" fillId="0" borderId="72" xfId="2" applyNumberFormat="1" applyFont="1" applyBorder="1"/>
    <xf numFmtId="37" fontId="63" fillId="0" borderId="73" xfId="2" applyNumberFormat="1" applyFont="1" applyBorder="1"/>
    <xf numFmtId="0" fontId="67" fillId="0" borderId="5" xfId="2" applyFont="1" applyBorder="1"/>
    <xf numFmtId="0" fontId="67" fillId="0" borderId="6" xfId="2" applyFont="1" applyBorder="1" applyAlignment="1">
      <alignment horizontal="center"/>
    </xf>
    <xf numFmtId="187" fontId="63" fillId="0" borderId="0" xfId="13" applyNumberFormat="1" applyFont="1" applyFill="1"/>
    <xf numFmtId="0" fontId="61" fillId="0" borderId="0" xfId="0" applyFont="1" applyAlignment="1">
      <alignment horizontal="left" wrapText="1"/>
    </xf>
    <xf numFmtId="0" fontId="66" fillId="0" borderId="0" xfId="2" applyFont="1" applyAlignment="1">
      <alignment horizontal="left" wrapText="1"/>
    </xf>
    <xf numFmtId="175" fontId="63" fillId="18" borderId="5" xfId="2" applyNumberFormat="1" applyFont="1" applyFill="1" applyBorder="1"/>
    <xf numFmtId="175" fontId="63" fillId="18" borderId="0" xfId="2" applyNumberFormat="1" applyFont="1" applyFill="1"/>
    <xf numFmtId="175" fontId="63" fillId="18" borderId="6" xfId="2" applyNumberFormat="1" applyFont="1" applyFill="1" applyBorder="1"/>
    <xf numFmtId="175" fontId="63" fillId="4" borderId="5" xfId="2" applyNumberFormat="1" applyFont="1" applyFill="1" applyBorder="1"/>
    <xf numFmtId="175" fontId="63" fillId="4" borderId="0" xfId="2" applyNumberFormat="1" applyFont="1" applyFill="1"/>
    <xf numFmtId="167" fontId="63" fillId="4" borderId="5" xfId="1" applyNumberFormat="1" applyFont="1" applyFill="1" applyBorder="1"/>
    <xf numFmtId="167" fontId="63" fillId="4" borderId="0" xfId="1" applyNumberFormat="1" applyFont="1" applyFill="1" applyBorder="1"/>
    <xf numFmtId="167" fontId="63" fillId="4" borderId="6" xfId="1" applyNumberFormat="1" applyFont="1" applyFill="1" applyBorder="1"/>
    <xf numFmtId="187" fontId="63" fillId="4" borderId="5" xfId="13" applyNumberFormat="1" applyFont="1" applyFill="1" applyBorder="1"/>
    <xf numFmtId="187" fontId="63" fillId="4" borderId="0" xfId="13" applyNumberFormat="1" applyFont="1" applyFill="1"/>
    <xf numFmtId="187" fontId="63" fillId="4" borderId="6" xfId="13" applyNumberFormat="1" applyFont="1" applyFill="1" applyBorder="1"/>
    <xf numFmtId="175" fontId="63" fillId="18" borderId="7" xfId="2" applyNumberFormat="1" applyFont="1" applyFill="1" applyBorder="1"/>
    <xf numFmtId="175" fontId="63" fillId="18" borderId="1" xfId="2" applyNumberFormat="1" applyFont="1" applyFill="1" applyBorder="1"/>
    <xf numFmtId="175" fontId="63" fillId="18" borderId="8" xfId="2" applyNumberFormat="1" applyFont="1" applyFill="1" applyBorder="1"/>
    <xf numFmtId="187" fontId="63" fillId="18" borderId="5" xfId="13" applyNumberFormat="1" applyFont="1" applyFill="1" applyBorder="1"/>
    <xf numFmtId="187" fontId="63" fillId="18" borderId="0" xfId="13" applyNumberFormat="1" applyFont="1" applyFill="1" applyBorder="1"/>
    <xf numFmtId="187" fontId="63" fillId="18" borderId="6" xfId="13" applyNumberFormat="1" applyFont="1" applyFill="1" applyBorder="1"/>
    <xf numFmtId="175" fontId="63" fillId="18" borderId="2" xfId="2" applyNumberFormat="1" applyFont="1" applyFill="1" applyBorder="1"/>
    <xf numFmtId="175" fontId="63" fillId="18" borderId="3" xfId="2" applyNumberFormat="1" applyFont="1" applyFill="1" applyBorder="1"/>
    <xf numFmtId="175" fontId="63" fillId="18" borderId="4" xfId="2" applyNumberFormat="1" applyFont="1" applyFill="1" applyBorder="1"/>
    <xf numFmtId="175" fontId="63" fillId="4" borderId="2" xfId="2" applyNumberFormat="1" applyFont="1" applyFill="1" applyBorder="1"/>
    <xf numFmtId="175" fontId="63" fillId="4" borderId="3" xfId="2" applyNumberFormat="1" applyFont="1" applyFill="1" applyBorder="1"/>
    <xf numFmtId="175" fontId="63" fillId="4" borderId="4" xfId="2" applyNumberFormat="1" applyFont="1" applyFill="1" applyBorder="1"/>
    <xf numFmtId="167" fontId="63" fillId="4" borderId="2" xfId="1" applyNumberFormat="1" applyFont="1" applyFill="1" applyBorder="1"/>
    <xf numFmtId="167" fontId="63" fillId="4" borderId="3" xfId="1" applyNumberFormat="1" applyFont="1" applyFill="1" applyBorder="1"/>
    <xf numFmtId="167" fontId="63" fillId="4" borderId="4" xfId="1" applyNumberFormat="1" applyFont="1" applyFill="1" applyBorder="1"/>
    <xf numFmtId="187" fontId="63" fillId="4" borderId="2" xfId="13" applyNumberFormat="1" applyFont="1" applyFill="1" applyBorder="1"/>
    <xf numFmtId="187" fontId="63" fillId="4" borderId="3" xfId="13" applyNumberFormat="1" applyFont="1" applyFill="1" applyBorder="1"/>
    <xf numFmtId="187" fontId="63" fillId="4" borderId="4" xfId="13" applyNumberFormat="1" applyFont="1" applyFill="1" applyBorder="1"/>
    <xf numFmtId="37" fontId="63" fillId="18" borderId="5" xfId="2" applyNumberFormat="1" applyFont="1" applyFill="1" applyBorder="1"/>
    <xf numFmtId="37" fontId="63" fillId="18" borderId="0" xfId="2" applyNumberFormat="1" applyFont="1" applyFill="1"/>
    <xf numFmtId="37" fontId="63" fillId="4" borderId="5" xfId="2" applyNumberFormat="1" applyFont="1" applyFill="1" applyBorder="1"/>
    <xf numFmtId="37" fontId="63" fillId="4" borderId="0" xfId="2" applyNumberFormat="1" applyFont="1" applyFill="1"/>
    <xf numFmtId="37" fontId="63" fillId="4" borderId="6" xfId="2" applyNumberFormat="1" applyFont="1" applyFill="1" applyBorder="1"/>
    <xf numFmtId="0" fontId="63" fillId="18" borderId="7" xfId="2" applyFont="1" applyFill="1" applyBorder="1"/>
    <xf numFmtId="0" fontId="63" fillId="18" borderId="1" xfId="2" applyFont="1" applyFill="1" applyBorder="1"/>
    <xf numFmtId="0" fontId="63" fillId="18" borderId="8" xfId="2" applyFont="1" applyFill="1" applyBorder="1"/>
    <xf numFmtId="5" fontId="63" fillId="18" borderId="7" xfId="2" applyNumberFormat="1" applyFont="1" applyFill="1" applyBorder="1"/>
    <xf numFmtId="5" fontId="63" fillId="18" borderId="1" xfId="2" applyNumberFormat="1" applyFont="1" applyFill="1" applyBorder="1"/>
    <xf numFmtId="5" fontId="63" fillId="18" borderId="8" xfId="2" applyNumberFormat="1" applyFont="1" applyFill="1" applyBorder="1"/>
    <xf numFmtId="5" fontId="63" fillId="4" borderId="7" xfId="2" applyNumberFormat="1" applyFont="1" applyFill="1" applyBorder="1"/>
    <xf numFmtId="5" fontId="63" fillId="4" borderId="1" xfId="2" applyNumberFormat="1" applyFont="1" applyFill="1" applyBorder="1"/>
    <xf numFmtId="5" fontId="63" fillId="4" borderId="8" xfId="2" applyNumberFormat="1" applyFont="1" applyFill="1" applyBorder="1"/>
    <xf numFmtId="167" fontId="63" fillId="4" borderId="7" xfId="1" applyNumberFormat="1" applyFont="1" applyFill="1" applyBorder="1"/>
    <xf numFmtId="167" fontId="63" fillId="4" borderId="1" xfId="1" applyNumberFormat="1" applyFont="1" applyFill="1" applyBorder="1"/>
    <xf numFmtId="167" fontId="63" fillId="4" borderId="8" xfId="1" applyNumberFormat="1" applyFont="1" applyFill="1" applyBorder="1"/>
    <xf numFmtId="187" fontId="63" fillId="4" borderId="7" xfId="13" applyNumberFormat="1" applyFont="1" applyFill="1" applyBorder="1"/>
    <xf numFmtId="187" fontId="63" fillId="4" borderId="1" xfId="13" applyNumberFormat="1" applyFont="1" applyFill="1" applyBorder="1"/>
    <xf numFmtId="187" fontId="63" fillId="4" borderId="8" xfId="13" applyNumberFormat="1" applyFont="1" applyFill="1" applyBorder="1"/>
    <xf numFmtId="187" fontId="63" fillId="18" borderId="72" xfId="13" applyNumberFormat="1" applyFont="1" applyFill="1" applyBorder="1"/>
    <xf numFmtId="187" fontId="63" fillId="18" borderId="14" xfId="13" applyNumberFormat="1" applyFont="1" applyFill="1" applyBorder="1"/>
    <xf numFmtId="187" fontId="63" fillId="18" borderId="73" xfId="13" applyNumberFormat="1" applyFont="1" applyFill="1" applyBorder="1"/>
    <xf numFmtId="37" fontId="63" fillId="18" borderId="72" xfId="2" applyNumberFormat="1" applyFont="1" applyFill="1" applyBorder="1"/>
    <xf numFmtId="37" fontId="63" fillId="18" borderId="14" xfId="2" applyNumberFormat="1" applyFont="1" applyFill="1" applyBorder="1"/>
    <xf numFmtId="37" fontId="63" fillId="18" borderId="73" xfId="2" applyNumberFormat="1" applyFont="1" applyFill="1" applyBorder="1"/>
    <xf numFmtId="37" fontId="63" fillId="4" borderId="72" xfId="2" applyNumberFormat="1" applyFont="1" applyFill="1" applyBorder="1"/>
    <xf numFmtId="37" fontId="63" fillId="4" borderId="14" xfId="2" applyNumberFormat="1" applyFont="1" applyFill="1" applyBorder="1"/>
    <xf numFmtId="37" fontId="63" fillId="4" borderId="73" xfId="2" applyNumberFormat="1" applyFont="1" applyFill="1" applyBorder="1"/>
    <xf numFmtId="167" fontId="63" fillId="4" borderId="72" xfId="1" applyNumberFormat="1" applyFont="1" applyFill="1" applyBorder="1"/>
    <xf numFmtId="167" fontId="63" fillId="4" borderId="14" xfId="1" applyNumberFormat="1" applyFont="1" applyFill="1" applyBorder="1"/>
    <xf numFmtId="167" fontId="63" fillId="4" borderId="73" xfId="1" applyNumberFormat="1" applyFont="1" applyFill="1" applyBorder="1"/>
    <xf numFmtId="187" fontId="63" fillId="4" borderId="72" xfId="13" applyNumberFormat="1" applyFont="1" applyFill="1" applyBorder="1"/>
    <xf numFmtId="187" fontId="63" fillId="4" borderId="14" xfId="13" applyNumberFormat="1" applyFont="1" applyFill="1" applyBorder="1"/>
    <xf numFmtId="187" fontId="63" fillId="4" borderId="73" xfId="13" applyNumberFormat="1" applyFont="1" applyFill="1" applyBorder="1"/>
    <xf numFmtId="175" fontId="63" fillId="18" borderId="10" xfId="2" applyNumberFormat="1" applyFont="1" applyFill="1" applyBorder="1"/>
    <xf numFmtId="10" fontId="61" fillId="0" borderId="0" xfId="1" applyNumberFormat="1" applyFont="1"/>
    <xf numFmtId="0" fontId="62" fillId="0" borderId="0" xfId="0" applyFont="1" applyAlignment="1">
      <alignment horizontal="center"/>
    </xf>
    <xf numFmtId="0" fontId="77" fillId="9" borderId="0" xfId="0" applyFont="1" applyFill="1" applyAlignment="1">
      <alignment horizontal="center"/>
    </xf>
    <xf numFmtId="0" fontId="64" fillId="19" borderId="9" xfId="0" applyFont="1" applyFill="1" applyBorder="1" applyAlignment="1">
      <alignment horizontal="left"/>
    </xf>
    <xf numFmtId="0" fontId="61" fillId="9" borderId="9" xfId="0" applyFont="1" applyFill="1" applyBorder="1" applyAlignment="1">
      <alignment horizontal="left"/>
    </xf>
    <xf numFmtId="0" fontId="61" fillId="18" borderId="9" xfId="0" applyFont="1" applyFill="1" applyBorder="1" applyAlignment="1">
      <alignment horizontal="left"/>
    </xf>
    <xf numFmtId="0" fontId="63" fillId="0" borderId="0" xfId="18" applyFont="1">
      <alignment vertical="center"/>
    </xf>
    <xf numFmtId="0" fontId="51" fillId="0" borderId="0" xfId="18" applyFont="1">
      <alignment vertical="center"/>
    </xf>
    <xf numFmtId="0" fontId="61" fillId="0" borderId="0" xfId="18" applyFont="1">
      <alignment vertical="center"/>
    </xf>
    <xf numFmtId="196" fontId="61" fillId="0" borderId="0" xfId="18" applyNumberFormat="1" applyFont="1" applyAlignment="1">
      <alignment horizontal="left" vertical="center"/>
    </xf>
    <xf numFmtId="0" fontId="78" fillId="0" borderId="0" xfId="18" applyFont="1">
      <alignment vertical="center"/>
    </xf>
    <xf numFmtId="0" fontId="1" fillId="0" borderId="0" xfId="18" applyFont="1">
      <alignment vertical="center"/>
    </xf>
    <xf numFmtId="0" fontId="64" fillId="28" borderId="92" xfId="20" applyFont="1">
      <alignment vertical="center"/>
    </xf>
    <xf numFmtId="0" fontId="81" fillId="0" borderId="0" xfId="18" applyFont="1">
      <alignment vertical="center"/>
    </xf>
    <xf numFmtId="0" fontId="79" fillId="23" borderId="93" xfId="22" applyFont="1" applyAlignment="1">
      <alignment horizontal="left" vertical="center"/>
    </xf>
    <xf numFmtId="0" fontId="79" fillId="9" borderId="93" xfId="21" applyFont="1" applyFill="1">
      <alignment vertical="center"/>
    </xf>
    <xf numFmtId="0" fontId="79" fillId="33" borderId="93" xfId="21" applyFont="1" applyFill="1">
      <alignment vertical="center"/>
    </xf>
    <xf numFmtId="0" fontId="61" fillId="0" borderId="0" xfId="18" applyFont="1" applyAlignment="1">
      <alignment vertical="top" wrapText="1"/>
    </xf>
    <xf numFmtId="0" fontId="79" fillId="0" borderId="93" xfId="21" applyFont="1" applyAlignment="1">
      <alignment vertical="center" wrapText="1"/>
    </xf>
    <xf numFmtId="0" fontId="79" fillId="15" borderId="93" xfId="21" applyFont="1" applyFill="1">
      <alignment vertical="center"/>
    </xf>
    <xf numFmtId="0" fontId="79" fillId="20" borderId="93" xfId="21" applyFont="1" applyFill="1">
      <alignment vertical="center"/>
    </xf>
    <xf numFmtId="0" fontId="79" fillId="15" borderId="93" xfId="24" applyFont="1" applyFill="1" applyAlignment="1">
      <alignment horizontal="left" vertical="center"/>
    </xf>
    <xf numFmtId="0" fontId="79" fillId="4" borderId="93" xfId="25" applyFont="1" applyFill="1" applyAlignment="1">
      <alignment horizontal="left" vertical="center"/>
    </xf>
    <xf numFmtId="0" fontId="79" fillId="9" borderId="93" xfId="25" applyFont="1" applyFill="1" applyAlignment="1">
      <alignment horizontal="left" vertical="center"/>
    </xf>
    <xf numFmtId="167" fontId="63" fillId="0" borderId="0" xfId="2" applyNumberFormat="1" applyFont="1"/>
    <xf numFmtId="0" fontId="3" fillId="0" borderId="0" xfId="2" applyAlignment="1" applyProtection="1">
      <alignment horizontal="right"/>
      <protection locked="0"/>
    </xf>
    <xf numFmtId="0" fontId="3" fillId="0" borderId="0" xfId="4" applyFont="1" applyAlignment="1" applyProtection="1">
      <alignment horizontal="right"/>
      <protection locked="0"/>
    </xf>
    <xf numFmtId="197" fontId="69" fillId="4" borderId="0" xfId="4" applyNumberFormat="1" applyFont="1" applyFill="1" applyProtection="1">
      <protection locked="0"/>
    </xf>
    <xf numFmtId="166" fontId="63" fillId="15" borderId="0" xfId="4" applyNumberFormat="1" applyFont="1" applyFill="1" applyProtection="1">
      <protection locked="0"/>
    </xf>
    <xf numFmtId="168" fontId="63" fillId="15" borderId="0" xfId="4" applyNumberFormat="1" applyFont="1" applyFill="1" applyProtection="1">
      <protection locked="0"/>
    </xf>
    <xf numFmtId="187" fontId="63" fillId="0" borderId="0" xfId="13" applyNumberFormat="1" applyFont="1" applyAlignment="1" applyProtection="1">
      <alignment wrapText="1"/>
      <protection locked="0"/>
    </xf>
    <xf numFmtId="169" fontId="69" fillId="15" borderId="0" xfId="4" applyNumberFormat="1" applyFont="1" applyFill="1" applyProtection="1">
      <protection locked="0"/>
    </xf>
    <xf numFmtId="169" fontId="69" fillId="15" borderId="13" xfId="4" applyNumberFormat="1" applyFont="1" applyFill="1" applyBorder="1" applyProtection="1">
      <protection locked="0"/>
    </xf>
    <xf numFmtId="0" fontId="67" fillId="0" borderId="9" xfId="0" applyFont="1" applyBorder="1"/>
    <xf numFmtId="0" fontId="63" fillId="0" borderId="9" xfId="0" quotePrefix="1" applyFont="1" applyBorder="1"/>
    <xf numFmtId="175" fontId="63" fillId="21" borderId="9" xfId="2" applyNumberFormat="1" applyFont="1" applyFill="1" applyBorder="1"/>
    <xf numFmtId="0" fontId="63" fillId="0" borderId="9" xfId="0" applyFont="1" applyBorder="1"/>
    <xf numFmtId="3" fontId="63" fillId="0" borderId="0" xfId="0" applyNumberFormat="1" applyFont="1"/>
    <xf numFmtId="187" fontId="63" fillId="0" borderId="0" xfId="13" applyNumberFormat="1" applyFont="1"/>
    <xf numFmtId="0" fontId="67" fillId="0" borderId="0" xfId="0" applyFont="1"/>
    <xf numFmtId="0" fontId="82" fillId="0" borderId="0" xfId="16" applyFont="1"/>
    <xf numFmtId="0" fontId="67" fillId="0" borderId="9" xfId="0" applyFont="1" applyBorder="1" applyAlignment="1">
      <alignment horizontal="center" wrapText="1"/>
    </xf>
    <xf numFmtId="187" fontId="63" fillId="21" borderId="9" xfId="13" applyNumberFormat="1" applyFont="1" applyFill="1" applyBorder="1"/>
    <xf numFmtId="174" fontId="63" fillId="21" borderId="9" xfId="6" applyNumberFormat="1" applyFont="1" applyFill="1" applyBorder="1"/>
    <xf numFmtId="189" fontId="63" fillId="4" borderId="9" xfId="0" applyNumberFormat="1" applyFont="1" applyFill="1" applyBorder="1"/>
    <xf numFmtId="187" fontId="67" fillId="4" borderId="9" xfId="0" applyNumberFormat="1" applyFont="1" applyFill="1" applyBorder="1"/>
    <xf numFmtId="189" fontId="67" fillId="4" borderId="9" xfId="0" applyNumberFormat="1" applyFont="1" applyFill="1" applyBorder="1"/>
    <xf numFmtId="0" fontId="67" fillId="0" borderId="0" xfId="0" applyFont="1" applyAlignment="1">
      <alignment horizontal="right"/>
    </xf>
    <xf numFmtId="187" fontId="63" fillId="0" borderId="9" xfId="13" applyNumberFormat="1" applyFont="1" applyBorder="1"/>
    <xf numFmtId="174" fontId="63" fillId="0" borderId="0" xfId="6" applyNumberFormat="1" applyFont="1" applyAlignment="1">
      <alignment horizontal="center"/>
    </xf>
    <xf numFmtId="0" fontId="63" fillId="0" borderId="0" xfId="0" applyFont="1" applyAlignment="1">
      <alignment horizontal="left"/>
    </xf>
    <xf numFmtId="187" fontId="67" fillId="18" borderId="9" xfId="13" applyNumberFormat="1" applyFont="1" applyFill="1" applyBorder="1"/>
    <xf numFmtId="0" fontId="59" fillId="0" borderId="0" xfId="18" applyFont="1" applyAlignment="1">
      <alignment vertical="top"/>
    </xf>
    <xf numFmtId="0" fontId="16" fillId="0" borderId="0" xfId="18" applyAlignment="1">
      <alignment vertical="top"/>
    </xf>
    <xf numFmtId="0" fontId="80" fillId="24" borderId="94" xfId="21" applyFont="1" applyFill="1" applyBorder="1" applyAlignment="1">
      <alignment horizontal="center" vertical="center"/>
    </xf>
    <xf numFmtId="0" fontId="80" fillId="24" borderId="97" xfId="21" applyFont="1" applyFill="1" applyBorder="1" applyAlignment="1">
      <alignment horizontal="center" vertical="center"/>
    </xf>
    <xf numFmtId="0" fontId="80" fillId="24" borderId="95" xfId="21" applyFont="1" applyFill="1" applyBorder="1" applyAlignment="1">
      <alignment horizontal="center" vertical="center"/>
    </xf>
    <xf numFmtId="0" fontId="80" fillId="27" borderId="94" xfId="21" applyFont="1" applyFill="1" applyBorder="1" applyAlignment="1">
      <alignment horizontal="center" vertical="center"/>
    </xf>
    <xf numFmtId="0" fontId="80" fillId="27" borderId="97" xfId="21" applyFont="1" applyFill="1" applyBorder="1" applyAlignment="1">
      <alignment horizontal="center" vertical="center"/>
    </xf>
    <xf numFmtId="0" fontId="80" fillId="27" borderId="95" xfId="21" applyFont="1" applyFill="1" applyBorder="1" applyAlignment="1">
      <alignment horizontal="center" vertical="center"/>
    </xf>
    <xf numFmtId="0" fontId="80" fillId="28" borderId="96" xfId="21" applyFont="1" applyFill="1" applyBorder="1" applyAlignment="1">
      <alignment horizontal="center" vertical="center"/>
    </xf>
    <xf numFmtId="0" fontId="80" fillId="28" borderId="97" xfId="21" applyFont="1" applyFill="1" applyBorder="1" applyAlignment="1">
      <alignment horizontal="center" vertical="center"/>
    </xf>
    <xf numFmtId="0" fontId="79" fillId="16" borderId="96" xfId="21" applyFont="1" applyFill="1" applyBorder="1" applyAlignment="1">
      <alignment horizontal="center" vertical="center"/>
    </xf>
    <xf numFmtId="0" fontId="79" fillId="16" borderId="97" xfId="21" applyFont="1" applyFill="1" applyBorder="1" applyAlignment="1">
      <alignment horizontal="center" vertical="center"/>
    </xf>
    <xf numFmtId="0" fontId="61" fillId="0" borderId="0" xfId="18" applyFont="1" applyAlignment="1">
      <alignment horizontal="left" vertical="top" wrapText="1"/>
    </xf>
    <xf numFmtId="0" fontId="63" fillId="18" borderId="10" xfId="2" applyFont="1" applyFill="1" applyBorder="1" applyAlignment="1">
      <alignment horizontal="center"/>
    </xf>
    <xf numFmtId="0" fontId="63" fillId="18" borderId="12" xfId="2" applyFont="1" applyFill="1" applyBorder="1" applyAlignment="1">
      <alignment horizontal="center"/>
    </xf>
    <xf numFmtId="0" fontId="63" fillId="18" borderId="11" xfId="2" applyFont="1" applyFill="1" applyBorder="1" applyAlignment="1">
      <alignment horizontal="center"/>
    </xf>
    <xf numFmtId="0" fontId="63" fillId="0" borderId="10" xfId="0" applyFont="1" applyBorder="1" applyAlignment="1">
      <alignment horizontal="center"/>
    </xf>
    <xf numFmtId="0" fontId="63" fillId="0" borderId="11" xfId="0" applyFont="1" applyBorder="1" applyAlignment="1">
      <alignment horizontal="center"/>
    </xf>
    <xf numFmtId="0" fontId="63" fillId="0" borderId="12" xfId="0" applyFont="1" applyBorder="1" applyAlignment="1">
      <alignment horizontal="center"/>
    </xf>
    <xf numFmtId="0" fontId="63" fillId="0" borderId="10" xfId="0" applyFont="1" applyBorder="1" applyAlignment="1">
      <alignment horizontal="center" wrapText="1"/>
    </xf>
    <xf numFmtId="0" fontId="63" fillId="0" borderId="12" xfId="0" applyFont="1" applyBorder="1" applyAlignment="1">
      <alignment horizontal="center" wrapText="1"/>
    </xf>
    <xf numFmtId="0" fontId="63" fillId="0" borderId="11" xfId="0" applyFont="1" applyBorder="1" applyAlignment="1">
      <alignment horizontal="center" wrapText="1"/>
    </xf>
    <xf numFmtId="0" fontId="63" fillId="0" borderId="9" xfId="0" applyFont="1" applyBorder="1" applyAlignment="1">
      <alignment horizontal="center" wrapText="1"/>
    </xf>
    <xf numFmtId="0" fontId="67" fillId="7" borderId="2" xfId="2" applyFont="1" applyFill="1" applyBorder="1" applyAlignment="1" applyProtection="1">
      <alignment horizontal="center"/>
      <protection locked="0"/>
    </xf>
    <xf numFmtId="0" fontId="67" fillId="7" borderId="3" xfId="2" applyFont="1" applyFill="1" applyBorder="1" applyAlignment="1" applyProtection="1">
      <alignment horizontal="center"/>
      <protection locked="0"/>
    </xf>
    <xf numFmtId="0" fontId="67" fillId="7" borderId="12" xfId="2" applyFont="1" applyFill="1" applyBorder="1" applyAlignment="1" applyProtection="1">
      <alignment horizontal="center"/>
      <protection locked="0"/>
    </xf>
    <xf numFmtId="0" fontId="59" fillId="0" borderId="0" xfId="2" applyFont="1" applyAlignment="1">
      <alignment horizontal="left" vertical="top" wrapText="1"/>
    </xf>
    <xf numFmtId="0" fontId="67" fillId="7" borderId="10" xfId="2" applyFont="1" applyFill="1" applyBorder="1" applyAlignment="1" applyProtection="1">
      <alignment horizontal="center"/>
      <protection locked="0"/>
    </xf>
    <xf numFmtId="0" fontId="67" fillId="7" borderId="11" xfId="2" applyFont="1" applyFill="1" applyBorder="1" applyAlignment="1" applyProtection="1">
      <alignment horizontal="center"/>
      <protection locked="0"/>
    </xf>
    <xf numFmtId="0" fontId="67" fillId="0" borderId="10" xfId="2" applyFont="1" applyBorder="1" applyAlignment="1">
      <alignment horizontal="center"/>
    </xf>
    <xf numFmtId="0" fontId="67" fillId="0" borderId="11" xfId="2" applyFont="1" applyBorder="1" applyAlignment="1">
      <alignment horizontal="center"/>
    </xf>
    <xf numFmtId="0" fontId="67" fillId="0" borderId="12" xfId="2" applyFont="1" applyBorder="1" applyAlignment="1">
      <alignment horizontal="center"/>
    </xf>
    <xf numFmtId="0" fontId="70" fillId="16" borderId="10" xfId="4" applyFont="1" applyFill="1" applyBorder="1" applyAlignment="1" applyProtection="1">
      <alignment horizontal="center" wrapText="1"/>
      <protection locked="0"/>
    </xf>
    <xf numFmtId="0" fontId="70" fillId="16" borderId="11" xfId="4" applyFont="1" applyFill="1" applyBorder="1" applyAlignment="1" applyProtection="1">
      <alignment horizontal="center" wrapText="1"/>
      <protection locked="0"/>
    </xf>
    <xf numFmtId="0" fontId="70" fillId="16" borderId="12" xfId="4" applyFont="1" applyFill="1" applyBorder="1" applyAlignment="1" applyProtection="1">
      <alignment horizontal="center" wrapText="1"/>
      <protection locked="0"/>
    </xf>
    <xf numFmtId="9" fontId="70" fillId="18" borderId="10" xfId="1" applyFont="1" applyFill="1" applyBorder="1" applyAlignment="1" applyProtection="1">
      <alignment horizontal="center"/>
      <protection locked="0"/>
    </xf>
    <xf numFmtId="9" fontId="70" fillId="18" borderId="11" xfId="1" applyFont="1" applyFill="1" applyBorder="1" applyAlignment="1" applyProtection="1">
      <alignment horizontal="center"/>
      <protection locked="0"/>
    </xf>
    <xf numFmtId="9" fontId="70" fillId="18" borderId="12" xfId="1" applyFont="1" applyFill="1" applyBorder="1" applyAlignment="1" applyProtection="1">
      <alignment horizontal="center"/>
      <protection locked="0"/>
    </xf>
    <xf numFmtId="0" fontId="67" fillId="18" borderId="10" xfId="2" applyFont="1" applyFill="1" applyBorder="1" applyAlignment="1" applyProtection="1">
      <alignment horizontal="center"/>
      <protection locked="0"/>
    </xf>
    <xf numFmtId="0" fontId="67" fillId="18" borderId="11" xfId="2" applyFont="1" applyFill="1" applyBorder="1" applyAlignment="1" applyProtection="1">
      <alignment horizontal="center"/>
      <protection locked="0"/>
    </xf>
    <xf numFmtId="0" fontId="67" fillId="18" borderId="12" xfId="2" applyFont="1" applyFill="1" applyBorder="1" applyAlignment="1" applyProtection="1">
      <alignment horizontal="center"/>
      <protection locked="0"/>
    </xf>
    <xf numFmtId="0" fontId="70" fillId="16" borderId="10" xfId="4" applyFont="1" applyFill="1" applyBorder="1" applyAlignment="1" applyProtection="1">
      <alignment horizontal="center"/>
      <protection locked="0"/>
    </xf>
    <xf numFmtId="0" fontId="70" fillId="16" borderId="11" xfId="4" applyFont="1" applyFill="1" applyBorder="1" applyAlignment="1" applyProtection="1">
      <alignment horizontal="center"/>
      <protection locked="0"/>
    </xf>
    <xf numFmtId="0" fontId="70" fillId="16" borderId="12" xfId="4" applyFont="1" applyFill="1" applyBorder="1" applyAlignment="1" applyProtection="1">
      <alignment horizontal="center"/>
      <protection locked="0"/>
    </xf>
    <xf numFmtId="0" fontId="70" fillId="0" borderId="10" xfId="4" applyFont="1" applyBorder="1" applyAlignment="1" applyProtection="1">
      <alignment horizontal="center"/>
      <protection locked="0"/>
    </xf>
    <xf numFmtId="0" fontId="70" fillId="0" borderId="11" xfId="4" applyFont="1" applyBorder="1" applyAlignment="1" applyProtection="1">
      <alignment horizontal="center"/>
      <protection locked="0"/>
    </xf>
    <xf numFmtId="0" fontId="70" fillId="0" borderId="12" xfId="4" applyFont="1" applyBorder="1" applyAlignment="1" applyProtection="1">
      <alignment horizontal="center"/>
      <protection locked="0"/>
    </xf>
    <xf numFmtId="0" fontId="66" fillId="0" borderId="10" xfId="2" applyFont="1" applyBorder="1" applyAlignment="1" applyProtection="1">
      <alignment horizontal="center"/>
      <protection locked="0"/>
    </xf>
    <xf numFmtId="0" fontId="66" fillId="0" borderId="11" xfId="2" applyFont="1" applyBorder="1" applyAlignment="1" applyProtection="1">
      <alignment horizontal="center"/>
      <protection locked="0"/>
    </xf>
    <xf numFmtId="0" fontId="66" fillId="0" borderId="12" xfId="2" applyFont="1" applyBorder="1" applyAlignment="1" applyProtection="1">
      <alignment horizontal="center"/>
      <protection locked="0"/>
    </xf>
    <xf numFmtId="0" fontId="67" fillId="18" borderId="10" xfId="4" applyFont="1" applyFill="1" applyBorder="1" applyAlignment="1" applyProtection="1">
      <alignment horizontal="center"/>
      <protection locked="0"/>
    </xf>
    <xf numFmtId="0" fontId="67" fillId="18" borderId="11" xfId="4" applyFont="1" applyFill="1" applyBorder="1" applyAlignment="1" applyProtection="1">
      <alignment horizontal="center"/>
      <protection locked="0"/>
    </xf>
    <xf numFmtId="0" fontId="67" fillId="18" borderId="12" xfId="4" applyFont="1" applyFill="1" applyBorder="1" applyAlignment="1" applyProtection="1">
      <alignment horizontal="center"/>
      <protection locked="0"/>
    </xf>
    <xf numFmtId="0" fontId="67" fillId="0" borderId="10" xfId="4" applyFont="1" applyBorder="1" applyAlignment="1" applyProtection="1">
      <alignment horizontal="center"/>
      <protection locked="0"/>
    </xf>
    <xf numFmtId="0" fontId="67" fillId="0" borderId="11" xfId="4" applyFont="1" applyBorder="1" applyAlignment="1" applyProtection="1">
      <alignment horizontal="center"/>
      <protection locked="0"/>
    </xf>
    <xf numFmtId="0" fontId="67" fillId="0" borderId="12" xfId="4" applyFont="1" applyBorder="1" applyAlignment="1" applyProtection="1">
      <alignment horizontal="center"/>
      <protection locked="0"/>
    </xf>
    <xf numFmtId="0" fontId="67" fillId="7" borderId="9" xfId="2" applyFont="1" applyFill="1" applyBorder="1" applyAlignment="1" applyProtection="1">
      <alignment horizontal="center"/>
      <protection locked="0"/>
    </xf>
    <xf numFmtId="0" fontId="67" fillId="18" borderId="2" xfId="2" applyFont="1" applyFill="1" applyBorder="1" applyAlignment="1">
      <alignment horizontal="center"/>
    </xf>
    <xf numFmtId="0" fontId="67" fillId="18" borderId="3" xfId="2" applyFont="1" applyFill="1" applyBorder="1" applyAlignment="1">
      <alignment horizontal="center"/>
    </xf>
    <xf numFmtId="0" fontId="67" fillId="18" borderId="4" xfId="2" applyFont="1" applyFill="1" applyBorder="1" applyAlignment="1">
      <alignment horizontal="center"/>
    </xf>
    <xf numFmtId="0" fontId="66" fillId="0" borderId="1" xfId="2" applyFont="1" applyBorder="1" applyAlignment="1">
      <alignment horizontal="left" wrapText="1"/>
    </xf>
    <xf numFmtId="0" fontId="8" fillId="0" borderId="3" xfId="8" applyFont="1" applyBorder="1" applyAlignment="1">
      <alignment horizontal="center"/>
    </xf>
    <xf numFmtId="0" fontId="8" fillId="0" borderId="22" xfId="8" applyFont="1" applyBorder="1" applyAlignment="1">
      <alignment horizontal="center"/>
    </xf>
    <xf numFmtId="0" fontId="20" fillId="0" borderId="3" xfId="8" applyFont="1" applyBorder="1" applyAlignment="1">
      <alignment horizontal="center"/>
    </xf>
    <xf numFmtId="0" fontId="20" fillId="0" borderId="22" xfId="8" applyFont="1" applyBorder="1" applyAlignment="1">
      <alignment horizontal="center"/>
    </xf>
    <xf numFmtId="0" fontId="3" fillId="4" borderId="7" xfId="2" applyFill="1" applyBorder="1" applyAlignment="1">
      <alignment horizontal="center" wrapText="1"/>
    </xf>
    <xf numFmtId="0" fontId="3" fillId="4" borderId="1" xfId="2" applyFill="1" applyBorder="1" applyAlignment="1">
      <alignment horizontal="center" wrapText="1"/>
    </xf>
    <xf numFmtId="0" fontId="3" fillId="4" borderId="12" xfId="2" applyFill="1" applyBorder="1" applyAlignment="1">
      <alignment horizontal="center" wrapText="1"/>
    </xf>
    <xf numFmtId="0" fontId="3" fillId="4" borderId="0" xfId="2" applyFill="1"/>
    <xf numFmtId="0" fontId="3" fillId="4" borderId="10" xfId="2" applyFill="1" applyBorder="1" applyAlignment="1">
      <alignment horizontal="center"/>
    </xf>
    <xf numFmtId="0" fontId="3" fillId="4" borderId="11" xfId="2" applyFill="1" applyBorder="1" applyAlignment="1">
      <alignment horizontal="center"/>
    </xf>
    <xf numFmtId="0" fontId="3" fillId="4" borderId="12" xfId="2" applyFill="1" applyBorder="1" applyAlignment="1">
      <alignment horizontal="center"/>
    </xf>
    <xf numFmtId="0" fontId="3" fillId="4" borderId="10" xfId="2" applyFill="1" applyBorder="1" applyAlignment="1">
      <alignment horizontal="center" wrapText="1"/>
    </xf>
    <xf numFmtId="0" fontId="3" fillId="4" borderId="9" xfId="2" applyFill="1" applyBorder="1" applyAlignment="1">
      <alignment horizontal="center"/>
    </xf>
    <xf numFmtId="0" fontId="3" fillId="4" borderId="0" xfId="2" applyFill="1" applyProtection="1">
      <protection locked="0"/>
    </xf>
    <xf numFmtId="0" fontId="3" fillId="4" borderId="0" xfId="2" applyFill="1" applyAlignment="1" applyProtection="1">
      <alignment horizontal="center"/>
      <protection locked="0"/>
    </xf>
    <xf numFmtId="0" fontId="3" fillId="4" borderId="0" xfId="2" applyFill="1" applyAlignment="1" applyProtection="1">
      <alignment horizontal="center" wrapText="1"/>
      <protection locked="0"/>
    </xf>
    <xf numFmtId="0" fontId="3" fillId="4" borderId="1" xfId="2" applyFill="1" applyBorder="1" applyAlignment="1">
      <alignment horizontal="center"/>
    </xf>
    <xf numFmtId="0" fontId="3" fillId="4" borderId="1" xfId="2" applyFill="1" applyBorder="1" applyAlignment="1" applyProtection="1">
      <alignment horizontal="center"/>
      <protection locked="0"/>
    </xf>
    <xf numFmtId="0" fontId="3" fillId="4" borderId="11" xfId="2" applyFill="1" applyBorder="1" applyAlignment="1">
      <alignment horizontal="center" wrapText="1"/>
    </xf>
    <xf numFmtId="0" fontId="3" fillId="4" borderId="0" xfId="2" applyFill="1" applyAlignment="1">
      <alignment horizontal="center"/>
    </xf>
    <xf numFmtId="0" fontId="3" fillId="0" borderId="0" xfId="2" applyAlignment="1">
      <alignment horizontal="left"/>
    </xf>
  </cellXfs>
  <cellStyles count="28">
    <cellStyle name="Calculation 2" xfId="24" xr:uid="{2B464933-B31D-4BBD-A98C-8F9C3AC28A95}"/>
    <cellStyle name="Calculation with Different Formula" xfId="25" xr:uid="{EEF0CDCC-E2F8-4C08-B950-E0917834703F}"/>
    <cellStyle name="Comma" xfId="6" builtinId="3"/>
    <cellStyle name="Comma 2" xfId="9" xr:uid="{12AA8571-83DF-4752-B26C-F14D3F508625}"/>
    <cellStyle name="Comma 5" xfId="12" xr:uid="{5975AB00-55B7-4015-AA9C-BCA998EDA09C}"/>
    <cellStyle name="Currency" xfId="13" builtinId="4"/>
    <cellStyle name="Currency 10" xfId="10" xr:uid="{C4A7759C-802E-41D9-866E-424EED8AE631}"/>
    <cellStyle name="Currency 2" xfId="7" xr:uid="{99F205A9-5310-4EE4-BC2F-656CB0DD7BEB}"/>
    <cellStyle name="Currency 3" xfId="11" xr:uid="{D3EC91C3-655B-447C-BBA0-53559BEC9F6D}"/>
    <cellStyle name="Dropdown Input" xfId="23" xr:uid="{BACEAB88-0611-452F-AED9-50A3AFF2D5E1}"/>
    <cellStyle name="Heading 1 2" xfId="19" xr:uid="{D8743735-81A0-4641-9452-D6E3DBEA53F7}"/>
    <cellStyle name="Hyperlink" xfId="16" builtinId="8"/>
    <cellStyle name="Input 2" xfId="22" xr:uid="{D4A19B54-7866-42EC-A7BE-870DE74E0398}"/>
    <cellStyle name="Normal" xfId="0" builtinId="0"/>
    <cellStyle name="Normal 10" xfId="4" xr:uid="{B6031822-9145-4279-A102-2A2DF3EBCE0E}"/>
    <cellStyle name="Normal 2" xfId="2" xr:uid="{EA6787DA-2484-4B89-AFC7-7B2BB834EAEE}"/>
    <cellStyle name="Normal 2 2" xfId="3" xr:uid="{5141012B-C18C-4EBC-9187-A39A4C6653A1}"/>
    <cellStyle name="Normal 3" xfId="8" xr:uid="{51D0264E-67B2-4F31-AEAA-AA3B8E0FC196}"/>
    <cellStyle name="Normal 4" xfId="14" xr:uid="{783DBB92-C9FF-4BBD-95DB-EFF88A91FDF9}"/>
    <cellStyle name="Normal 5" xfId="18" xr:uid="{C6414F39-C950-4780-B90B-03CB69D319B6}"/>
    <cellStyle name="Note" xfId="15" builtinId="10"/>
    <cellStyle name="Percent" xfId="1" builtinId="5"/>
    <cellStyle name="Percent 2" xfId="5" xr:uid="{8E5D398D-0098-4802-A0C9-63E1F24C362A}"/>
    <cellStyle name="Table Header" xfId="20" xr:uid="{5EC232B8-AB2C-46F8-9083-257B4AA70C8D}"/>
    <cellStyle name="Table Index" xfId="27" xr:uid="{23599125-9955-48C0-9AC5-D7AE3AFBA1D9}"/>
    <cellStyle name="Table Sub-Header" xfId="26" xr:uid="{7D413D7A-9A7E-4A7E-B6A5-D7A3D325ED22}"/>
    <cellStyle name="Table Value" xfId="21" xr:uid="{E03C74DC-873D-4316-B896-5278906CA4FE}"/>
    <cellStyle name="Title 2" xfId="17" xr:uid="{2130B294-070E-4F41-B94D-E88C449E72EB}"/>
  </cellStyles>
  <dxfs count="263">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
      <numFmt numFmtId="198" formatCode=";;;"/>
    </dxf>
  </dxfs>
  <tableStyles count="0" defaultTableStyle="TableStyleMedium2" defaultPivotStyle="PivotStyleMedium9"/>
  <colors>
    <mruColors>
      <color rgb="FF9C1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1247775</xdr:colOff>
      <xdr:row>4</xdr:row>
      <xdr:rowOff>123825</xdr:rowOff>
    </xdr:to>
    <xdr:sp macro="" textlink="">
      <xdr:nvSpPr>
        <xdr:cNvPr id="3" name="TextBox 1">
          <a:extLst>
            <a:ext uri="{FF2B5EF4-FFF2-40B4-BE49-F238E27FC236}">
              <a16:creationId xmlns:a16="http://schemas.microsoft.com/office/drawing/2014/main" id="{FAF31FFD-85E3-4519-A029-F90AB7D5CE2A}"/>
            </a:ext>
          </a:extLst>
        </xdr:cNvPr>
        <xdr:cNvSpPr txBox="1"/>
      </xdr:nvSpPr>
      <xdr:spPr>
        <a:xfrm>
          <a:off x="0" y="0"/>
          <a:ext cx="4324350" cy="92392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Forecast billing</a:t>
          </a:r>
          <a:r>
            <a:rPr lang="en-US" sz="1100" b="1" baseline="0">
              <a:solidFill>
                <a:schemeClr val="bg1"/>
              </a:solidFill>
            </a:rPr>
            <a:t> determinants used in model for selected FY.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15875</xdr:colOff>
      <xdr:row>4</xdr:row>
      <xdr:rowOff>120650</xdr:rowOff>
    </xdr:to>
    <xdr:sp macro="" textlink="">
      <xdr:nvSpPr>
        <xdr:cNvPr id="2" name="TextBox 1">
          <a:extLst>
            <a:ext uri="{FF2B5EF4-FFF2-40B4-BE49-F238E27FC236}">
              <a16:creationId xmlns:a16="http://schemas.microsoft.com/office/drawing/2014/main" id="{A7A6BC07-E840-4583-B3AC-5BC9124136DF}"/>
            </a:ext>
          </a:extLst>
        </xdr:cNvPr>
        <xdr:cNvSpPr txBox="1"/>
      </xdr:nvSpPr>
      <xdr:spPr>
        <a:xfrm>
          <a:off x="0" y="0"/>
          <a:ext cx="4321175" cy="9207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a:t>
          </a:r>
          <a:r>
            <a:rPr lang="en-US" sz="1100" b="1" baseline="0">
              <a:solidFill>
                <a:schemeClr val="bg1"/>
              </a:solidFill>
            </a:rPr>
            <a:t> Billing Determinant Forecast, FY2026</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15875</xdr:colOff>
      <xdr:row>4</xdr:row>
      <xdr:rowOff>120650</xdr:rowOff>
    </xdr:to>
    <xdr:sp macro="" textlink="">
      <xdr:nvSpPr>
        <xdr:cNvPr id="2" name="TextBox 1">
          <a:extLst>
            <a:ext uri="{FF2B5EF4-FFF2-40B4-BE49-F238E27FC236}">
              <a16:creationId xmlns:a16="http://schemas.microsoft.com/office/drawing/2014/main" id="{FACC1090-05BC-4154-B37B-1B068698BA6A}"/>
            </a:ext>
          </a:extLst>
        </xdr:cNvPr>
        <xdr:cNvSpPr txBox="1"/>
      </xdr:nvSpPr>
      <xdr:spPr>
        <a:xfrm>
          <a:off x="0" y="0"/>
          <a:ext cx="4321175" cy="9207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a:t>
          </a:r>
          <a:r>
            <a:rPr lang="en-US" sz="1100" b="1" baseline="0">
              <a:solidFill>
                <a:schemeClr val="bg1"/>
              </a:solidFill>
            </a:rPr>
            <a:t> Billing Determinant Forecast, FY2027</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15875</xdr:colOff>
      <xdr:row>4</xdr:row>
      <xdr:rowOff>120650</xdr:rowOff>
    </xdr:to>
    <xdr:sp macro="" textlink="">
      <xdr:nvSpPr>
        <xdr:cNvPr id="2" name="TextBox 1">
          <a:extLst>
            <a:ext uri="{FF2B5EF4-FFF2-40B4-BE49-F238E27FC236}">
              <a16:creationId xmlns:a16="http://schemas.microsoft.com/office/drawing/2014/main" id="{2CF3BA33-F3E5-425F-8854-26035581DAD9}"/>
            </a:ext>
          </a:extLst>
        </xdr:cNvPr>
        <xdr:cNvSpPr txBox="1"/>
      </xdr:nvSpPr>
      <xdr:spPr>
        <a:xfrm>
          <a:off x="0" y="0"/>
          <a:ext cx="4321175" cy="9207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a:t>
          </a:r>
          <a:r>
            <a:rPr lang="en-US" sz="1100" b="1" baseline="0">
              <a:solidFill>
                <a:schemeClr val="bg1"/>
              </a:solidFill>
            </a:rPr>
            <a:t> Billing Determinant Forecast, FY2028</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295275</xdr:colOff>
      <xdr:row>5</xdr:row>
      <xdr:rowOff>53975</xdr:rowOff>
    </xdr:to>
    <xdr:sp macro="" textlink="">
      <xdr:nvSpPr>
        <xdr:cNvPr id="4" name="TextBox 1">
          <a:extLst>
            <a:ext uri="{FF2B5EF4-FFF2-40B4-BE49-F238E27FC236}">
              <a16:creationId xmlns:a16="http://schemas.microsoft.com/office/drawing/2014/main" id="{A5A9997A-3AD0-4F86-7D7E-2CB5AE1BC4B4}"/>
            </a:ext>
          </a:extLst>
        </xdr:cNvPr>
        <xdr:cNvSpPr txBox="1"/>
      </xdr:nvSpPr>
      <xdr:spPr>
        <a:xfrm>
          <a:off x="0" y="0"/>
          <a:ext cx="4314825" cy="91122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 Billing</a:t>
          </a:r>
          <a:r>
            <a:rPr lang="en-US" sz="1100" b="1" baseline="0">
              <a:solidFill>
                <a:schemeClr val="bg1"/>
              </a:solidFill>
            </a:rPr>
            <a:t> Units sheet.</a:t>
          </a:r>
          <a:endParaRPr lang="en-US" sz="1100" b="1">
            <a:solidFill>
              <a:schemeClr val="bg1"/>
            </a:solidFill>
          </a:endParaRPr>
        </a:p>
        <a:p>
          <a:pPr algn="ctr"/>
          <a:r>
            <a:rPr lang="en-US" sz="1100" b="1">
              <a:solidFill>
                <a:schemeClr val="bg1"/>
              </a:solidFill>
            </a:rPr>
            <a:t>Passes through 2026 Forecast to Consumer</a:t>
          </a:r>
          <a:r>
            <a:rPr lang="en-US" sz="1100" b="1" baseline="0">
              <a:solidFill>
                <a:schemeClr val="bg1"/>
              </a:solidFill>
            </a:rPr>
            <a:t> Analysis tab.</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857250</xdr:colOff>
      <xdr:row>5</xdr:row>
      <xdr:rowOff>60325</xdr:rowOff>
    </xdr:to>
    <xdr:sp macro="" textlink="">
      <xdr:nvSpPr>
        <xdr:cNvPr id="2" name="TextBox 1">
          <a:extLst>
            <a:ext uri="{FF2B5EF4-FFF2-40B4-BE49-F238E27FC236}">
              <a16:creationId xmlns:a16="http://schemas.microsoft.com/office/drawing/2014/main" id="{3F6CF094-E4EC-4C13-961F-A1F54E420734}"/>
            </a:ext>
          </a:extLst>
        </xdr:cNvPr>
        <xdr:cNvSpPr txBox="1"/>
      </xdr:nvSpPr>
      <xdr:spPr>
        <a:xfrm>
          <a:off x="0" y="0"/>
          <a:ext cx="4314825" cy="9175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 Rate</a:t>
          </a:r>
          <a:r>
            <a:rPr lang="en-US" sz="1100" b="1" baseline="0">
              <a:solidFill>
                <a:schemeClr val="bg1"/>
              </a:solidFill>
            </a:rPr>
            <a:t> Inputs sheet.</a:t>
          </a:r>
          <a:endParaRPr lang="en-US" sz="1100" b="1">
            <a:solidFill>
              <a:schemeClr val="bg1"/>
            </a:solidFill>
          </a:endParaRPr>
        </a:p>
        <a:p>
          <a:pPr algn="ctr"/>
          <a:r>
            <a:rPr lang="en-US" sz="1100" b="1">
              <a:solidFill>
                <a:schemeClr val="bg1"/>
              </a:solidFill>
            </a:rPr>
            <a:t>Rider calculations used on Revenue Allocation with Rider sheet.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358775</xdr:colOff>
      <xdr:row>5</xdr:row>
      <xdr:rowOff>19050</xdr:rowOff>
    </xdr:to>
    <xdr:sp macro="" textlink="">
      <xdr:nvSpPr>
        <xdr:cNvPr id="2" name="TextBox 1">
          <a:extLst>
            <a:ext uri="{FF2B5EF4-FFF2-40B4-BE49-F238E27FC236}">
              <a16:creationId xmlns:a16="http://schemas.microsoft.com/office/drawing/2014/main" id="{17DD8CFC-EABF-4B3D-BA92-3D1AB4991ECE}"/>
            </a:ext>
          </a:extLst>
        </xdr:cNvPr>
        <xdr:cNvSpPr txBox="1"/>
      </xdr:nvSpPr>
      <xdr:spPr>
        <a:xfrm>
          <a:off x="0" y="0"/>
          <a:ext cx="4311650" cy="92392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solidFill>
                <a:schemeClr val="bg1"/>
              </a:solidFill>
            </a:rPr>
            <a:t>LUMA's Rate</a:t>
          </a:r>
          <a:r>
            <a:rPr lang="en-US" sz="1100" b="1" baseline="0">
              <a:solidFill>
                <a:schemeClr val="bg1"/>
              </a:solidFill>
            </a:rPr>
            <a:t> Summary sheet.</a:t>
          </a:r>
          <a:endParaRPr lang="en-US" sz="1100" b="1">
            <a:solidFill>
              <a:schemeClr val="bg1"/>
            </a:solidFill>
          </a:endParaRPr>
        </a:p>
        <a:p>
          <a:pPr algn="ctr"/>
          <a:r>
            <a:rPr lang="en-US" sz="1100" b="1">
              <a:solidFill>
                <a:schemeClr val="bg1"/>
              </a:solidFill>
            </a:rPr>
            <a:t>Used for Present Rates Only.</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ppriver3651007591.sharepoint.com/I/BrianD/Warehouse%20Expense%20Report/Updated%20Network%20QTRLY%20Forecast%20Comparison%20FY%202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hreesf.sharepoint.com/Documents%20and%20Settings/peterj/My%20Documents/MUNI/Barron/380-ER-104%2012-22%20JB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ppriver3651007591.sharepoint.com/Norcoden/Data/JOBS/DFAS/estimate.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ethreesf.sharepoint.com/sites/CPUCAdvancedRateDesign/Shared%20Documents/General/5_Model/Phase%203%20Flexible%20Load%20Model/CPUC%20Load%20Flex%20Model%20-%2002.11.2026.xlsb" TargetMode="External"/><Relationship Id="rId1" Type="http://schemas.openxmlformats.org/officeDocument/2006/relationships/externalLinkPath" Target="https://ethreesf.sharepoint.com/sites/CPUCAdvancedRateDesign/Shared%20Documents/General/5_Model/Phase%203%20Flexible%20Load%20Model/CPUC%20Load%20Flex%20Model%20-%2002.11.2026.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ppriver3651007591.sharepoint.com/TESD/MUNI_S/P_RICO/HIGHWAYS/Debt/HTA%20Debt%20Database.xls"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https://quantaservices.sharepoint.com/sites/LUMA/REG/DepartmentWorkspace/FY%202026/1._Rate%20Review/6._COSS%20and%20Rates/LUMA%20-%20Rate%20Design%20FY2026.xlsx" TargetMode="External"/><Relationship Id="rId2" Type="http://schemas.microsoft.com/office/2019/04/relationships/externalLinkLongPath" Target="https://ethreesf.sharepoint.com/sites/PuertoRicoPUCSupport/Shared%20Documents/Rate%20Case%20Proceeding/Work%20Products/Sent%20to%20Scott/LUMA%20schedules-native-and-pdf-format/COSS%20and%20Rates%20Schedules/2027/LUMA%20-%20Rate%20Design%20FY2026.xlsx?A5EACF9D" TargetMode="External"/><Relationship Id="rId1" Type="http://schemas.openxmlformats.org/officeDocument/2006/relationships/externalLinkPath" Target="file:///\\A5EACF9D\LUMA%20-%20Rate%20Design%20FY2026.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ethreesf.sharepoint.com/sites/PuertoRicoPUCSupport/Shared%20Documents/Rate%20Case%20Proceeding/Work%20Products/E3%20Rate%20Design%20Model%20for%20Commissioner%20Deliberations%20-%2004.07.2026.xlsm" TargetMode="External"/><Relationship Id="rId1" Type="http://schemas.openxmlformats.org/officeDocument/2006/relationships/externalLinkPath" Target="https://ethreesf.sharepoint.com/sites/PuertoRicoPUCSupport/Shared%20Documents/Rate%20Case%20Proceeding/Work%20Products/Sent%20to%20Scott/E3%20Rate%20Design%20Model%20for%20Commissioner%20Deliberations%20-%2004.07.2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ility Qtrs"/>
      <sheetName val="Qtrs"/>
      <sheetName val="Month 8"/>
      <sheetName val="Month 9"/>
      <sheetName val="Month 10"/>
      <sheetName val="Month 11"/>
      <sheetName val="Month 1"/>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put Data"/>
      <sheetName val="Staff Adj"/>
      <sheetName val="NIRB"/>
      <sheetName val="FINSTAT"/>
      <sheetName val="CUSANAL"/>
      <sheetName val="PCAC"/>
      <sheetName val="Purchase Power"/>
      <sheetName val="PP-TTS"/>
      <sheetName val="EMBED"/>
      <sheetName val="RGGSBILL"/>
      <sheetName val="CP123"/>
      <sheetName val="COSS Results"/>
      <sheetName val="COSS STUDY"/>
      <sheetName val="Allocators"/>
      <sheetName val="FUNCTIONALIZE"/>
      <sheetName val="Rate Summary"/>
      <sheetName val="Annual Averages"/>
      <sheetName val="Lights"/>
      <sheetName val="TY2002"/>
      <sheetName val="Fuel"/>
      <sheetName val="Purpow"/>
    </sheetNames>
    <sheetDataSet>
      <sheetData sheetId="0" refreshError="1"/>
      <sheetData sheetId="1"/>
      <sheetData sheetId="2" refreshError="1"/>
      <sheetData sheetId="3"/>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estimate"/>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Results &gt;&gt;"/>
      <sheetName val="Active Case Dashboard"/>
      <sheetName val="Results Comparison"/>
      <sheetName val="Inputs &gt;&gt;"/>
      <sheetName val="Rates Output from Model"/>
      <sheetName val="Bills Output from Model"/>
      <sheetName val="Calculations &gt;&gt;"/>
      <sheetName val="Hourly Data"/>
      <sheetName val="Demand Elasticity"/>
      <sheetName val="HPWH Dispatch"/>
      <sheetName val="EV Charging"/>
      <sheetName val="Battery Storage"/>
      <sheetName val="Storage Charts"/>
      <sheetName val="Export Rate 365x24"/>
      <sheetName val="Import Rate 365x24"/>
      <sheetName val="Charging from Exports"/>
      <sheetName val="Charging from Imports"/>
      <sheetName val="Discharging for Self Consum"/>
      <sheetName val="Discharging for Exports"/>
      <sheetName val="Data &gt;&gt;"/>
      <sheetName val="Library of Cases"/>
      <sheetName val="Segmented Load Shapes"/>
      <sheetName val="Aggregated Load Shapes"/>
      <sheetName val="Solar Shapes"/>
      <sheetName val="8760 Rates"/>
      <sheetName val="Flat Rates"/>
      <sheetName val="NBT Export Rates"/>
      <sheetName val="Active Avoided Costs"/>
      <sheetName val="Avoided Costs 2024 ACC"/>
      <sheetName val="Lists and Mapping"/>
    </sheetNames>
    <sheetDataSet>
      <sheetData sheetId="0" refreshError="1"/>
      <sheetData sheetId="1" refreshError="1"/>
      <sheetData sheetId="2">
        <row r="19">
          <cell r="D19" t="str">
            <v>E-ELEC</v>
          </cell>
        </row>
        <row r="21">
          <cell r="D21" t="str">
            <v>PG&amp;E_Inland_Electric Space and Water Heating</v>
          </cell>
        </row>
        <row r="25">
          <cell r="D25" t="str">
            <v>PG&amp;E_Inland_Electric Space and Water Heating_E-ELEC_Battery</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2">
          <cell r="C12">
            <v>0.85</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27">
          <cell r="E27" t="str">
            <v>PG&amp;E_Coastal_Electric Space and Water Heating_E-TOU-C_Elasticity</v>
          </cell>
          <cell r="F27" t="str">
            <v>PG&amp;E_Coastal_Electric Space and Water Heating_E-ELEC_Elasticity</v>
          </cell>
          <cell r="G27" t="str">
            <v>PG&amp;E_Coastal_Electric Space and Water Heating_PG&amp;E_New_Rate_Elasticity</v>
          </cell>
          <cell r="H27" t="str">
            <v>PG&amp;E_Inland_Electric Space and Water Heating_E-TOU-C_Elasticity</v>
          </cell>
          <cell r="I27" t="str">
            <v>PG&amp;E_Inland_Electric Space and Water Heating_E-ELEC_Elasticity</v>
          </cell>
          <cell r="J27" t="str">
            <v>PG&amp;E_Inland_Electric Space and Water Heating_PG&amp;E_New_Rate_Elasticity</v>
          </cell>
          <cell r="K27" t="str">
            <v>SCE_Coastal_Electric Space and Water Heating_TOU-D-4-9_Elasticity</v>
          </cell>
          <cell r="L27" t="str">
            <v>SCE_Coastal_Electric Space and Water Heating_TOU-D-PRIME_Elasticity</v>
          </cell>
          <cell r="M27" t="str">
            <v>SCE_Coastal_Electric Space and Water Heating_SCE_New_Rate_Elasticity</v>
          </cell>
          <cell r="N27" t="str">
            <v>SCE_Inland_Electric Space and Water Heating_TOU-D-4-9_Elasticity</v>
          </cell>
          <cell r="O27" t="str">
            <v>SCE_Inland_Electric Space and Water Heating_TOU-D-PRIME_Elasticity</v>
          </cell>
          <cell r="P27" t="str">
            <v>SCE_Inland_Electric Space and Water Heating_SCE_New_Rate_Elasticity</v>
          </cell>
          <cell r="Q27" t="str">
            <v>SDG&amp;E_Coastal_Electric Space and Water Heating_TOU-DR1_Elasticity</v>
          </cell>
          <cell r="R27" t="str">
            <v>SDG&amp;E_Coastal_Electric Space and Water Heating_EV-TOU-5_Elasticity</v>
          </cell>
          <cell r="S27" t="str">
            <v>SDG&amp;E_Coastal_Electric Space and Water Heating_SDG&amp;E_New_Rate_Elasticity</v>
          </cell>
          <cell r="T27" t="str">
            <v>SDG&amp;E_Inland_Electric Space and Water Heating_TOU-DR1_Elasticity</v>
          </cell>
          <cell r="U27" t="str">
            <v>SDG&amp;E_Inland_Electric Space and Water Heating_EV-TOU-5_Elasticity</v>
          </cell>
          <cell r="V27" t="str">
            <v>SDG&amp;E_Inland_Electric Space and Water Heating_SDG&amp;E_New_Rate_Elasticity</v>
          </cell>
          <cell r="W27" t="str">
            <v>PG&amp;E_Coastal_Electric Space and Water Heating_E-TOU-C_HPWH</v>
          </cell>
          <cell r="X27" t="str">
            <v>PG&amp;E_Coastal_Electric Space and Water Heating_E-ELEC_HPWH</v>
          </cell>
          <cell r="Y27" t="str">
            <v>PG&amp;E_Coastal_Electric Space and Water Heating_PG&amp;E_New_Rate_HPWH</v>
          </cell>
          <cell r="Z27" t="str">
            <v>PG&amp;E_Inland_Electric Space and Water Heating_E-TOU-C_HPWH</v>
          </cell>
          <cell r="AA27" t="str">
            <v>PG&amp;E_Inland_Electric Space and Water Heating_E-ELEC_HPWH</v>
          </cell>
          <cell r="AB27" t="str">
            <v>PG&amp;E_Inland_Electric Space and Water Heating_PG&amp;E_New_Rate_HPWH</v>
          </cell>
          <cell r="AC27" t="str">
            <v>SCE_Coastal_Electric Space and Water Heating_TOU-D-4-9_HPWH</v>
          </cell>
          <cell r="AD27" t="str">
            <v>SCE_Coastal_Electric Space and Water Heating_TOU-D-PRIME_HPWH</v>
          </cell>
          <cell r="AE27" t="str">
            <v>SCE_Coastal_Electric Space and Water Heating_SCE_New_Rate_HPWH</v>
          </cell>
          <cell r="AF27" t="str">
            <v>SCE_Inland_Electric Space and Water Heating_TOU-D-4-9_HPWH</v>
          </cell>
          <cell r="AG27" t="str">
            <v>SCE_Inland_Electric Space and Water Heating_TOU-D-PRIME_HPWH</v>
          </cell>
          <cell r="AH27" t="str">
            <v>SCE_Inland_Electric Space and Water Heating_SCE_New_Rate_HPWH</v>
          </cell>
          <cell r="AI27" t="str">
            <v>SDG&amp;E_Coastal_Electric Space and Water Heating_TOU-DR1_HPWH</v>
          </cell>
          <cell r="AJ27" t="str">
            <v>SDG&amp;E_Coastal_Electric Space and Water Heating_EV-TOU-5_HPWH</v>
          </cell>
          <cell r="AK27" t="str">
            <v>SDG&amp;E_Coastal_Electric Space and Water Heating_SDG&amp;E_New_Rate_HPWH</v>
          </cell>
          <cell r="AL27" t="str">
            <v>SDG&amp;E_Inland_Electric Space and Water Heating_TOU-DR1_HPWH</v>
          </cell>
          <cell r="AM27" t="str">
            <v>SDG&amp;E_Inland_Electric Space and Water Heating_EV-TOU-5_HPWH</v>
          </cell>
          <cell r="AN27" t="str">
            <v>SDG&amp;E_Inland_Electric Space and Water Heating_SDG&amp;E_New_Rate_HPWH</v>
          </cell>
          <cell r="AO27" t="str">
            <v>PG&amp;E_Coastal_Electric Space and Water Heating_E-TOU-C_Battery</v>
          </cell>
          <cell r="AP27" t="str">
            <v>PG&amp;E_Coastal_Electric Space and Water Heating_E-ELEC_Battery</v>
          </cell>
          <cell r="AQ27" t="str">
            <v>PG&amp;E_Coastal_Electric Space and Water Heating_PG&amp;E_New_Rate_Battery</v>
          </cell>
          <cell r="AR27" t="str">
            <v>PG&amp;E_Inland_Electric Space and Water Heating_E-TOU-C_Battery</v>
          </cell>
          <cell r="AS27" t="str">
            <v>PG&amp;E_Inland_Electric Space and Water Heating_E-ELEC_Battery</v>
          </cell>
          <cell r="AT27" t="str">
            <v>PG&amp;E_Inland_Electric Space and Water Heating_PG&amp;E_New_Rate_Battery</v>
          </cell>
          <cell r="AU27" t="str">
            <v>SCE_Coastal_Electric Space and Water Heating_TOU-D-4-9_Battery</v>
          </cell>
          <cell r="AV27" t="str">
            <v>SCE_Coastal_Electric Space and Water Heating_TOU-D-PRIME_Battery</v>
          </cell>
          <cell r="AW27" t="str">
            <v>SCE_Coastal_Electric Space and Water Heating_SCE_New_Rate_Battery</v>
          </cell>
          <cell r="AX27" t="str">
            <v>SCE_Inland_Electric Space and Water Heating_TOU-D-4-9_Battery</v>
          </cell>
          <cell r="AY27" t="str">
            <v>SCE_Inland_Electric Space and Water Heating_TOU-D-PRIME_Battery</v>
          </cell>
          <cell r="AZ27" t="str">
            <v>SCE_Inland_Electric Space and Water Heating_SCE_New_Rate_Battery</v>
          </cell>
          <cell r="BA27" t="str">
            <v>SDG&amp;E_Coastal_Electric Space and Water Heating_TOU-DR1_Battery</v>
          </cell>
          <cell r="BB27" t="str">
            <v>SDG&amp;E_Coastal_Electric Space and Water Heating_EV-TOU-5_Battery</v>
          </cell>
          <cell r="BC27" t="str">
            <v>SDG&amp;E_Coastal_Electric Space and Water Heating_SDG&amp;E_New_Rate_Battery</v>
          </cell>
          <cell r="BD27" t="str">
            <v>SDG&amp;E_Inland_Electric Space and Water Heating_TOU-DR1_Battery</v>
          </cell>
          <cell r="BE27" t="str">
            <v>SDG&amp;E_Inland_Electric Space and Water Heating_EV-TOU-5_Battery</v>
          </cell>
          <cell r="BF27" t="str">
            <v>SDG&amp;E_Inland_Electric Space and Water Heating_SDG&amp;E_New_Rate_Battery</v>
          </cell>
          <cell r="BG27" t="str">
            <v>PG&amp;E_Coastal_Electric Space and Water Heating with EV_E-TOU-C_Managed EV</v>
          </cell>
          <cell r="BH27" t="str">
            <v>PG&amp;E_Coastal_Electric Space and Water Heating with EV_E-ELEC_Managed EV</v>
          </cell>
          <cell r="BI27" t="str">
            <v>PG&amp;E_Coastal_Electric Space and Water Heating with EV_PG&amp;E_New_Rate_Managed EV</v>
          </cell>
          <cell r="BJ27" t="str">
            <v>PG&amp;E_Inland_Electric Space and Water Heating with EV_E-TOU-C_Managed EV</v>
          </cell>
          <cell r="BK27" t="str">
            <v>PG&amp;E_Inland_Electric Space and Water Heating with EV_E-ELEC_Managed EV</v>
          </cell>
          <cell r="BL27" t="str">
            <v>PG&amp;E_Inland_Electric Space and Water Heating with EV_PG&amp;E_New_Rate_Managed EV</v>
          </cell>
          <cell r="BM27" t="str">
            <v>SCE_Coastal_Electric Space and Water Heating with EV_TOU-D-4-9_Managed EV</v>
          </cell>
          <cell r="BN27" t="str">
            <v>SCE_Coastal_Electric Space and Water Heating with EV_TOU-D-PRIME_Managed EV</v>
          </cell>
          <cell r="BO27" t="str">
            <v>SCE_Coastal_Electric Space and Water Heating with EV_SCE_New_Rate_Managed EV</v>
          </cell>
          <cell r="BP27" t="str">
            <v>SCE_Inland_Electric Space and Water Heating with EV_TOU-D-4-9_Managed EV</v>
          </cell>
          <cell r="BQ27" t="str">
            <v>SCE_Inland_Electric Space and Water Heating with EV_TOU-D-PRIME_Managed EV</v>
          </cell>
          <cell r="BR27" t="str">
            <v>SCE_Inland_Electric Space and Water Heating with EV_SCE_New_Rate_Managed EV</v>
          </cell>
          <cell r="BS27" t="str">
            <v>SDG&amp;E_Coastal_Electric Space and Water Heating with EV_TOU-DR1_Managed EV</v>
          </cell>
          <cell r="BT27" t="str">
            <v>SDG&amp;E_Coastal_Electric Space and Water Heating with EV_EV-TOU-5_Managed EV</v>
          </cell>
          <cell r="BU27" t="str">
            <v>SDG&amp;E_Coastal_Electric Space and Water Heating with EV_SDG&amp;E_New_Rate_Managed EV</v>
          </cell>
          <cell r="BV27" t="str">
            <v>SDG&amp;E_Inland_Electric Space and Water Heating with EV_TOU-DR1_Managed EV</v>
          </cell>
          <cell r="BW27" t="str">
            <v>SDG&amp;E_Inland_Electric Space and Water Heating with EV_EV-TOU-5_Managed EV</v>
          </cell>
          <cell r="BX27" t="str">
            <v>SDG&amp;E_Inland_Electric Space and Water Heating with EV_SDG&amp;E_New_Rate_Managed EV</v>
          </cell>
        </row>
      </sheetData>
      <sheetData sheetId="22" refreshError="1"/>
      <sheetData sheetId="23" refreshError="1"/>
      <sheetData sheetId="24" refreshError="1"/>
      <sheetData sheetId="25" refreshError="1"/>
      <sheetData sheetId="26" refreshError="1"/>
      <sheetData sheetId="27" refreshError="1"/>
      <sheetData sheetId="28">
        <row r="10">
          <cell r="F10">
            <v>8.5000000000000006E-2</v>
          </cell>
        </row>
        <row r="11">
          <cell r="F11">
            <v>9.5500000000000002E-2</v>
          </cell>
        </row>
        <row r="12">
          <cell r="F12">
            <v>8.9200000000000002E-2</v>
          </cell>
        </row>
        <row r="13">
          <cell r="F13">
            <v>8.5699999999999998E-2</v>
          </cell>
        </row>
        <row r="14">
          <cell r="F14">
            <v>8.5000000000000006E-2</v>
          </cell>
        </row>
        <row r="15">
          <cell r="F15">
            <v>9.4799999999999995E-2</v>
          </cell>
        </row>
        <row r="16">
          <cell r="F16">
            <v>8.5699999999999998E-2</v>
          </cell>
        </row>
        <row r="17">
          <cell r="F17">
            <v>8.43E-2</v>
          </cell>
        </row>
        <row r="18">
          <cell r="F18">
            <v>8.0799999999999997E-2</v>
          </cell>
        </row>
        <row r="19">
          <cell r="F19">
            <v>7.9399999999999998E-2</v>
          </cell>
        </row>
        <row r="20">
          <cell r="F20">
            <v>7.0199999999999999E-2</v>
          </cell>
        </row>
        <row r="21">
          <cell r="F21">
            <v>6.9500000000000006E-2</v>
          </cell>
        </row>
        <row r="22">
          <cell r="F22">
            <v>7.0199999999999999E-2</v>
          </cell>
        </row>
        <row r="23">
          <cell r="F23">
            <v>7.0199999999999999E-2</v>
          </cell>
        </row>
        <row r="24">
          <cell r="F24">
            <v>7.1599999999999997E-2</v>
          </cell>
        </row>
        <row r="25">
          <cell r="F25">
            <v>7.6499999999999999E-2</v>
          </cell>
        </row>
        <row r="26">
          <cell r="F26">
            <v>9.7600000000000006E-2</v>
          </cell>
        </row>
        <row r="27">
          <cell r="F27">
            <v>0.1132</v>
          </cell>
        </row>
        <row r="28">
          <cell r="F28">
            <v>0.1014</v>
          </cell>
        </row>
        <row r="29">
          <cell r="F29">
            <v>9.8500000000000004E-2</v>
          </cell>
        </row>
        <row r="30">
          <cell r="F30">
            <v>9.7100000000000006E-2</v>
          </cell>
        </row>
        <row r="31">
          <cell r="F31">
            <v>9.7699999999999995E-2</v>
          </cell>
        </row>
        <row r="32">
          <cell r="F32">
            <v>0.1019</v>
          </cell>
        </row>
        <row r="33">
          <cell r="F33">
            <v>0.1019</v>
          </cell>
        </row>
        <row r="34">
          <cell r="F34">
            <v>0.1011</v>
          </cell>
        </row>
        <row r="35">
          <cell r="F35">
            <v>9.5500000000000002E-2</v>
          </cell>
        </row>
        <row r="36">
          <cell r="F36">
            <v>9.2399999999999996E-2</v>
          </cell>
        </row>
        <row r="37">
          <cell r="F37">
            <v>9.2399999999999996E-2</v>
          </cell>
        </row>
        <row r="38">
          <cell r="F38">
            <v>0.1004</v>
          </cell>
        </row>
        <row r="39">
          <cell r="F39">
            <v>0.1004</v>
          </cell>
        </row>
        <row r="40">
          <cell r="F40">
            <v>9.9000000000000005E-2</v>
          </cell>
        </row>
        <row r="41">
          <cell r="F41">
            <v>9.7600000000000006E-2</v>
          </cell>
        </row>
        <row r="42">
          <cell r="F42">
            <v>9.4100000000000003E-2</v>
          </cell>
        </row>
        <row r="43">
          <cell r="F43">
            <v>7.8600000000000003E-2</v>
          </cell>
        </row>
        <row r="44">
          <cell r="F44">
            <v>7.5800000000000006E-2</v>
          </cell>
        </row>
        <row r="45">
          <cell r="F45">
            <v>7.51E-2</v>
          </cell>
        </row>
        <row r="46">
          <cell r="F46">
            <v>7.51E-2</v>
          </cell>
        </row>
        <row r="47">
          <cell r="F47">
            <v>7.51E-2</v>
          </cell>
        </row>
        <row r="48">
          <cell r="F48">
            <v>7.2999999999999995E-2</v>
          </cell>
        </row>
        <row r="49">
          <cell r="F49">
            <v>7.51E-2</v>
          </cell>
        </row>
        <row r="50">
          <cell r="F50">
            <v>9.3399999999999997E-2</v>
          </cell>
        </row>
        <row r="51">
          <cell r="F51">
            <v>0.104</v>
          </cell>
        </row>
        <row r="52">
          <cell r="F52">
            <v>9.6299999999999997E-2</v>
          </cell>
        </row>
        <row r="53">
          <cell r="F53">
            <v>9.5600000000000004E-2</v>
          </cell>
        </row>
        <row r="54">
          <cell r="F54">
            <v>8.7800000000000003E-2</v>
          </cell>
        </row>
        <row r="55">
          <cell r="F55">
            <v>8.8499999999999995E-2</v>
          </cell>
        </row>
        <row r="56">
          <cell r="F56">
            <v>8.9200000000000002E-2</v>
          </cell>
        </row>
        <row r="57">
          <cell r="F57">
            <v>8.3500000000000005E-2</v>
          </cell>
        </row>
        <row r="58">
          <cell r="F58">
            <v>8.6400000000000005E-2</v>
          </cell>
        </row>
        <row r="59">
          <cell r="F59">
            <v>8.3500000000000005E-2</v>
          </cell>
        </row>
        <row r="60">
          <cell r="F60">
            <v>8.14E-2</v>
          </cell>
        </row>
        <row r="61">
          <cell r="F61">
            <v>8.14E-2</v>
          </cell>
        </row>
        <row r="62">
          <cell r="F62">
            <v>8.3500000000000005E-2</v>
          </cell>
        </row>
        <row r="63">
          <cell r="F63">
            <v>9.2700000000000005E-2</v>
          </cell>
        </row>
        <row r="64">
          <cell r="F64">
            <v>9.2700000000000005E-2</v>
          </cell>
        </row>
        <row r="65">
          <cell r="F65">
            <v>8.14E-2</v>
          </cell>
        </row>
        <row r="66">
          <cell r="F66">
            <v>7.5800000000000006E-2</v>
          </cell>
        </row>
        <row r="67">
          <cell r="F67">
            <v>7.4399999999999994E-2</v>
          </cell>
        </row>
        <row r="68">
          <cell r="F68">
            <v>7.4399999999999994E-2</v>
          </cell>
        </row>
        <row r="69">
          <cell r="F69">
            <v>7.2300000000000003E-2</v>
          </cell>
        </row>
        <row r="70">
          <cell r="F70">
            <v>7.3700000000000002E-2</v>
          </cell>
        </row>
        <row r="71">
          <cell r="F71">
            <v>7.2300000000000003E-2</v>
          </cell>
        </row>
        <row r="72">
          <cell r="F72">
            <v>7.1599999999999997E-2</v>
          </cell>
        </row>
        <row r="73">
          <cell r="F73">
            <v>7.2999999999999995E-2</v>
          </cell>
        </row>
        <row r="74">
          <cell r="F74">
            <v>9.6199999999999994E-2</v>
          </cell>
        </row>
        <row r="75">
          <cell r="F75">
            <v>0.1159</v>
          </cell>
        </row>
        <row r="76">
          <cell r="F76">
            <v>9.7000000000000003E-2</v>
          </cell>
        </row>
        <row r="77">
          <cell r="F77">
            <v>9.69E-2</v>
          </cell>
        </row>
        <row r="78">
          <cell r="F78">
            <v>9.5500000000000002E-2</v>
          </cell>
        </row>
        <row r="79">
          <cell r="F79">
            <v>9.8299999999999998E-2</v>
          </cell>
        </row>
        <row r="80">
          <cell r="F80">
            <v>0.10680000000000001</v>
          </cell>
        </row>
        <row r="81">
          <cell r="F81">
            <v>0.10539999999999999</v>
          </cell>
        </row>
        <row r="82">
          <cell r="F82">
            <v>0.1082</v>
          </cell>
        </row>
        <row r="83">
          <cell r="F83">
            <v>0.10539999999999999</v>
          </cell>
        </row>
        <row r="84">
          <cell r="F84">
            <v>0.1082</v>
          </cell>
        </row>
        <row r="85">
          <cell r="F85">
            <v>0.1075</v>
          </cell>
        </row>
        <row r="86">
          <cell r="F86">
            <v>0.10539999999999999</v>
          </cell>
        </row>
        <row r="87">
          <cell r="F87">
            <v>0.11169999999999999</v>
          </cell>
        </row>
        <row r="88">
          <cell r="F88">
            <v>0.1231</v>
          </cell>
        </row>
        <row r="89">
          <cell r="F89">
            <v>0.1012</v>
          </cell>
        </row>
        <row r="90">
          <cell r="F90">
            <v>8.3599999999999994E-2</v>
          </cell>
        </row>
        <row r="91">
          <cell r="F91">
            <v>7.2999999999999995E-2</v>
          </cell>
        </row>
        <row r="92">
          <cell r="F92">
            <v>7.17E-2</v>
          </cell>
        </row>
        <row r="93">
          <cell r="F93">
            <v>7.0900000000000005E-2</v>
          </cell>
        </row>
        <row r="94">
          <cell r="F94">
            <v>7.2499999999999995E-2</v>
          </cell>
        </row>
        <row r="95">
          <cell r="F95">
            <v>7.17E-2</v>
          </cell>
        </row>
        <row r="96">
          <cell r="F96">
            <v>7.1099999999999997E-2</v>
          </cell>
        </row>
        <row r="97">
          <cell r="F97">
            <v>7.17E-2</v>
          </cell>
        </row>
        <row r="98">
          <cell r="F98">
            <v>0.10059999999999999</v>
          </cell>
        </row>
        <row r="99">
          <cell r="F99">
            <v>0.12139999999999999</v>
          </cell>
        </row>
        <row r="100">
          <cell r="F100">
            <v>0.12089999999999999</v>
          </cell>
        </row>
        <row r="101">
          <cell r="F101">
            <v>9.6299999999999997E-2</v>
          </cell>
        </row>
        <row r="102">
          <cell r="F102">
            <v>9.8400000000000001E-2</v>
          </cell>
        </row>
        <row r="103">
          <cell r="F103">
            <v>9.7600000000000006E-2</v>
          </cell>
        </row>
        <row r="104">
          <cell r="F104">
            <v>9.69E-2</v>
          </cell>
        </row>
        <row r="105">
          <cell r="F105">
            <v>9.7600000000000006E-2</v>
          </cell>
        </row>
        <row r="106">
          <cell r="F106">
            <v>9.8299999999999998E-2</v>
          </cell>
        </row>
        <row r="107">
          <cell r="F107">
            <v>9.7600000000000006E-2</v>
          </cell>
        </row>
        <row r="108">
          <cell r="F108">
            <v>9.8299999999999998E-2</v>
          </cell>
        </row>
        <row r="109">
          <cell r="F109">
            <v>9.7600000000000006E-2</v>
          </cell>
        </row>
        <row r="110">
          <cell r="F110">
            <v>9.69E-2</v>
          </cell>
        </row>
        <row r="111">
          <cell r="F111">
            <v>9.8299999999999998E-2</v>
          </cell>
        </row>
        <row r="112">
          <cell r="F112">
            <v>9.9699999999999997E-2</v>
          </cell>
        </row>
        <row r="113">
          <cell r="F113">
            <v>9.98E-2</v>
          </cell>
        </row>
        <row r="114">
          <cell r="F114">
            <v>9.1399999999999995E-2</v>
          </cell>
        </row>
        <row r="115">
          <cell r="F115">
            <v>7.3700000000000002E-2</v>
          </cell>
        </row>
        <row r="116">
          <cell r="F116">
            <v>7.3700000000000002E-2</v>
          </cell>
        </row>
        <row r="117">
          <cell r="F117">
            <v>7.4399999999999994E-2</v>
          </cell>
        </row>
        <row r="118">
          <cell r="F118">
            <v>7.3700000000000002E-2</v>
          </cell>
        </row>
        <row r="119">
          <cell r="F119">
            <v>4.41E-2</v>
          </cell>
        </row>
        <row r="120">
          <cell r="F120">
            <v>7.0199999999999999E-2</v>
          </cell>
        </row>
        <row r="121">
          <cell r="F121">
            <v>7.0199999999999999E-2</v>
          </cell>
        </row>
        <row r="122">
          <cell r="F122">
            <v>9.9699999999999997E-2</v>
          </cell>
        </row>
        <row r="123">
          <cell r="F123">
            <v>0.12429999999999999</v>
          </cell>
        </row>
        <row r="124">
          <cell r="F124">
            <v>9.7199999999999995E-2</v>
          </cell>
        </row>
        <row r="125">
          <cell r="F125">
            <v>9.8699999999999996E-2</v>
          </cell>
        </row>
        <row r="126">
          <cell r="F126">
            <v>9.9299999999999999E-2</v>
          </cell>
        </row>
        <row r="127">
          <cell r="F127">
            <v>9.9900000000000003E-2</v>
          </cell>
        </row>
        <row r="128">
          <cell r="F128">
            <v>0.1237</v>
          </cell>
        </row>
        <row r="129">
          <cell r="F129">
            <v>0.1202</v>
          </cell>
        </row>
        <row r="130">
          <cell r="F130">
            <v>8.8499999999999995E-2</v>
          </cell>
        </row>
        <row r="131">
          <cell r="F131">
            <v>8.43E-2</v>
          </cell>
        </row>
        <row r="132">
          <cell r="F132">
            <v>8.9899999999999994E-2</v>
          </cell>
        </row>
        <row r="133">
          <cell r="F133">
            <v>9.06E-2</v>
          </cell>
        </row>
        <row r="134">
          <cell r="F134">
            <v>8.9899999999999994E-2</v>
          </cell>
        </row>
        <row r="135">
          <cell r="F135">
            <v>9.06E-2</v>
          </cell>
        </row>
        <row r="136">
          <cell r="F136">
            <v>9.3399999999999997E-2</v>
          </cell>
        </row>
        <row r="137">
          <cell r="F137">
            <v>8.7099999999999997E-2</v>
          </cell>
        </row>
        <row r="138">
          <cell r="F138">
            <v>7.8600000000000003E-2</v>
          </cell>
        </row>
        <row r="139">
          <cell r="F139">
            <v>7.0199999999999999E-2</v>
          </cell>
        </row>
        <row r="140">
          <cell r="F140">
            <v>6.8099999999999994E-2</v>
          </cell>
        </row>
        <row r="141">
          <cell r="F141">
            <v>6.88E-2</v>
          </cell>
        </row>
        <row r="142">
          <cell r="F142">
            <v>6.9500000000000006E-2</v>
          </cell>
        </row>
        <row r="143">
          <cell r="F143">
            <v>7.0199999999999999E-2</v>
          </cell>
        </row>
        <row r="144">
          <cell r="F144">
            <v>7.0199999999999999E-2</v>
          </cell>
        </row>
        <row r="145">
          <cell r="F145">
            <v>7.0199999999999999E-2</v>
          </cell>
        </row>
        <row r="146">
          <cell r="F146">
            <v>8.6400000000000005E-2</v>
          </cell>
        </row>
        <row r="147">
          <cell r="F147">
            <v>0.10539999999999999</v>
          </cell>
        </row>
        <row r="148">
          <cell r="F148">
            <v>8.8499999999999995E-2</v>
          </cell>
        </row>
        <row r="149">
          <cell r="F149">
            <v>8.7900000000000006E-2</v>
          </cell>
        </row>
        <row r="150">
          <cell r="F150">
            <v>8.7099999999999997E-2</v>
          </cell>
        </row>
        <row r="151">
          <cell r="F151">
            <v>8.7800000000000003E-2</v>
          </cell>
        </row>
        <row r="152">
          <cell r="F152">
            <v>9.3399999999999997E-2</v>
          </cell>
        </row>
        <row r="153">
          <cell r="F153">
            <v>9.06E-2</v>
          </cell>
        </row>
        <row r="154">
          <cell r="F154">
            <v>9.1300000000000006E-2</v>
          </cell>
        </row>
        <row r="155">
          <cell r="F155">
            <v>9.1300000000000006E-2</v>
          </cell>
        </row>
        <row r="156">
          <cell r="F156">
            <v>9.1300000000000006E-2</v>
          </cell>
        </row>
        <row r="157">
          <cell r="F157">
            <v>9.1300000000000006E-2</v>
          </cell>
        </row>
        <row r="158">
          <cell r="F158">
            <v>9.1300000000000006E-2</v>
          </cell>
        </row>
        <row r="159">
          <cell r="F159">
            <v>9.1300000000000006E-2</v>
          </cell>
        </row>
        <row r="160">
          <cell r="F160">
            <v>9.4799999999999995E-2</v>
          </cell>
        </row>
        <row r="161">
          <cell r="F161">
            <v>9.4799999999999995E-2</v>
          </cell>
        </row>
        <row r="162">
          <cell r="F162">
            <v>6.88E-2</v>
          </cell>
        </row>
        <row r="163">
          <cell r="F163">
            <v>6.4600000000000005E-2</v>
          </cell>
        </row>
        <row r="164">
          <cell r="F164">
            <v>6.4600000000000005E-2</v>
          </cell>
        </row>
        <row r="165">
          <cell r="F165">
            <v>6.4600000000000005E-2</v>
          </cell>
        </row>
        <row r="166">
          <cell r="F166">
            <v>6.4500000000000002E-2</v>
          </cell>
        </row>
        <row r="167">
          <cell r="F167">
            <v>6.3799999999999996E-2</v>
          </cell>
        </row>
        <row r="168">
          <cell r="F168">
            <v>6.3100000000000003E-2</v>
          </cell>
        </row>
        <row r="169">
          <cell r="F169">
            <v>6.5199999999999994E-2</v>
          </cell>
        </row>
        <row r="170">
          <cell r="F170">
            <v>9.4799999999999995E-2</v>
          </cell>
        </row>
        <row r="171">
          <cell r="F171">
            <v>0.1249</v>
          </cell>
        </row>
        <row r="172">
          <cell r="F172">
            <v>0.1244</v>
          </cell>
        </row>
        <row r="173">
          <cell r="F173">
            <v>8.8400000000000006E-2</v>
          </cell>
        </row>
        <row r="174">
          <cell r="F174">
            <v>8.9099999999999999E-2</v>
          </cell>
        </row>
        <row r="175">
          <cell r="F175">
            <v>8.8999999999999996E-2</v>
          </cell>
        </row>
        <row r="176">
          <cell r="F176">
            <v>9.11E-2</v>
          </cell>
        </row>
        <row r="177">
          <cell r="F177">
            <v>8.8300000000000003E-2</v>
          </cell>
        </row>
        <row r="178">
          <cell r="F178">
            <v>7.2400000000000006E-2</v>
          </cell>
        </row>
        <row r="179">
          <cell r="F179">
            <v>7.3099999999999998E-2</v>
          </cell>
        </row>
        <row r="180">
          <cell r="F180">
            <v>7.8799999999999995E-2</v>
          </cell>
        </row>
        <row r="181">
          <cell r="F181">
            <v>8.09E-2</v>
          </cell>
        </row>
        <row r="182">
          <cell r="F182">
            <v>9.3399999999999997E-2</v>
          </cell>
        </row>
        <row r="183">
          <cell r="F183">
            <v>8.43E-2</v>
          </cell>
        </row>
        <row r="184">
          <cell r="F184">
            <v>8.3699999999999997E-2</v>
          </cell>
        </row>
        <row r="185">
          <cell r="F185">
            <v>8.7800000000000003E-2</v>
          </cell>
        </row>
        <row r="186">
          <cell r="F186">
            <v>7.5899999999999995E-2</v>
          </cell>
        </row>
        <row r="187">
          <cell r="F187">
            <v>6.7500000000000004E-2</v>
          </cell>
        </row>
        <row r="188">
          <cell r="F188">
            <v>6.6100000000000006E-2</v>
          </cell>
        </row>
        <row r="189">
          <cell r="F189">
            <v>6.7500000000000004E-2</v>
          </cell>
        </row>
        <row r="190">
          <cell r="F190">
            <v>6.6100000000000006E-2</v>
          </cell>
        </row>
        <row r="191">
          <cell r="F191">
            <v>6.3299999999999995E-2</v>
          </cell>
        </row>
        <row r="192">
          <cell r="F192">
            <v>6.2600000000000003E-2</v>
          </cell>
        </row>
        <row r="193">
          <cell r="F193">
            <v>6.3299999999999995E-2</v>
          </cell>
        </row>
        <row r="194">
          <cell r="F194">
            <v>7.9500000000000001E-2</v>
          </cell>
        </row>
        <row r="195">
          <cell r="F195">
            <v>8.09E-2</v>
          </cell>
        </row>
        <row r="196">
          <cell r="F196">
            <v>8.3799999999999999E-2</v>
          </cell>
        </row>
        <row r="197">
          <cell r="F197">
            <v>8.1699999999999995E-2</v>
          </cell>
        </row>
        <row r="198">
          <cell r="F198">
            <v>8.2400000000000001E-2</v>
          </cell>
        </row>
        <row r="199">
          <cell r="F199">
            <v>9.1300000000000006E-2</v>
          </cell>
        </row>
        <row r="200">
          <cell r="F200">
            <v>9.7600000000000006E-2</v>
          </cell>
        </row>
        <row r="201">
          <cell r="F201">
            <v>9.7600000000000006E-2</v>
          </cell>
        </row>
        <row r="202">
          <cell r="F202">
            <v>9.8299999999999998E-2</v>
          </cell>
        </row>
        <row r="203">
          <cell r="F203">
            <v>9.7600000000000006E-2</v>
          </cell>
        </row>
        <row r="204">
          <cell r="F204">
            <v>8.5800000000000001E-2</v>
          </cell>
        </row>
        <row r="205">
          <cell r="F205">
            <v>8.6499999999999994E-2</v>
          </cell>
        </row>
        <row r="206">
          <cell r="F206">
            <v>9.6199999999999994E-2</v>
          </cell>
        </row>
        <row r="207">
          <cell r="F207">
            <v>9.69E-2</v>
          </cell>
        </row>
        <row r="208">
          <cell r="F208">
            <v>8.6499999999999994E-2</v>
          </cell>
        </row>
        <row r="209">
          <cell r="F209">
            <v>7.8100000000000003E-2</v>
          </cell>
        </row>
        <row r="210">
          <cell r="F210">
            <v>7.8100000000000003E-2</v>
          </cell>
        </row>
        <row r="211">
          <cell r="F211">
            <v>7.0199999999999999E-2</v>
          </cell>
        </row>
        <row r="212">
          <cell r="F212">
            <v>7.0199999999999999E-2</v>
          </cell>
        </row>
        <row r="213">
          <cell r="F213">
            <v>7.0900000000000005E-2</v>
          </cell>
        </row>
        <row r="214">
          <cell r="F214">
            <v>7.0199999999999999E-2</v>
          </cell>
        </row>
        <row r="215">
          <cell r="F215">
            <v>7.0900000000000005E-2</v>
          </cell>
        </row>
        <row r="216">
          <cell r="F216">
            <v>7.0900000000000005E-2</v>
          </cell>
        </row>
        <row r="217">
          <cell r="F217">
            <v>7.0900000000000005E-2</v>
          </cell>
        </row>
        <row r="218">
          <cell r="F218">
            <v>9.0399999999999994E-2</v>
          </cell>
        </row>
        <row r="219">
          <cell r="F219">
            <v>0.1132</v>
          </cell>
        </row>
        <row r="220">
          <cell r="F220">
            <v>8.9399999999999993E-2</v>
          </cell>
        </row>
        <row r="221">
          <cell r="F221">
            <v>9.4899999999999998E-2</v>
          </cell>
        </row>
        <row r="222">
          <cell r="F222">
            <v>9.4899999999999998E-2</v>
          </cell>
        </row>
        <row r="223">
          <cell r="F223">
            <v>9.5500000000000002E-2</v>
          </cell>
        </row>
        <row r="224">
          <cell r="F224">
            <v>9.4500000000000001E-2</v>
          </cell>
        </row>
        <row r="225">
          <cell r="F225">
            <v>9.3100000000000002E-2</v>
          </cell>
        </row>
        <row r="226">
          <cell r="F226">
            <v>9.6000000000000002E-2</v>
          </cell>
        </row>
        <row r="227">
          <cell r="F227">
            <v>9.6000000000000002E-2</v>
          </cell>
        </row>
        <row r="228">
          <cell r="F228">
            <v>8.8900000000000007E-2</v>
          </cell>
        </row>
        <row r="229">
          <cell r="F229">
            <v>8.7499999999999994E-2</v>
          </cell>
        </row>
        <row r="230">
          <cell r="F230">
            <v>8.8200000000000001E-2</v>
          </cell>
        </row>
        <row r="231">
          <cell r="F231">
            <v>8.8200000000000001E-2</v>
          </cell>
        </row>
        <row r="232">
          <cell r="F232">
            <v>0.1016</v>
          </cell>
        </row>
        <row r="233">
          <cell r="F233">
            <v>8.0100000000000005E-2</v>
          </cell>
        </row>
        <row r="234">
          <cell r="F234">
            <v>6.3200000000000006E-2</v>
          </cell>
        </row>
        <row r="235">
          <cell r="F235">
            <v>5.4699999999999999E-2</v>
          </cell>
        </row>
        <row r="236">
          <cell r="F236">
            <v>5.4699999999999999E-2</v>
          </cell>
        </row>
        <row r="237">
          <cell r="F237">
            <v>5.33E-2</v>
          </cell>
        </row>
        <row r="238">
          <cell r="F238">
            <v>5.3400000000000003E-2</v>
          </cell>
        </row>
        <row r="239">
          <cell r="F239">
            <v>4.8399999999999999E-2</v>
          </cell>
        </row>
        <row r="240">
          <cell r="F240">
            <v>4.2099999999999999E-2</v>
          </cell>
        </row>
        <row r="241">
          <cell r="F241">
            <v>5.3999999999999999E-2</v>
          </cell>
        </row>
        <row r="242">
          <cell r="F242">
            <v>7.3700000000000002E-2</v>
          </cell>
        </row>
        <row r="243">
          <cell r="F243">
            <v>0.11749999999999999</v>
          </cell>
        </row>
        <row r="244">
          <cell r="F244">
            <v>9.2899999999999996E-2</v>
          </cell>
        </row>
        <row r="245">
          <cell r="F245">
            <v>9.2799999999999994E-2</v>
          </cell>
        </row>
        <row r="246">
          <cell r="F246">
            <v>9.35E-2</v>
          </cell>
        </row>
        <row r="247">
          <cell r="F247">
            <v>9.4799999999999995E-2</v>
          </cell>
        </row>
        <row r="248">
          <cell r="F248">
            <v>0.10539999999999999</v>
          </cell>
        </row>
        <row r="249">
          <cell r="F249">
            <v>9.8299999999999998E-2</v>
          </cell>
        </row>
        <row r="250">
          <cell r="F250">
            <v>9.0499999999999997E-2</v>
          </cell>
        </row>
        <row r="251">
          <cell r="F251">
            <v>8.2699999999999996E-2</v>
          </cell>
        </row>
        <row r="252">
          <cell r="F252">
            <v>0.08</v>
          </cell>
        </row>
        <row r="253">
          <cell r="F253">
            <v>0.08</v>
          </cell>
        </row>
        <row r="254">
          <cell r="F254">
            <v>0.08</v>
          </cell>
        </row>
        <row r="255">
          <cell r="F255">
            <v>7.7899999999999997E-2</v>
          </cell>
        </row>
        <row r="256">
          <cell r="F256">
            <v>7.7200000000000005E-2</v>
          </cell>
        </row>
        <row r="257">
          <cell r="F257">
            <v>7.5899999999999995E-2</v>
          </cell>
        </row>
        <row r="258">
          <cell r="F258">
            <v>6.4600000000000005E-2</v>
          </cell>
        </row>
        <row r="259">
          <cell r="F259">
            <v>6.3200000000000006E-2</v>
          </cell>
        </row>
        <row r="260">
          <cell r="F260">
            <v>6.3100000000000003E-2</v>
          </cell>
        </row>
        <row r="261">
          <cell r="F261">
            <v>6.3100000000000003E-2</v>
          </cell>
        </row>
        <row r="262">
          <cell r="F262">
            <v>6.1699999999999998E-2</v>
          </cell>
        </row>
        <row r="263">
          <cell r="F263">
            <v>6.3100000000000003E-2</v>
          </cell>
        </row>
        <row r="264">
          <cell r="F264">
            <v>6.0999999999999999E-2</v>
          </cell>
        </row>
        <row r="265">
          <cell r="F265">
            <v>6.3100000000000003E-2</v>
          </cell>
        </row>
        <row r="266">
          <cell r="F266">
            <v>7.7200000000000005E-2</v>
          </cell>
        </row>
        <row r="267">
          <cell r="F267">
            <v>0.1103</v>
          </cell>
        </row>
        <row r="268">
          <cell r="F268">
            <v>9.64E-2</v>
          </cell>
        </row>
        <row r="269">
          <cell r="F269">
            <v>9.2200000000000004E-2</v>
          </cell>
        </row>
        <row r="270">
          <cell r="F270">
            <v>9.35E-2</v>
          </cell>
        </row>
        <row r="271">
          <cell r="F271">
            <v>9.4100000000000003E-2</v>
          </cell>
        </row>
        <row r="272">
          <cell r="F272">
            <v>0.1012</v>
          </cell>
        </row>
        <row r="273">
          <cell r="F273">
            <v>9.8299999999999998E-2</v>
          </cell>
        </row>
        <row r="274">
          <cell r="F274">
            <v>8.43E-2</v>
          </cell>
        </row>
        <row r="275">
          <cell r="F275">
            <v>8.43E-2</v>
          </cell>
        </row>
        <row r="276">
          <cell r="F276">
            <v>8.2100000000000006E-2</v>
          </cell>
        </row>
        <row r="277">
          <cell r="F277">
            <v>8.14E-2</v>
          </cell>
        </row>
        <row r="278">
          <cell r="F278">
            <v>8.3500000000000005E-2</v>
          </cell>
        </row>
        <row r="279">
          <cell r="F279">
            <v>8.2100000000000006E-2</v>
          </cell>
        </row>
        <row r="280">
          <cell r="F280">
            <v>9.1300000000000006E-2</v>
          </cell>
        </row>
        <row r="281">
          <cell r="F281">
            <v>7.9299999999999995E-2</v>
          </cell>
        </row>
        <row r="282">
          <cell r="F282">
            <v>6.4600000000000005E-2</v>
          </cell>
        </row>
        <row r="283">
          <cell r="F283">
            <v>6.2399999999999997E-2</v>
          </cell>
        </row>
        <row r="284">
          <cell r="F284">
            <v>6.1699999999999998E-2</v>
          </cell>
        </row>
        <row r="285">
          <cell r="F285">
            <v>6.1699999999999998E-2</v>
          </cell>
        </row>
        <row r="286">
          <cell r="F286">
            <v>6.1699999999999998E-2</v>
          </cell>
        </row>
        <row r="287">
          <cell r="F287">
            <v>6.2399999999999997E-2</v>
          </cell>
        </row>
        <row r="288">
          <cell r="F288">
            <v>6.2399999999999997E-2</v>
          </cell>
        </row>
        <row r="289">
          <cell r="F289">
            <v>5.8900000000000001E-2</v>
          </cell>
        </row>
        <row r="290">
          <cell r="F290">
            <v>7.7899999999999997E-2</v>
          </cell>
        </row>
        <row r="291">
          <cell r="F291">
            <v>0.1118</v>
          </cell>
        </row>
        <row r="292">
          <cell r="F292">
            <v>9.4899999999999998E-2</v>
          </cell>
        </row>
        <row r="293">
          <cell r="F293">
            <v>8.43E-2</v>
          </cell>
        </row>
        <row r="294">
          <cell r="F294">
            <v>8.43E-2</v>
          </cell>
        </row>
        <row r="295">
          <cell r="F295">
            <v>8.43E-2</v>
          </cell>
        </row>
        <row r="296">
          <cell r="F296">
            <v>9.1300000000000006E-2</v>
          </cell>
        </row>
        <row r="297">
          <cell r="F297">
            <v>9.1300000000000006E-2</v>
          </cell>
        </row>
        <row r="298">
          <cell r="F298">
            <v>8.7099999999999997E-2</v>
          </cell>
        </row>
        <row r="299">
          <cell r="F299">
            <v>8.7099999999999997E-2</v>
          </cell>
        </row>
        <row r="300">
          <cell r="F300">
            <v>9.8299999999999998E-2</v>
          </cell>
        </row>
        <row r="301">
          <cell r="F301">
            <v>9.8299999999999998E-2</v>
          </cell>
        </row>
        <row r="302">
          <cell r="F302">
            <v>9.1300000000000006E-2</v>
          </cell>
        </row>
        <row r="303">
          <cell r="F303">
            <v>9.1300000000000006E-2</v>
          </cell>
        </row>
        <row r="304">
          <cell r="F304">
            <v>9.8299999999999998E-2</v>
          </cell>
        </row>
        <row r="305">
          <cell r="F305">
            <v>8.3500000000000005E-2</v>
          </cell>
        </row>
        <row r="306">
          <cell r="F306">
            <v>6.3100000000000003E-2</v>
          </cell>
        </row>
        <row r="307">
          <cell r="F307">
            <v>6.2399999999999997E-2</v>
          </cell>
        </row>
        <row r="308">
          <cell r="F308">
            <v>6.2399999999999997E-2</v>
          </cell>
        </row>
        <row r="309">
          <cell r="F309">
            <v>6.2399999999999997E-2</v>
          </cell>
        </row>
        <row r="310">
          <cell r="F310">
            <v>6.2399999999999997E-2</v>
          </cell>
        </row>
        <row r="311">
          <cell r="F311">
            <v>6.0299999999999999E-2</v>
          </cell>
        </row>
        <row r="312">
          <cell r="F312">
            <v>5.8200000000000002E-2</v>
          </cell>
        </row>
        <row r="313">
          <cell r="F313">
            <v>5.7500000000000002E-2</v>
          </cell>
        </row>
        <row r="314">
          <cell r="F314">
            <v>8.9899999999999994E-2</v>
          </cell>
        </row>
        <row r="315">
          <cell r="F315">
            <v>9.8400000000000001E-2</v>
          </cell>
        </row>
        <row r="316">
          <cell r="F316">
            <v>9.8400000000000001E-2</v>
          </cell>
        </row>
        <row r="317">
          <cell r="F317">
            <v>9.8400000000000001E-2</v>
          </cell>
        </row>
        <row r="318">
          <cell r="F318">
            <v>9.8400000000000001E-2</v>
          </cell>
        </row>
        <row r="319">
          <cell r="F319">
            <v>9.8299999999999998E-2</v>
          </cell>
        </row>
        <row r="320">
          <cell r="F320">
            <v>0.1011</v>
          </cell>
        </row>
        <row r="321">
          <cell r="F321">
            <v>0.10539999999999999</v>
          </cell>
        </row>
        <row r="322">
          <cell r="F322">
            <v>0.10539999999999999</v>
          </cell>
        </row>
        <row r="323">
          <cell r="F323">
            <v>0.1061</v>
          </cell>
        </row>
        <row r="324">
          <cell r="F324">
            <v>0.1082</v>
          </cell>
        </row>
        <row r="325">
          <cell r="F325">
            <v>0.10680000000000001</v>
          </cell>
        </row>
        <row r="326">
          <cell r="F326">
            <v>0.1026</v>
          </cell>
        </row>
        <row r="327">
          <cell r="F327">
            <v>0.1019</v>
          </cell>
        </row>
        <row r="328">
          <cell r="F328">
            <v>0.1019</v>
          </cell>
        </row>
        <row r="329">
          <cell r="F329">
            <v>8.7800000000000003E-2</v>
          </cell>
        </row>
        <row r="330">
          <cell r="F330">
            <v>7.0199999999999999E-2</v>
          </cell>
        </row>
        <row r="331">
          <cell r="F331">
            <v>6.7400000000000002E-2</v>
          </cell>
        </row>
        <row r="332">
          <cell r="F332">
            <v>6.7400000000000002E-2</v>
          </cell>
        </row>
        <row r="333">
          <cell r="F333">
            <v>6.7400000000000002E-2</v>
          </cell>
        </row>
        <row r="334">
          <cell r="F334">
            <v>6.5199999999999994E-2</v>
          </cell>
        </row>
        <row r="335">
          <cell r="F335">
            <v>6.7400000000000002E-2</v>
          </cell>
        </row>
        <row r="336">
          <cell r="F336">
            <v>6.6000000000000003E-2</v>
          </cell>
        </row>
        <row r="337">
          <cell r="F337">
            <v>6.4500000000000002E-2</v>
          </cell>
        </row>
        <row r="338">
          <cell r="F338">
            <v>9.4100000000000003E-2</v>
          </cell>
        </row>
        <row r="339">
          <cell r="F339">
            <v>0.1103</v>
          </cell>
        </row>
        <row r="340">
          <cell r="F340">
            <v>9.9900000000000003E-2</v>
          </cell>
        </row>
        <row r="341">
          <cell r="F341">
            <v>9.4899999999999998E-2</v>
          </cell>
        </row>
        <row r="342">
          <cell r="F342">
            <v>9.1300000000000006E-2</v>
          </cell>
        </row>
        <row r="343">
          <cell r="F343">
            <v>9.2700000000000005E-2</v>
          </cell>
        </row>
        <row r="344">
          <cell r="F344">
            <v>0.1047</v>
          </cell>
        </row>
        <row r="345">
          <cell r="F345">
            <v>0.10539999999999999</v>
          </cell>
        </row>
        <row r="346">
          <cell r="F346">
            <v>0.10539999999999999</v>
          </cell>
        </row>
        <row r="347">
          <cell r="F347">
            <v>0.10539999999999999</v>
          </cell>
        </row>
        <row r="348">
          <cell r="F348">
            <v>0.10539999999999999</v>
          </cell>
        </row>
        <row r="349">
          <cell r="F349">
            <v>0.1019</v>
          </cell>
        </row>
        <row r="350">
          <cell r="F350">
            <v>0.10539999999999999</v>
          </cell>
        </row>
        <row r="351">
          <cell r="F351">
            <v>0.10539999999999999</v>
          </cell>
        </row>
        <row r="352">
          <cell r="F352">
            <v>0.10539999999999999</v>
          </cell>
        </row>
        <row r="353">
          <cell r="F353">
            <v>9.9699999999999997E-2</v>
          </cell>
        </row>
        <row r="354">
          <cell r="F354">
            <v>8.14E-2</v>
          </cell>
        </row>
        <row r="355">
          <cell r="F355">
            <v>7.5800000000000006E-2</v>
          </cell>
        </row>
        <row r="356">
          <cell r="F356">
            <v>7.3700000000000002E-2</v>
          </cell>
        </row>
        <row r="357">
          <cell r="F357">
            <v>7.4399999999999994E-2</v>
          </cell>
        </row>
        <row r="358">
          <cell r="F358">
            <v>7.4399999999999994E-2</v>
          </cell>
        </row>
        <row r="359">
          <cell r="F359">
            <v>7.4399999999999994E-2</v>
          </cell>
        </row>
        <row r="360">
          <cell r="F360">
            <v>7.2999999999999995E-2</v>
          </cell>
        </row>
        <row r="361">
          <cell r="F361">
            <v>7.2999999999999995E-2</v>
          </cell>
        </row>
        <row r="362">
          <cell r="F362">
            <v>9.3399999999999997E-2</v>
          </cell>
        </row>
        <row r="363">
          <cell r="F363">
            <v>0.1152</v>
          </cell>
        </row>
        <row r="364">
          <cell r="F364">
            <v>0.1007</v>
          </cell>
        </row>
        <row r="365">
          <cell r="F365">
            <v>9.2100000000000001E-2</v>
          </cell>
        </row>
        <row r="366">
          <cell r="F366">
            <v>9.5600000000000004E-2</v>
          </cell>
        </row>
        <row r="367">
          <cell r="F367">
            <v>0.1181</v>
          </cell>
        </row>
        <row r="368">
          <cell r="F368">
            <v>0.1016</v>
          </cell>
        </row>
        <row r="369">
          <cell r="F369">
            <v>0.10539999999999999</v>
          </cell>
        </row>
        <row r="370">
          <cell r="F370">
            <v>0.1026</v>
          </cell>
        </row>
        <row r="371">
          <cell r="F371">
            <v>0.1026</v>
          </cell>
        </row>
        <row r="372">
          <cell r="F372">
            <v>9.5500000000000002E-2</v>
          </cell>
        </row>
        <row r="373">
          <cell r="F373">
            <v>9.5500000000000002E-2</v>
          </cell>
        </row>
        <row r="374">
          <cell r="F374">
            <v>9.69E-2</v>
          </cell>
        </row>
        <row r="375">
          <cell r="F375">
            <v>0.1019</v>
          </cell>
        </row>
        <row r="376">
          <cell r="F376">
            <v>9.9000000000000005E-2</v>
          </cell>
        </row>
        <row r="377">
          <cell r="F377">
            <v>9.7699999999999995E-2</v>
          </cell>
        </row>
        <row r="378">
          <cell r="F378">
            <v>8.5699999999999998E-2</v>
          </cell>
        </row>
        <row r="379">
          <cell r="F379">
            <v>7.1599999999999997E-2</v>
          </cell>
        </row>
        <row r="380">
          <cell r="F380">
            <v>7.1599999999999997E-2</v>
          </cell>
        </row>
        <row r="381">
          <cell r="F381">
            <v>7.1599999999999997E-2</v>
          </cell>
        </row>
        <row r="382">
          <cell r="F382">
            <v>7.0900000000000005E-2</v>
          </cell>
        </row>
        <row r="383">
          <cell r="F383">
            <v>7.0900000000000005E-2</v>
          </cell>
        </row>
        <row r="384">
          <cell r="F384">
            <v>7.0199999999999999E-2</v>
          </cell>
        </row>
        <row r="385">
          <cell r="F385">
            <v>6.8099999999999994E-2</v>
          </cell>
        </row>
        <row r="386">
          <cell r="F386">
            <v>8.8499999999999995E-2</v>
          </cell>
        </row>
        <row r="387">
          <cell r="F387">
            <v>0.1118</v>
          </cell>
        </row>
        <row r="388">
          <cell r="F388">
            <v>0.1147</v>
          </cell>
        </row>
        <row r="389">
          <cell r="F389">
            <v>0.1133</v>
          </cell>
        </row>
        <row r="390">
          <cell r="F390">
            <v>0.1118</v>
          </cell>
        </row>
        <row r="391">
          <cell r="F391">
            <v>9.1300000000000006E-2</v>
          </cell>
        </row>
        <row r="392">
          <cell r="F392">
            <v>9.8299999999999998E-2</v>
          </cell>
        </row>
        <row r="393">
          <cell r="F393">
            <v>9.8299999999999998E-2</v>
          </cell>
        </row>
        <row r="394">
          <cell r="F394">
            <v>9.69E-2</v>
          </cell>
        </row>
        <row r="395">
          <cell r="F395">
            <v>0.1026</v>
          </cell>
        </row>
        <row r="396">
          <cell r="F396">
            <v>9.8299999999999998E-2</v>
          </cell>
        </row>
        <row r="397">
          <cell r="F397">
            <v>8.7800000000000003E-2</v>
          </cell>
        </row>
        <row r="398">
          <cell r="F398">
            <v>8.9200000000000002E-2</v>
          </cell>
        </row>
        <row r="399">
          <cell r="F399">
            <v>0.1019</v>
          </cell>
        </row>
        <row r="400">
          <cell r="F400">
            <v>0.1202</v>
          </cell>
        </row>
        <row r="401">
          <cell r="F401">
            <v>8.7099999999999997E-2</v>
          </cell>
        </row>
        <row r="402">
          <cell r="F402">
            <v>7.1599999999999997E-2</v>
          </cell>
        </row>
        <row r="403">
          <cell r="F403">
            <v>6.6000000000000003E-2</v>
          </cell>
        </row>
        <row r="404">
          <cell r="F404">
            <v>6.2399999999999997E-2</v>
          </cell>
        </row>
        <row r="405">
          <cell r="F405">
            <v>6.3899999999999998E-2</v>
          </cell>
        </row>
        <row r="406">
          <cell r="F406">
            <v>6.1699999999999998E-2</v>
          </cell>
        </row>
        <row r="407">
          <cell r="F407">
            <v>5.7599999999999998E-2</v>
          </cell>
        </row>
        <row r="408">
          <cell r="F408">
            <v>5.6800000000000003E-2</v>
          </cell>
        </row>
        <row r="409">
          <cell r="F409">
            <v>6.88E-2</v>
          </cell>
        </row>
        <row r="410">
          <cell r="F410">
            <v>8.1500000000000003E-2</v>
          </cell>
        </row>
        <row r="411">
          <cell r="F411">
            <v>0.1111</v>
          </cell>
        </row>
        <row r="412">
          <cell r="F412">
            <v>9.4200000000000006E-2</v>
          </cell>
        </row>
        <row r="413">
          <cell r="F413">
            <v>9.4200000000000006E-2</v>
          </cell>
        </row>
        <row r="414">
          <cell r="F414">
            <v>9.5600000000000004E-2</v>
          </cell>
        </row>
        <row r="415">
          <cell r="F415">
            <v>9.6199999999999994E-2</v>
          </cell>
        </row>
        <row r="416">
          <cell r="F416">
            <v>0.1061</v>
          </cell>
        </row>
        <row r="417">
          <cell r="F417">
            <v>9.64E-2</v>
          </cell>
        </row>
        <row r="418">
          <cell r="F418">
            <v>0.1011</v>
          </cell>
        </row>
        <row r="419">
          <cell r="F419">
            <v>9.4100000000000003E-2</v>
          </cell>
        </row>
        <row r="420">
          <cell r="F420">
            <v>9.4799999999999995E-2</v>
          </cell>
        </row>
        <row r="421">
          <cell r="F421">
            <v>9.4799999999999995E-2</v>
          </cell>
        </row>
        <row r="422">
          <cell r="F422">
            <v>9.4100000000000003E-2</v>
          </cell>
        </row>
        <row r="423">
          <cell r="F423">
            <v>9.8299999999999998E-2</v>
          </cell>
        </row>
        <row r="424">
          <cell r="F424">
            <v>9.69E-2</v>
          </cell>
        </row>
        <row r="425">
          <cell r="F425">
            <v>9.7600000000000006E-2</v>
          </cell>
        </row>
        <row r="426">
          <cell r="F426">
            <v>8.2799999999999999E-2</v>
          </cell>
        </row>
        <row r="427">
          <cell r="F427">
            <v>6.5199999999999994E-2</v>
          </cell>
        </row>
        <row r="428">
          <cell r="F428">
            <v>7.2300000000000003E-2</v>
          </cell>
        </row>
        <row r="429">
          <cell r="F429">
            <v>7.8600000000000003E-2</v>
          </cell>
        </row>
        <row r="430">
          <cell r="F430">
            <v>6.4600000000000005E-2</v>
          </cell>
        </row>
        <row r="431">
          <cell r="F431">
            <v>6.4500000000000002E-2</v>
          </cell>
        </row>
        <row r="432">
          <cell r="F432">
            <v>6.3899999999999998E-2</v>
          </cell>
        </row>
        <row r="433">
          <cell r="F433">
            <v>6.7400000000000002E-2</v>
          </cell>
        </row>
        <row r="434">
          <cell r="F434">
            <v>8.9300000000000004E-2</v>
          </cell>
        </row>
        <row r="435">
          <cell r="F435">
            <v>0.11310000000000001</v>
          </cell>
        </row>
        <row r="436">
          <cell r="F436">
            <v>0.1181</v>
          </cell>
        </row>
        <row r="437">
          <cell r="F437">
            <v>0.1124</v>
          </cell>
        </row>
        <row r="438">
          <cell r="F438">
            <v>0.1159</v>
          </cell>
        </row>
        <row r="439">
          <cell r="F439">
            <v>0.1011</v>
          </cell>
        </row>
        <row r="440">
          <cell r="F440">
            <v>0.10539999999999999</v>
          </cell>
        </row>
        <row r="441">
          <cell r="F441">
            <v>0.1026</v>
          </cell>
        </row>
        <row r="442">
          <cell r="F442">
            <v>0.104</v>
          </cell>
        </row>
        <row r="443">
          <cell r="F443">
            <v>0.104</v>
          </cell>
        </row>
        <row r="444">
          <cell r="F444">
            <v>9.9699999999999997E-2</v>
          </cell>
        </row>
        <row r="445">
          <cell r="F445">
            <v>9.9699999999999997E-2</v>
          </cell>
        </row>
        <row r="446">
          <cell r="F446">
            <v>0.1047</v>
          </cell>
        </row>
        <row r="447">
          <cell r="F447">
            <v>0.1033</v>
          </cell>
        </row>
        <row r="448">
          <cell r="F448">
            <v>0.1047</v>
          </cell>
        </row>
        <row r="449">
          <cell r="F449">
            <v>0.1033</v>
          </cell>
        </row>
        <row r="450">
          <cell r="F450">
            <v>9.1300000000000006E-2</v>
          </cell>
        </row>
        <row r="451">
          <cell r="F451">
            <v>7.9399999999999998E-2</v>
          </cell>
        </row>
        <row r="452">
          <cell r="F452">
            <v>6.3899999999999998E-2</v>
          </cell>
        </row>
        <row r="453">
          <cell r="F453">
            <v>6.3100000000000003E-2</v>
          </cell>
        </row>
        <row r="454">
          <cell r="F454">
            <v>6.1800000000000001E-2</v>
          </cell>
        </row>
        <row r="455">
          <cell r="F455">
            <v>6.1699999999999998E-2</v>
          </cell>
        </row>
        <row r="456">
          <cell r="F456">
            <v>6.1800000000000001E-2</v>
          </cell>
        </row>
        <row r="457">
          <cell r="F457">
            <v>6.6699999999999995E-2</v>
          </cell>
        </row>
        <row r="458">
          <cell r="F458">
            <v>7.1599999999999997E-2</v>
          </cell>
        </row>
        <row r="459">
          <cell r="F459">
            <v>0.1055</v>
          </cell>
        </row>
        <row r="460">
          <cell r="F460">
            <v>0.1119</v>
          </cell>
        </row>
        <row r="461">
          <cell r="F461">
            <v>8.8599999999999998E-2</v>
          </cell>
        </row>
        <row r="462">
          <cell r="F462">
            <v>7.8E-2</v>
          </cell>
        </row>
        <row r="463">
          <cell r="F463">
            <v>7.5800000000000006E-2</v>
          </cell>
        </row>
        <row r="464">
          <cell r="F464">
            <v>7.51E-2</v>
          </cell>
        </row>
        <row r="465">
          <cell r="F465">
            <v>9.06E-2</v>
          </cell>
        </row>
        <row r="466">
          <cell r="F466">
            <v>8.7099999999999997E-2</v>
          </cell>
        </row>
        <row r="467">
          <cell r="F467">
            <v>8.7800000000000003E-2</v>
          </cell>
        </row>
        <row r="468">
          <cell r="F468">
            <v>8.6400000000000005E-2</v>
          </cell>
        </row>
        <row r="469">
          <cell r="F469">
            <v>8.43E-2</v>
          </cell>
        </row>
        <row r="470">
          <cell r="F470">
            <v>8.3500000000000005E-2</v>
          </cell>
        </row>
        <row r="471">
          <cell r="F471">
            <v>8.3500000000000005E-2</v>
          </cell>
        </row>
        <row r="472">
          <cell r="F472">
            <v>8.7800000000000003E-2</v>
          </cell>
        </row>
        <row r="473">
          <cell r="F473">
            <v>7.8600000000000003E-2</v>
          </cell>
        </row>
        <row r="474">
          <cell r="F474">
            <v>6.6000000000000003E-2</v>
          </cell>
        </row>
        <row r="475">
          <cell r="F475">
            <v>6.2399999999999997E-2</v>
          </cell>
        </row>
        <row r="476">
          <cell r="F476">
            <v>6.9500000000000006E-2</v>
          </cell>
        </row>
        <row r="477">
          <cell r="F477">
            <v>6.88E-2</v>
          </cell>
        </row>
        <row r="478">
          <cell r="F478">
            <v>6.6699999999999995E-2</v>
          </cell>
        </row>
        <row r="479">
          <cell r="F479">
            <v>6.3100000000000003E-2</v>
          </cell>
        </row>
        <row r="480">
          <cell r="F480">
            <v>6.2399999999999997E-2</v>
          </cell>
        </row>
        <row r="481">
          <cell r="F481">
            <v>6.9500000000000006E-2</v>
          </cell>
        </row>
        <row r="482">
          <cell r="F482">
            <v>8.5000000000000006E-2</v>
          </cell>
        </row>
        <row r="483">
          <cell r="F483">
            <v>0.10249999999999999</v>
          </cell>
        </row>
        <row r="484">
          <cell r="F484">
            <v>0.1124</v>
          </cell>
        </row>
        <row r="485">
          <cell r="F485">
            <v>0.1033</v>
          </cell>
        </row>
        <row r="486">
          <cell r="F486">
            <v>9.0499999999999997E-2</v>
          </cell>
        </row>
        <row r="487">
          <cell r="F487">
            <v>9.2600000000000002E-2</v>
          </cell>
        </row>
        <row r="488">
          <cell r="F488">
            <v>8.9800000000000005E-2</v>
          </cell>
        </row>
        <row r="489">
          <cell r="F489">
            <v>8.3500000000000005E-2</v>
          </cell>
        </row>
        <row r="490">
          <cell r="F490">
            <v>9.4100000000000003E-2</v>
          </cell>
        </row>
        <row r="491">
          <cell r="F491">
            <v>8.5000000000000006E-2</v>
          </cell>
        </row>
        <row r="492">
          <cell r="F492">
            <v>7.7200000000000005E-2</v>
          </cell>
        </row>
        <row r="493">
          <cell r="F493">
            <v>7.4399999999999994E-2</v>
          </cell>
        </row>
        <row r="494">
          <cell r="F494">
            <v>7.4399999999999994E-2</v>
          </cell>
        </row>
        <row r="495">
          <cell r="F495">
            <v>7.51E-2</v>
          </cell>
        </row>
        <row r="496">
          <cell r="F496">
            <v>8.2799999999999999E-2</v>
          </cell>
        </row>
        <row r="497">
          <cell r="F497">
            <v>7.2300000000000003E-2</v>
          </cell>
        </row>
        <row r="498">
          <cell r="F498">
            <v>6.3799999999999996E-2</v>
          </cell>
        </row>
        <row r="499">
          <cell r="F499">
            <v>6.7999999999999996E-3</v>
          </cell>
        </row>
        <row r="500">
          <cell r="F500">
            <v>8.3000000000000001E-3</v>
          </cell>
        </row>
        <row r="501">
          <cell r="F501">
            <v>8.2000000000000007E-3</v>
          </cell>
        </row>
        <row r="502">
          <cell r="F502">
            <v>1.15E-2</v>
          </cell>
        </row>
        <row r="503">
          <cell r="F503">
            <v>1.8499999999999999E-2</v>
          </cell>
        </row>
        <row r="504">
          <cell r="F504">
            <v>1E-4</v>
          </cell>
        </row>
        <row r="505">
          <cell r="F505">
            <v>4.1000000000000003E-3</v>
          </cell>
        </row>
        <row r="506">
          <cell r="F506">
            <v>7.1599999999999997E-2</v>
          </cell>
        </row>
        <row r="507">
          <cell r="F507">
            <v>0.08</v>
          </cell>
        </row>
        <row r="508">
          <cell r="F508">
            <v>8.0100000000000005E-2</v>
          </cell>
        </row>
        <row r="509">
          <cell r="F509">
            <v>8.0799999999999997E-2</v>
          </cell>
        </row>
        <row r="510">
          <cell r="F510">
            <v>0.08</v>
          </cell>
        </row>
        <row r="511">
          <cell r="F511">
            <v>7.7899999999999997E-2</v>
          </cell>
        </row>
        <row r="512">
          <cell r="F512">
            <v>7.51E-2</v>
          </cell>
        </row>
        <row r="513">
          <cell r="F513">
            <v>7.1599999999999997E-2</v>
          </cell>
        </row>
        <row r="514">
          <cell r="F514">
            <v>7.7200000000000005E-2</v>
          </cell>
        </row>
        <row r="515">
          <cell r="F515">
            <v>8.14E-2</v>
          </cell>
        </row>
        <row r="516">
          <cell r="F516">
            <v>8.2100000000000006E-2</v>
          </cell>
        </row>
        <row r="517">
          <cell r="F517">
            <v>7.9299999999999995E-2</v>
          </cell>
        </row>
        <row r="518">
          <cell r="F518">
            <v>8.2799999999999999E-2</v>
          </cell>
        </row>
        <row r="519">
          <cell r="F519">
            <v>8.6400000000000005E-2</v>
          </cell>
        </row>
        <row r="520">
          <cell r="F520">
            <v>8.3500000000000005E-2</v>
          </cell>
        </row>
        <row r="521">
          <cell r="F521">
            <v>7.7200000000000005E-2</v>
          </cell>
        </row>
        <row r="522">
          <cell r="F522">
            <v>7.2999999999999995E-2</v>
          </cell>
        </row>
        <row r="523">
          <cell r="F523">
            <v>7.0900000000000005E-2</v>
          </cell>
        </row>
        <row r="524">
          <cell r="F524">
            <v>6.88E-2</v>
          </cell>
        </row>
        <row r="525">
          <cell r="F525">
            <v>6.9500000000000006E-2</v>
          </cell>
        </row>
        <row r="526">
          <cell r="F526">
            <v>6.88E-2</v>
          </cell>
        </row>
        <row r="527">
          <cell r="F527">
            <v>6.6699999999999995E-2</v>
          </cell>
        </row>
        <row r="528">
          <cell r="F528">
            <v>3.5000000000000003E-2</v>
          </cell>
        </row>
        <row r="529">
          <cell r="F529">
            <v>6.3100000000000003E-2</v>
          </cell>
        </row>
        <row r="530">
          <cell r="F530">
            <v>7.2999999999999995E-2</v>
          </cell>
        </row>
        <row r="531">
          <cell r="F531">
            <v>0.1167</v>
          </cell>
        </row>
        <row r="532">
          <cell r="F532">
            <v>0.1105</v>
          </cell>
        </row>
        <row r="533">
          <cell r="F533">
            <v>9.4500000000000001E-2</v>
          </cell>
        </row>
        <row r="534">
          <cell r="F534">
            <v>9.5100000000000004E-2</v>
          </cell>
        </row>
        <row r="535">
          <cell r="F535">
            <v>9.5100000000000004E-2</v>
          </cell>
        </row>
        <row r="536">
          <cell r="F536">
            <v>9.6500000000000002E-2</v>
          </cell>
        </row>
        <row r="537">
          <cell r="F537">
            <v>9.4299999999999995E-2</v>
          </cell>
        </row>
        <row r="538">
          <cell r="F538">
            <v>8.7800000000000003E-2</v>
          </cell>
        </row>
        <row r="539">
          <cell r="F539">
            <v>8.7800000000000003E-2</v>
          </cell>
        </row>
        <row r="540">
          <cell r="F540">
            <v>8.9899999999999994E-2</v>
          </cell>
        </row>
        <row r="541">
          <cell r="F541">
            <v>8.8499999999999995E-2</v>
          </cell>
        </row>
        <row r="542">
          <cell r="F542">
            <v>8.7800000000000003E-2</v>
          </cell>
        </row>
        <row r="543">
          <cell r="F543">
            <v>8.7800000000000003E-2</v>
          </cell>
        </row>
        <row r="544">
          <cell r="F544">
            <v>8.6400000000000005E-2</v>
          </cell>
        </row>
        <row r="545">
          <cell r="F545">
            <v>0.10050000000000001</v>
          </cell>
        </row>
        <row r="546">
          <cell r="F546">
            <v>8.43E-2</v>
          </cell>
        </row>
        <row r="547">
          <cell r="F547">
            <v>7.9299999999999995E-2</v>
          </cell>
        </row>
        <row r="548">
          <cell r="F548">
            <v>0.08</v>
          </cell>
        </row>
        <row r="549">
          <cell r="F549">
            <v>7.8600000000000003E-2</v>
          </cell>
        </row>
        <row r="550">
          <cell r="F550">
            <v>7.1599999999999997E-2</v>
          </cell>
        </row>
        <row r="551">
          <cell r="F551">
            <v>7.1599999999999997E-2</v>
          </cell>
        </row>
        <row r="552">
          <cell r="F552">
            <v>7.1599999999999997E-2</v>
          </cell>
        </row>
        <row r="553">
          <cell r="F553">
            <v>7.1599999999999997E-2</v>
          </cell>
        </row>
        <row r="554">
          <cell r="F554">
            <v>8.14E-2</v>
          </cell>
        </row>
        <row r="555">
          <cell r="F555">
            <v>0.1208</v>
          </cell>
        </row>
        <row r="556">
          <cell r="F556">
            <v>0.1237</v>
          </cell>
        </row>
        <row r="557">
          <cell r="F557">
            <v>9.8400000000000001E-2</v>
          </cell>
        </row>
        <row r="558">
          <cell r="F558">
            <v>9.8400000000000001E-2</v>
          </cell>
        </row>
        <row r="559">
          <cell r="F559">
            <v>0.1202</v>
          </cell>
        </row>
        <row r="560">
          <cell r="F560">
            <v>0.1103</v>
          </cell>
        </row>
        <row r="561">
          <cell r="F561">
            <v>9.6199999999999994E-2</v>
          </cell>
        </row>
        <row r="562">
          <cell r="F562">
            <v>9.7600000000000006E-2</v>
          </cell>
        </row>
        <row r="563">
          <cell r="F563">
            <v>8.43E-2</v>
          </cell>
        </row>
        <row r="564">
          <cell r="F564">
            <v>8.3599999999999994E-2</v>
          </cell>
        </row>
        <row r="565">
          <cell r="F565">
            <v>8.0699999999999994E-2</v>
          </cell>
        </row>
        <row r="566">
          <cell r="F566">
            <v>8.5000000000000006E-2</v>
          </cell>
        </row>
        <row r="567">
          <cell r="F567">
            <v>9.69E-2</v>
          </cell>
        </row>
        <row r="568">
          <cell r="F568">
            <v>9.69E-2</v>
          </cell>
        </row>
        <row r="569">
          <cell r="F569">
            <v>0.104</v>
          </cell>
        </row>
        <row r="570">
          <cell r="F570">
            <v>8.6400000000000005E-2</v>
          </cell>
        </row>
        <row r="571">
          <cell r="F571">
            <v>6.4600000000000005E-2</v>
          </cell>
        </row>
        <row r="572">
          <cell r="F572">
            <v>6.3100000000000003E-2</v>
          </cell>
        </row>
        <row r="573">
          <cell r="F573">
            <v>6.3100000000000003E-2</v>
          </cell>
        </row>
        <row r="574">
          <cell r="F574">
            <v>6.3799999999999996E-2</v>
          </cell>
        </row>
        <row r="575">
          <cell r="F575">
            <v>6.3799999999999996E-2</v>
          </cell>
        </row>
        <row r="576">
          <cell r="F576">
            <v>6.3799999999999996E-2</v>
          </cell>
        </row>
        <row r="577">
          <cell r="F577">
            <v>6.4500000000000002E-2</v>
          </cell>
        </row>
        <row r="578">
          <cell r="F578">
            <v>7.2300000000000003E-2</v>
          </cell>
        </row>
        <row r="579">
          <cell r="F579">
            <v>7.7299999999999994E-2</v>
          </cell>
        </row>
        <row r="580">
          <cell r="F580">
            <v>7.8700000000000006E-2</v>
          </cell>
        </row>
        <row r="581">
          <cell r="F581">
            <v>7.5200000000000003E-2</v>
          </cell>
        </row>
        <row r="582">
          <cell r="F582">
            <v>7.4499999999999997E-2</v>
          </cell>
        </row>
        <row r="583">
          <cell r="F583">
            <v>9.3399999999999997E-2</v>
          </cell>
        </row>
        <row r="584">
          <cell r="F584">
            <v>9.4100000000000003E-2</v>
          </cell>
        </row>
        <row r="585">
          <cell r="F585">
            <v>8.9200000000000002E-2</v>
          </cell>
        </row>
        <row r="586">
          <cell r="F586">
            <v>8.7099999999999997E-2</v>
          </cell>
        </row>
        <row r="587">
          <cell r="F587">
            <v>7.9299999999999995E-2</v>
          </cell>
        </row>
        <row r="588">
          <cell r="F588">
            <v>7.6499999999999999E-2</v>
          </cell>
        </row>
        <row r="589">
          <cell r="F589">
            <v>7.7200000000000005E-2</v>
          </cell>
        </row>
        <row r="590">
          <cell r="F590">
            <v>7.6499999999999999E-2</v>
          </cell>
        </row>
        <row r="591">
          <cell r="F591">
            <v>7.0199999999999999E-2</v>
          </cell>
        </row>
        <row r="592">
          <cell r="F592">
            <v>7.0199999999999999E-2</v>
          </cell>
        </row>
        <row r="593">
          <cell r="F593">
            <v>6.88E-2</v>
          </cell>
        </row>
        <row r="594">
          <cell r="F594">
            <v>6.5299999999999997E-2</v>
          </cell>
        </row>
        <row r="595">
          <cell r="F595">
            <v>6.2399999999999997E-2</v>
          </cell>
        </row>
        <row r="596">
          <cell r="F596">
            <v>6.2399999999999997E-2</v>
          </cell>
        </row>
        <row r="597">
          <cell r="F597">
            <v>6.3100000000000003E-2</v>
          </cell>
        </row>
        <row r="598">
          <cell r="F598">
            <v>6.2399999999999997E-2</v>
          </cell>
        </row>
        <row r="599">
          <cell r="F599">
            <v>6.1699999999999998E-2</v>
          </cell>
        </row>
        <row r="600">
          <cell r="F600">
            <v>6.0299999999999999E-2</v>
          </cell>
        </row>
        <row r="601">
          <cell r="F601">
            <v>5.7500000000000002E-2</v>
          </cell>
        </row>
        <row r="602">
          <cell r="F602">
            <v>7.1599999999999997E-2</v>
          </cell>
        </row>
        <row r="603">
          <cell r="F603">
            <v>0.12429999999999999</v>
          </cell>
        </row>
        <row r="604">
          <cell r="F604">
            <v>0.12429999999999999</v>
          </cell>
        </row>
        <row r="605">
          <cell r="F605">
            <v>9.8400000000000001E-2</v>
          </cell>
        </row>
        <row r="606">
          <cell r="F606">
            <v>0.1012</v>
          </cell>
        </row>
        <row r="607">
          <cell r="F607">
            <v>9.2600000000000002E-2</v>
          </cell>
        </row>
        <row r="608">
          <cell r="F608">
            <v>9.2600000000000002E-2</v>
          </cell>
        </row>
        <row r="609">
          <cell r="F609">
            <v>9.8900000000000002E-2</v>
          </cell>
        </row>
        <row r="610">
          <cell r="F610">
            <v>9.8299999999999998E-2</v>
          </cell>
        </row>
        <row r="611">
          <cell r="F611">
            <v>9.8299999999999998E-2</v>
          </cell>
        </row>
        <row r="612">
          <cell r="F612">
            <v>0.1004</v>
          </cell>
        </row>
        <row r="613">
          <cell r="F613">
            <v>0.1004</v>
          </cell>
        </row>
        <row r="614">
          <cell r="F614">
            <v>9.8299999999999998E-2</v>
          </cell>
        </row>
        <row r="615">
          <cell r="F615">
            <v>0.1082</v>
          </cell>
        </row>
        <row r="616">
          <cell r="F616">
            <v>9.6500000000000002E-2</v>
          </cell>
        </row>
        <row r="617">
          <cell r="F617">
            <v>8.7800000000000003E-2</v>
          </cell>
        </row>
        <row r="618">
          <cell r="F618">
            <v>7.6499999999999999E-2</v>
          </cell>
        </row>
        <row r="619">
          <cell r="F619">
            <v>7.0900000000000005E-2</v>
          </cell>
        </row>
        <row r="620">
          <cell r="F620">
            <v>7.2300000000000003E-2</v>
          </cell>
        </row>
        <row r="621">
          <cell r="F621">
            <v>7.1599999999999997E-2</v>
          </cell>
        </row>
        <row r="622">
          <cell r="F622">
            <v>7.2300000000000003E-2</v>
          </cell>
        </row>
        <row r="623">
          <cell r="F623">
            <v>7.2300000000000003E-2</v>
          </cell>
        </row>
        <row r="624">
          <cell r="F624">
            <v>7.0199999999999999E-2</v>
          </cell>
        </row>
        <row r="625">
          <cell r="F625">
            <v>7.1599999999999997E-2</v>
          </cell>
        </row>
        <row r="626">
          <cell r="F626">
            <v>8.2100000000000006E-2</v>
          </cell>
        </row>
        <row r="627">
          <cell r="F627">
            <v>0.1242</v>
          </cell>
        </row>
        <row r="628">
          <cell r="F628">
            <v>0.1231</v>
          </cell>
        </row>
        <row r="629">
          <cell r="F629">
            <v>0.1237</v>
          </cell>
        </row>
        <row r="630">
          <cell r="F630">
            <v>9.4200000000000006E-2</v>
          </cell>
        </row>
        <row r="631">
          <cell r="F631">
            <v>8.8499999999999995E-2</v>
          </cell>
        </row>
        <row r="632">
          <cell r="F632">
            <v>8.9899999999999994E-2</v>
          </cell>
        </row>
        <row r="633">
          <cell r="F633">
            <v>8.3500000000000005E-2</v>
          </cell>
        </row>
        <row r="634">
          <cell r="F634">
            <v>8.9899999999999994E-2</v>
          </cell>
        </row>
        <row r="635">
          <cell r="F635">
            <v>8.6400000000000005E-2</v>
          </cell>
        </row>
        <row r="636">
          <cell r="F636">
            <v>9.3399999999999997E-2</v>
          </cell>
        </row>
        <row r="637">
          <cell r="F637">
            <v>9.1999999999999998E-2</v>
          </cell>
        </row>
        <row r="638">
          <cell r="F638">
            <v>9.1999999999999998E-2</v>
          </cell>
        </row>
        <row r="639">
          <cell r="F639">
            <v>9.2700000000000005E-2</v>
          </cell>
        </row>
        <row r="640">
          <cell r="F640">
            <v>9.1300000000000006E-2</v>
          </cell>
        </row>
        <row r="641">
          <cell r="F641">
            <v>8.2799999999999999E-2</v>
          </cell>
        </row>
        <row r="642">
          <cell r="F642">
            <v>6.4600000000000005E-2</v>
          </cell>
        </row>
        <row r="643">
          <cell r="F643">
            <v>6.1800000000000001E-2</v>
          </cell>
        </row>
        <row r="644">
          <cell r="F644">
            <v>5.8299999999999998E-2</v>
          </cell>
        </row>
        <row r="645">
          <cell r="F645">
            <v>5.3999999999999999E-2</v>
          </cell>
        </row>
        <row r="646">
          <cell r="F646">
            <v>5.5399999999999998E-2</v>
          </cell>
        </row>
        <row r="647">
          <cell r="F647">
            <v>4.7E-2</v>
          </cell>
        </row>
        <row r="648">
          <cell r="F648">
            <v>5.6099999999999997E-2</v>
          </cell>
        </row>
        <row r="649">
          <cell r="F649">
            <v>6.3899999999999998E-2</v>
          </cell>
        </row>
        <row r="650">
          <cell r="F650">
            <v>7.0900000000000005E-2</v>
          </cell>
        </row>
        <row r="651">
          <cell r="F651">
            <v>0.1007</v>
          </cell>
        </row>
        <row r="652">
          <cell r="F652">
            <v>9.1700000000000004E-2</v>
          </cell>
        </row>
        <row r="653">
          <cell r="F653">
            <v>8.4599999999999995E-2</v>
          </cell>
        </row>
        <row r="654">
          <cell r="F654">
            <v>8.6599999999999996E-2</v>
          </cell>
        </row>
        <row r="655">
          <cell r="F655">
            <v>8.7900000000000006E-2</v>
          </cell>
        </row>
        <row r="656">
          <cell r="F656">
            <v>8.9899999999999994E-2</v>
          </cell>
        </row>
        <row r="657">
          <cell r="F657">
            <v>9.06E-2</v>
          </cell>
        </row>
        <row r="658">
          <cell r="F658">
            <v>9.1999999999999998E-2</v>
          </cell>
        </row>
        <row r="659">
          <cell r="F659">
            <v>9.2700000000000005E-2</v>
          </cell>
        </row>
        <row r="660">
          <cell r="F660">
            <v>9.2700000000000005E-2</v>
          </cell>
        </row>
        <row r="661">
          <cell r="F661">
            <v>9.2700000000000005E-2</v>
          </cell>
        </row>
        <row r="662">
          <cell r="F662">
            <v>0.1019</v>
          </cell>
        </row>
        <row r="663">
          <cell r="F663">
            <v>0.1026</v>
          </cell>
        </row>
        <row r="664">
          <cell r="F664">
            <v>0.10539999999999999</v>
          </cell>
        </row>
        <row r="665">
          <cell r="F665">
            <v>9.1300000000000006E-2</v>
          </cell>
        </row>
        <row r="666">
          <cell r="F666">
            <v>7.0199999999999999E-2</v>
          </cell>
        </row>
        <row r="667">
          <cell r="F667">
            <v>6.3200000000000006E-2</v>
          </cell>
        </row>
        <row r="668">
          <cell r="F668">
            <v>5.8900000000000001E-2</v>
          </cell>
        </row>
        <row r="669">
          <cell r="F669">
            <v>5.8200000000000002E-2</v>
          </cell>
        </row>
        <row r="670">
          <cell r="F670">
            <v>6.1699999999999998E-2</v>
          </cell>
        </row>
        <row r="671">
          <cell r="F671">
            <v>5.7500000000000002E-2</v>
          </cell>
        </row>
        <row r="672">
          <cell r="F672">
            <v>5.8900000000000001E-2</v>
          </cell>
        </row>
        <row r="673">
          <cell r="F673">
            <v>5.6099999999999997E-2</v>
          </cell>
        </row>
        <row r="674">
          <cell r="F674">
            <v>7.7200000000000005E-2</v>
          </cell>
        </row>
        <row r="675">
          <cell r="F675">
            <v>0.11749999999999999</v>
          </cell>
        </row>
        <row r="676">
          <cell r="F676">
            <v>9.9900000000000003E-2</v>
          </cell>
        </row>
        <row r="677">
          <cell r="F677">
            <v>9.8400000000000001E-2</v>
          </cell>
        </row>
        <row r="678">
          <cell r="F678">
            <v>9.9099999999999994E-2</v>
          </cell>
        </row>
        <row r="679">
          <cell r="F679">
            <v>9.8299999999999998E-2</v>
          </cell>
        </row>
        <row r="680">
          <cell r="F680">
            <v>0.1019</v>
          </cell>
        </row>
        <row r="681">
          <cell r="F681">
            <v>0.10539999999999999</v>
          </cell>
        </row>
        <row r="682">
          <cell r="F682">
            <v>0.10680000000000001</v>
          </cell>
        </row>
        <row r="683">
          <cell r="F683">
            <v>0.1019</v>
          </cell>
        </row>
        <row r="684">
          <cell r="F684">
            <v>0.1026</v>
          </cell>
        </row>
        <row r="685">
          <cell r="F685">
            <v>9.9000000000000005E-2</v>
          </cell>
        </row>
        <row r="686">
          <cell r="F686">
            <v>9.69E-2</v>
          </cell>
        </row>
        <row r="687">
          <cell r="F687">
            <v>9.8299999999999998E-2</v>
          </cell>
        </row>
        <row r="688">
          <cell r="F688">
            <v>9.9000000000000005E-2</v>
          </cell>
        </row>
        <row r="689">
          <cell r="F689">
            <v>8.2199999999999995E-2</v>
          </cell>
        </row>
        <row r="690">
          <cell r="F690">
            <v>7.2300000000000003E-2</v>
          </cell>
        </row>
        <row r="691">
          <cell r="F691">
            <v>7.1599999999999997E-2</v>
          </cell>
        </row>
        <row r="692">
          <cell r="F692">
            <v>7.9299999999999995E-2</v>
          </cell>
        </row>
        <row r="693">
          <cell r="F693">
            <v>7.7899999999999997E-2</v>
          </cell>
        </row>
        <row r="694">
          <cell r="F694">
            <v>7.0199999999999999E-2</v>
          </cell>
        </row>
        <row r="695">
          <cell r="F695">
            <v>7.7200000000000005E-2</v>
          </cell>
        </row>
        <row r="696">
          <cell r="F696">
            <v>6.88E-2</v>
          </cell>
        </row>
        <row r="697">
          <cell r="F697">
            <v>6.3799999999999996E-2</v>
          </cell>
        </row>
        <row r="698">
          <cell r="F698">
            <v>7.4399999999999994E-2</v>
          </cell>
        </row>
        <row r="699">
          <cell r="F699">
            <v>0.1096</v>
          </cell>
        </row>
        <row r="700">
          <cell r="F700">
            <v>0.1196</v>
          </cell>
        </row>
        <row r="701">
          <cell r="F701">
            <v>8.5599999999999996E-2</v>
          </cell>
        </row>
        <row r="702">
          <cell r="F702">
            <v>9.1200000000000003E-2</v>
          </cell>
        </row>
        <row r="703">
          <cell r="F703">
            <v>8.9700000000000002E-2</v>
          </cell>
        </row>
        <row r="704">
          <cell r="F704">
            <v>8.8300000000000003E-2</v>
          </cell>
        </row>
        <row r="705">
          <cell r="F705">
            <v>8.2000000000000003E-2</v>
          </cell>
        </row>
        <row r="706">
          <cell r="F706">
            <v>8.6900000000000005E-2</v>
          </cell>
        </row>
        <row r="707">
          <cell r="F707">
            <v>8.6900000000000005E-2</v>
          </cell>
        </row>
        <row r="708">
          <cell r="F708">
            <v>8.4099999999999994E-2</v>
          </cell>
        </row>
        <row r="709">
          <cell r="F709">
            <v>8.7599999999999997E-2</v>
          </cell>
        </row>
        <row r="710">
          <cell r="F710">
            <v>8.8999999999999996E-2</v>
          </cell>
        </row>
        <row r="711">
          <cell r="F711">
            <v>9.2499999999999999E-2</v>
          </cell>
        </row>
        <row r="712">
          <cell r="F712">
            <v>8.8300000000000003E-2</v>
          </cell>
        </row>
        <row r="713">
          <cell r="F713">
            <v>9.9099999999999994E-2</v>
          </cell>
        </row>
        <row r="714">
          <cell r="F714">
            <v>7.3599999999999999E-2</v>
          </cell>
        </row>
        <row r="715">
          <cell r="F715">
            <v>6.6500000000000004E-2</v>
          </cell>
        </row>
        <row r="716">
          <cell r="F716">
            <v>6.6500000000000004E-2</v>
          </cell>
        </row>
        <row r="717">
          <cell r="F717">
            <v>6.08E-2</v>
          </cell>
        </row>
        <row r="718">
          <cell r="F718">
            <v>6.5799999999999997E-2</v>
          </cell>
        </row>
        <row r="719">
          <cell r="F719">
            <v>6.6500000000000004E-2</v>
          </cell>
        </row>
        <row r="720">
          <cell r="F720">
            <v>6.7199999999999996E-2</v>
          </cell>
        </row>
        <row r="721">
          <cell r="F721">
            <v>6.4399999999999999E-2</v>
          </cell>
        </row>
        <row r="722">
          <cell r="F722">
            <v>7.5600000000000001E-2</v>
          </cell>
        </row>
        <row r="723">
          <cell r="F723">
            <v>0.1024</v>
          </cell>
        </row>
        <row r="724">
          <cell r="F724">
            <v>8.2199999999999995E-2</v>
          </cell>
        </row>
        <row r="725">
          <cell r="F725">
            <v>8.6499999999999994E-2</v>
          </cell>
        </row>
        <row r="726">
          <cell r="F726">
            <v>8.72E-2</v>
          </cell>
        </row>
        <row r="727">
          <cell r="F727">
            <v>8.2900000000000001E-2</v>
          </cell>
        </row>
        <row r="728">
          <cell r="F728">
            <v>8.6400000000000005E-2</v>
          </cell>
        </row>
        <row r="729">
          <cell r="F729">
            <v>8.7800000000000003E-2</v>
          </cell>
        </row>
        <row r="730">
          <cell r="F730">
            <v>8.7800000000000003E-2</v>
          </cell>
        </row>
        <row r="731">
          <cell r="F731">
            <v>8.9899999999999994E-2</v>
          </cell>
        </row>
        <row r="732">
          <cell r="F732">
            <v>9.06E-2</v>
          </cell>
        </row>
        <row r="733">
          <cell r="F733">
            <v>8.8499999999999995E-2</v>
          </cell>
        </row>
        <row r="734">
          <cell r="F734">
            <v>8.5699999999999998E-2</v>
          </cell>
        </row>
        <row r="735">
          <cell r="F735">
            <v>8.5699999999999998E-2</v>
          </cell>
        </row>
        <row r="736">
          <cell r="F736">
            <v>8.6400000000000005E-2</v>
          </cell>
        </row>
        <row r="737">
          <cell r="F737">
            <v>8.3599999999999994E-2</v>
          </cell>
        </row>
        <row r="738">
          <cell r="F738">
            <v>6.88E-2</v>
          </cell>
        </row>
        <row r="739">
          <cell r="F739">
            <v>6.1699999999999998E-2</v>
          </cell>
        </row>
        <row r="740">
          <cell r="F740">
            <v>6.1699999999999998E-2</v>
          </cell>
        </row>
        <row r="741">
          <cell r="F741">
            <v>6.0999999999999999E-2</v>
          </cell>
        </row>
        <row r="742">
          <cell r="F742">
            <v>6.2399999999999997E-2</v>
          </cell>
        </row>
        <row r="743">
          <cell r="F743">
            <v>6.1699999999999998E-2</v>
          </cell>
        </row>
        <row r="744">
          <cell r="F744">
            <v>6.3100000000000003E-2</v>
          </cell>
        </row>
        <row r="745">
          <cell r="F745">
            <v>6.3100000000000003E-2</v>
          </cell>
        </row>
        <row r="746">
          <cell r="F746">
            <v>7.0199999999999999E-2</v>
          </cell>
        </row>
        <row r="747">
          <cell r="F747">
            <v>7.6499999999999999E-2</v>
          </cell>
        </row>
        <row r="748">
          <cell r="F748">
            <v>8.43E-2</v>
          </cell>
        </row>
        <row r="749">
          <cell r="F749">
            <v>7.8E-2</v>
          </cell>
        </row>
        <row r="750">
          <cell r="F750">
            <v>8.9300000000000004E-2</v>
          </cell>
        </row>
        <row r="751">
          <cell r="F751">
            <v>8.9899999999999994E-2</v>
          </cell>
        </row>
        <row r="752">
          <cell r="F752">
            <v>9.1999999999999998E-2</v>
          </cell>
        </row>
        <row r="753">
          <cell r="F753">
            <v>9.8299999999999998E-2</v>
          </cell>
        </row>
        <row r="754">
          <cell r="F754">
            <v>8.3099999999999993E-2</v>
          </cell>
        </row>
        <row r="755">
          <cell r="F755">
            <v>8.1699999999999995E-2</v>
          </cell>
        </row>
        <row r="756">
          <cell r="F756">
            <v>7.5300000000000006E-2</v>
          </cell>
        </row>
        <row r="757">
          <cell r="F757">
            <v>7.6100000000000001E-2</v>
          </cell>
        </row>
        <row r="758">
          <cell r="F758">
            <v>8.4500000000000006E-2</v>
          </cell>
        </row>
        <row r="759">
          <cell r="F759">
            <v>8.5199999999999998E-2</v>
          </cell>
        </row>
        <row r="760">
          <cell r="F760">
            <v>8.3799999999999999E-2</v>
          </cell>
        </row>
        <row r="761">
          <cell r="F761">
            <v>6.9000000000000006E-2</v>
          </cell>
        </row>
        <row r="762">
          <cell r="F762">
            <v>6.2700000000000006E-2</v>
          </cell>
        </row>
        <row r="763">
          <cell r="F763">
            <v>6.13E-2</v>
          </cell>
        </row>
        <row r="764">
          <cell r="F764">
            <v>6.2E-2</v>
          </cell>
        </row>
        <row r="765">
          <cell r="F765">
            <v>6.13E-2</v>
          </cell>
        </row>
        <row r="766">
          <cell r="F766">
            <v>6.0600000000000001E-2</v>
          </cell>
        </row>
        <row r="767">
          <cell r="F767">
            <v>5.4199999999999998E-2</v>
          </cell>
        </row>
        <row r="768">
          <cell r="F768">
            <v>5.1299999999999998E-2</v>
          </cell>
        </row>
        <row r="769">
          <cell r="F769">
            <v>6.0499999999999998E-2</v>
          </cell>
        </row>
        <row r="770">
          <cell r="F770">
            <v>6.6199999999999995E-2</v>
          </cell>
        </row>
        <row r="771">
          <cell r="F771">
            <v>0.1051</v>
          </cell>
        </row>
        <row r="772">
          <cell r="F772">
            <v>9.3799999999999994E-2</v>
          </cell>
        </row>
        <row r="773">
          <cell r="F773">
            <v>9.0999999999999998E-2</v>
          </cell>
        </row>
        <row r="774">
          <cell r="F774">
            <v>8.6699999999999999E-2</v>
          </cell>
        </row>
        <row r="775">
          <cell r="F775">
            <v>9.8000000000000004E-2</v>
          </cell>
        </row>
        <row r="776">
          <cell r="F776">
            <v>9.7199999999999995E-2</v>
          </cell>
        </row>
        <row r="777">
          <cell r="F777">
            <v>0.10009999999999999</v>
          </cell>
        </row>
        <row r="778">
          <cell r="F778">
            <v>0.1043</v>
          </cell>
        </row>
        <row r="779">
          <cell r="F779">
            <v>9.6500000000000002E-2</v>
          </cell>
        </row>
        <row r="780">
          <cell r="F780">
            <v>0.1022</v>
          </cell>
        </row>
        <row r="781">
          <cell r="F781">
            <v>0.1022</v>
          </cell>
        </row>
        <row r="782">
          <cell r="F782">
            <v>0.1008</v>
          </cell>
        </row>
        <row r="783">
          <cell r="F783">
            <v>0.10009999999999999</v>
          </cell>
        </row>
        <row r="784">
          <cell r="F784">
            <v>9.9400000000000002E-2</v>
          </cell>
        </row>
        <row r="785">
          <cell r="F785">
            <v>9.9400000000000002E-2</v>
          </cell>
        </row>
        <row r="786">
          <cell r="F786">
            <v>7.6100000000000001E-2</v>
          </cell>
        </row>
        <row r="787">
          <cell r="F787">
            <v>6.4100000000000004E-2</v>
          </cell>
        </row>
        <row r="788">
          <cell r="F788">
            <v>6.4100000000000004E-2</v>
          </cell>
        </row>
        <row r="789">
          <cell r="F789">
            <v>6.4100000000000004E-2</v>
          </cell>
        </row>
        <row r="790">
          <cell r="F790">
            <v>6.4000000000000001E-2</v>
          </cell>
        </row>
        <row r="791">
          <cell r="F791">
            <v>6.4000000000000001E-2</v>
          </cell>
        </row>
        <row r="792">
          <cell r="F792">
            <v>6.4799999999999996E-2</v>
          </cell>
        </row>
        <row r="793">
          <cell r="F793">
            <v>6.5500000000000003E-2</v>
          </cell>
        </row>
        <row r="794">
          <cell r="F794">
            <v>6.83E-2</v>
          </cell>
        </row>
        <row r="795">
          <cell r="F795">
            <v>0.10580000000000001</v>
          </cell>
        </row>
        <row r="796">
          <cell r="F796">
            <v>9.8699999999999996E-2</v>
          </cell>
        </row>
        <row r="797">
          <cell r="F797">
            <v>8.9599999999999999E-2</v>
          </cell>
        </row>
        <row r="798">
          <cell r="F798">
            <v>8.0399999999999999E-2</v>
          </cell>
        </row>
        <row r="799">
          <cell r="F799">
            <v>8.1799999999999998E-2</v>
          </cell>
        </row>
        <row r="800">
          <cell r="F800">
            <v>8.5900000000000004E-2</v>
          </cell>
        </row>
        <row r="801">
          <cell r="F801">
            <v>8.5199999999999998E-2</v>
          </cell>
        </row>
        <row r="802">
          <cell r="F802">
            <v>8.3799999999999999E-2</v>
          </cell>
        </row>
        <row r="803">
          <cell r="F803">
            <v>8.8800000000000004E-2</v>
          </cell>
        </row>
        <row r="804">
          <cell r="F804">
            <v>8.8800000000000004E-2</v>
          </cell>
        </row>
        <row r="805">
          <cell r="F805">
            <v>8.5900000000000004E-2</v>
          </cell>
        </row>
        <row r="806">
          <cell r="F806">
            <v>7.8899999999999998E-2</v>
          </cell>
        </row>
        <row r="807">
          <cell r="F807">
            <v>7.9600000000000004E-2</v>
          </cell>
        </row>
        <row r="808">
          <cell r="F808">
            <v>8.8099999999999998E-2</v>
          </cell>
        </row>
        <row r="809">
          <cell r="F809">
            <v>7.8200000000000006E-2</v>
          </cell>
        </row>
        <row r="810">
          <cell r="F810">
            <v>6.2600000000000003E-2</v>
          </cell>
        </row>
        <row r="811">
          <cell r="F811">
            <v>6.1899999999999997E-2</v>
          </cell>
        </row>
        <row r="812">
          <cell r="F812">
            <v>6.2600000000000003E-2</v>
          </cell>
        </row>
        <row r="813">
          <cell r="F813">
            <v>6.1899999999999997E-2</v>
          </cell>
        </row>
        <row r="814">
          <cell r="F814">
            <v>6.1899999999999997E-2</v>
          </cell>
        </row>
        <row r="815">
          <cell r="F815">
            <v>6.1899999999999997E-2</v>
          </cell>
        </row>
        <row r="816">
          <cell r="F816">
            <v>6.1899999999999997E-2</v>
          </cell>
        </row>
        <row r="817">
          <cell r="F817">
            <v>6.1899999999999997E-2</v>
          </cell>
        </row>
        <row r="818">
          <cell r="F818">
            <v>6.2600000000000003E-2</v>
          </cell>
        </row>
        <row r="819">
          <cell r="F819">
            <v>8.8800000000000004E-2</v>
          </cell>
        </row>
        <row r="820">
          <cell r="F820">
            <v>8.5400000000000004E-2</v>
          </cell>
        </row>
        <row r="821">
          <cell r="F821">
            <v>7.5499999999999998E-2</v>
          </cell>
        </row>
        <row r="822">
          <cell r="F822">
            <v>7.0499999999999993E-2</v>
          </cell>
        </row>
        <row r="823">
          <cell r="F823">
            <v>7.1199999999999999E-2</v>
          </cell>
        </row>
        <row r="824">
          <cell r="F824">
            <v>9.5799999999999996E-2</v>
          </cell>
        </row>
        <row r="825">
          <cell r="F825">
            <v>9.5799999999999996E-2</v>
          </cell>
        </row>
        <row r="826">
          <cell r="F826">
            <v>6.4799999999999996E-2</v>
          </cell>
        </row>
        <row r="827">
          <cell r="F827">
            <v>6.1899999999999997E-2</v>
          </cell>
        </row>
        <row r="828">
          <cell r="F828">
            <v>6.3299999999999995E-2</v>
          </cell>
        </row>
        <row r="829">
          <cell r="F829">
            <v>6.2600000000000003E-2</v>
          </cell>
        </row>
        <row r="830">
          <cell r="F830">
            <v>6.2600000000000003E-2</v>
          </cell>
        </row>
        <row r="831">
          <cell r="F831">
            <v>6.2600000000000003E-2</v>
          </cell>
        </row>
        <row r="832">
          <cell r="F832">
            <v>6.4000000000000001E-2</v>
          </cell>
        </row>
        <row r="833">
          <cell r="F833">
            <v>6.1199999999999997E-2</v>
          </cell>
        </row>
        <row r="834">
          <cell r="F834">
            <v>2.1000000000000001E-2</v>
          </cell>
        </row>
        <row r="835">
          <cell r="F835">
            <v>2.1700000000000001E-2</v>
          </cell>
        </row>
        <row r="836">
          <cell r="F836">
            <v>2.5999999999999999E-3</v>
          </cell>
        </row>
        <row r="837">
          <cell r="F837">
            <v>2.5999999999999999E-3</v>
          </cell>
        </row>
        <row r="838">
          <cell r="F838">
            <v>1.1999999999999999E-3</v>
          </cell>
        </row>
        <row r="839">
          <cell r="F839">
            <v>2.5999999999999999E-3</v>
          </cell>
        </row>
        <row r="840">
          <cell r="F840">
            <v>0</v>
          </cell>
        </row>
        <row r="841">
          <cell r="F841">
            <v>0</v>
          </cell>
        </row>
        <row r="842">
          <cell r="F842">
            <v>5.91E-2</v>
          </cell>
        </row>
        <row r="843">
          <cell r="F843">
            <v>0.105</v>
          </cell>
        </row>
        <row r="844">
          <cell r="F844">
            <v>0.1002</v>
          </cell>
        </row>
        <row r="845">
          <cell r="F845">
            <v>8.72E-2</v>
          </cell>
        </row>
        <row r="846">
          <cell r="F846">
            <v>8.6499999999999994E-2</v>
          </cell>
        </row>
        <row r="847">
          <cell r="F847">
            <v>8.9499999999999996E-2</v>
          </cell>
        </row>
        <row r="848">
          <cell r="F848">
            <v>8.9499999999999996E-2</v>
          </cell>
        </row>
        <row r="849">
          <cell r="F849">
            <v>0.10009999999999999</v>
          </cell>
        </row>
        <row r="850">
          <cell r="F850">
            <v>9.6500000000000002E-2</v>
          </cell>
        </row>
        <row r="851">
          <cell r="F851">
            <v>8.8099999999999998E-2</v>
          </cell>
        </row>
        <row r="852">
          <cell r="F852">
            <v>8.8099999999999998E-2</v>
          </cell>
        </row>
        <row r="853">
          <cell r="F853">
            <v>9.7199999999999995E-2</v>
          </cell>
        </row>
        <row r="854">
          <cell r="F854">
            <v>0.10009999999999999</v>
          </cell>
        </row>
        <row r="855">
          <cell r="F855">
            <v>8.7400000000000005E-2</v>
          </cell>
        </row>
        <row r="856">
          <cell r="F856">
            <v>7.7499999999999999E-2</v>
          </cell>
        </row>
        <row r="857">
          <cell r="F857">
            <v>7.3899999999999993E-2</v>
          </cell>
        </row>
        <row r="858">
          <cell r="F858">
            <v>5.5599999999999997E-2</v>
          </cell>
        </row>
        <row r="859">
          <cell r="F859">
            <v>5.3499999999999999E-2</v>
          </cell>
        </row>
        <row r="860">
          <cell r="F860">
            <v>5.1299999999999998E-2</v>
          </cell>
        </row>
        <row r="861">
          <cell r="F861">
            <v>5.1299999999999998E-2</v>
          </cell>
        </row>
        <row r="862">
          <cell r="F862">
            <v>2.52E-2</v>
          </cell>
        </row>
        <row r="863">
          <cell r="F863">
            <v>1.7399999999999999E-2</v>
          </cell>
        </row>
        <row r="864">
          <cell r="F864">
            <v>0</v>
          </cell>
        </row>
        <row r="865">
          <cell r="F865">
            <v>0</v>
          </cell>
        </row>
        <row r="866">
          <cell r="F866">
            <v>6.2600000000000003E-2</v>
          </cell>
        </row>
        <row r="867">
          <cell r="F867">
            <v>0.1163</v>
          </cell>
        </row>
        <row r="868">
          <cell r="F868">
            <v>0.1208</v>
          </cell>
        </row>
        <row r="869">
          <cell r="F869">
            <v>9.4500000000000001E-2</v>
          </cell>
        </row>
        <row r="870">
          <cell r="F870">
            <v>9.9400000000000002E-2</v>
          </cell>
        </row>
        <row r="871">
          <cell r="F871">
            <v>9.6600000000000005E-2</v>
          </cell>
        </row>
        <row r="872">
          <cell r="F872">
            <v>0.10150000000000001</v>
          </cell>
        </row>
        <row r="873">
          <cell r="F873">
            <v>0.1071</v>
          </cell>
        </row>
        <row r="874">
          <cell r="F874">
            <v>9.3700000000000006E-2</v>
          </cell>
        </row>
        <row r="875">
          <cell r="F875">
            <v>8.8099999999999998E-2</v>
          </cell>
        </row>
        <row r="876">
          <cell r="F876">
            <v>8.7400000000000005E-2</v>
          </cell>
        </row>
        <row r="877">
          <cell r="F877">
            <v>8.1699999999999995E-2</v>
          </cell>
        </row>
        <row r="878">
          <cell r="F878">
            <v>8.1699999999999995E-2</v>
          </cell>
        </row>
        <row r="879">
          <cell r="F879">
            <v>7.7499999999999999E-2</v>
          </cell>
        </row>
        <row r="880">
          <cell r="F880">
            <v>7.7499999999999999E-2</v>
          </cell>
        </row>
        <row r="881">
          <cell r="F881">
            <v>7.3200000000000001E-2</v>
          </cell>
        </row>
        <row r="882">
          <cell r="F882">
            <v>6.5500000000000003E-2</v>
          </cell>
        </row>
        <row r="883">
          <cell r="F883">
            <v>6.1899999999999997E-2</v>
          </cell>
        </row>
        <row r="884">
          <cell r="F884">
            <v>6.1899999999999997E-2</v>
          </cell>
        </row>
        <row r="885">
          <cell r="F885">
            <v>6.1199999999999997E-2</v>
          </cell>
        </row>
        <row r="886">
          <cell r="F886">
            <v>6.1199999999999997E-2</v>
          </cell>
        </row>
        <row r="887">
          <cell r="F887">
            <v>6.1199999999999997E-2</v>
          </cell>
        </row>
        <row r="888">
          <cell r="F888">
            <v>6.0499999999999998E-2</v>
          </cell>
        </row>
        <row r="889">
          <cell r="F889">
            <v>6.1199999999999997E-2</v>
          </cell>
        </row>
        <row r="890">
          <cell r="F890">
            <v>6.4000000000000001E-2</v>
          </cell>
        </row>
        <row r="891">
          <cell r="F891">
            <v>0.1171</v>
          </cell>
        </row>
        <row r="892">
          <cell r="F892">
            <v>8.5400000000000004E-2</v>
          </cell>
        </row>
        <row r="893">
          <cell r="F893">
            <v>8.5400000000000004E-2</v>
          </cell>
        </row>
        <row r="894">
          <cell r="F894">
            <v>8.4699999999999998E-2</v>
          </cell>
        </row>
        <row r="895">
          <cell r="F895">
            <v>8.7400000000000005E-2</v>
          </cell>
        </row>
        <row r="896">
          <cell r="F896">
            <v>8.9499999999999996E-2</v>
          </cell>
        </row>
        <row r="897">
          <cell r="F897">
            <v>9.3700000000000006E-2</v>
          </cell>
        </row>
        <row r="898">
          <cell r="F898">
            <v>0.1043</v>
          </cell>
        </row>
        <row r="899">
          <cell r="F899">
            <v>0.105</v>
          </cell>
        </row>
        <row r="900">
          <cell r="F900">
            <v>0.1043</v>
          </cell>
        </row>
        <row r="901">
          <cell r="F901">
            <v>0.105</v>
          </cell>
        </row>
        <row r="902">
          <cell r="F902">
            <v>0.1036</v>
          </cell>
        </row>
        <row r="903">
          <cell r="F903">
            <v>0.1085</v>
          </cell>
        </row>
        <row r="904">
          <cell r="F904">
            <v>8.4500000000000006E-2</v>
          </cell>
        </row>
        <row r="905">
          <cell r="F905">
            <v>7.1199999999999999E-2</v>
          </cell>
        </row>
        <row r="906">
          <cell r="F906">
            <v>5.9200000000000003E-2</v>
          </cell>
        </row>
        <row r="907">
          <cell r="F907">
            <v>5.4899999999999997E-2</v>
          </cell>
        </row>
        <row r="908">
          <cell r="F908">
            <v>5.6300000000000003E-2</v>
          </cell>
        </row>
        <row r="909">
          <cell r="F909">
            <v>4.2900000000000001E-2</v>
          </cell>
        </row>
        <row r="910">
          <cell r="F910">
            <v>5.4899999999999997E-2</v>
          </cell>
        </row>
        <row r="911">
          <cell r="F911">
            <v>5.6300000000000003E-2</v>
          </cell>
        </row>
        <row r="912">
          <cell r="F912">
            <v>4.7800000000000002E-2</v>
          </cell>
        </row>
        <row r="913">
          <cell r="F913">
            <v>4.4999999999999998E-2</v>
          </cell>
        </row>
        <row r="914">
          <cell r="F914">
            <v>6.3299999999999995E-2</v>
          </cell>
        </row>
        <row r="915">
          <cell r="F915">
            <v>0.1114</v>
          </cell>
        </row>
        <row r="916">
          <cell r="F916">
            <v>8.8900000000000007E-2</v>
          </cell>
        </row>
        <row r="917">
          <cell r="F917">
            <v>8.7499999999999994E-2</v>
          </cell>
        </row>
        <row r="918">
          <cell r="F918">
            <v>8.3199999999999996E-2</v>
          </cell>
        </row>
        <row r="919">
          <cell r="F919">
            <v>8.3199999999999996E-2</v>
          </cell>
        </row>
        <row r="920">
          <cell r="F920">
            <v>8.5900000000000004E-2</v>
          </cell>
        </row>
        <row r="921">
          <cell r="F921">
            <v>9.0200000000000002E-2</v>
          </cell>
        </row>
        <row r="922">
          <cell r="F922">
            <v>0.1043</v>
          </cell>
        </row>
        <row r="923">
          <cell r="F923">
            <v>0.10639999999999999</v>
          </cell>
        </row>
        <row r="924">
          <cell r="F924">
            <v>0.10639999999999999</v>
          </cell>
        </row>
        <row r="925">
          <cell r="F925">
            <v>0.10290000000000001</v>
          </cell>
        </row>
        <row r="926">
          <cell r="F926">
            <v>0.1008</v>
          </cell>
        </row>
        <row r="927">
          <cell r="F927">
            <v>0.1022</v>
          </cell>
        </row>
        <row r="928">
          <cell r="F928">
            <v>8.3099999999999993E-2</v>
          </cell>
        </row>
        <row r="929">
          <cell r="F929">
            <v>7.5399999999999995E-2</v>
          </cell>
        </row>
        <row r="930">
          <cell r="F930">
            <v>6.6900000000000001E-2</v>
          </cell>
        </row>
        <row r="931">
          <cell r="F931">
            <v>5.5599999999999997E-2</v>
          </cell>
        </row>
        <row r="932">
          <cell r="F932">
            <v>5.3499999999999999E-2</v>
          </cell>
        </row>
        <row r="933">
          <cell r="F933">
            <v>4.4999999999999998E-2</v>
          </cell>
        </row>
        <row r="934">
          <cell r="F934">
            <v>4.07E-2</v>
          </cell>
        </row>
        <row r="935">
          <cell r="F935">
            <v>9.7000000000000003E-3</v>
          </cell>
        </row>
        <row r="936">
          <cell r="F936">
            <v>8.2000000000000007E-3</v>
          </cell>
        </row>
        <row r="937">
          <cell r="F937">
            <v>1.8200000000000001E-2</v>
          </cell>
        </row>
        <row r="938">
          <cell r="F938">
            <v>7.0400000000000004E-2</v>
          </cell>
        </row>
        <row r="939">
          <cell r="F939">
            <v>0.1051</v>
          </cell>
        </row>
        <row r="940">
          <cell r="F940">
            <v>8.8900000000000007E-2</v>
          </cell>
        </row>
        <row r="941">
          <cell r="F941">
            <v>8.2500000000000004E-2</v>
          </cell>
        </row>
        <row r="942">
          <cell r="F942">
            <v>8.4599999999999995E-2</v>
          </cell>
        </row>
        <row r="943">
          <cell r="F943">
            <v>9.3700000000000006E-2</v>
          </cell>
        </row>
        <row r="944">
          <cell r="F944">
            <v>9.2299999999999993E-2</v>
          </cell>
        </row>
        <row r="945">
          <cell r="F945">
            <v>7.5300000000000006E-2</v>
          </cell>
        </row>
        <row r="946">
          <cell r="F946">
            <v>7.8899999999999998E-2</v>
          </cell>
        </row>
        <row r="947">
          <cell r="F947">
            <v>7.46E-2</v>
          </cell>
        </row>
        <row r="948">
          <cell r="F948">
            <v>9.3700000000000006E-2</v>
          </cell>
        </row>
        <row r="949">
          <cell r="F949">
            <v>9.3700000000000006E-2</v>
          </cell>
        </row>
        <row r="950">
          <cell r="F950">
            <v>9.3700000000000006E-2</v>
          </cell>
        </row>
        <row r="951">
          <cell r="F951">
            <v>7.9699999999999993E-2</v>
          </cell>
        </row>
        <row r="952">
          <cell r="F952">
            <v>7.6899999999999996E-2</v>
          </cell>
        </row>
        <row r="953">
          <cell r="F953">
            <v>6.9699999999999998E-2</v>
          </cell>
        </row>
        <row r="954">
          <cell r="F954">
            <v>5.28E-2</v>
          </cell>
        </row>
        <row r="955">
          <cell r="F955">
            <v>5.1400000000000001E-2</v>
          </cell>
        </row>
        <row r="956">
          <cell r="F956">
            <v>4.9200000000000001E-2</v>
          </cell>
        </row>
        <row r="957">
          <cell r="F957">
            <v>5.0599999999999999E-2</v>
          </cell>
        </row>
        <row r="958">
          <cell r="F958">
            <v>3.7900000000000003E-2</v>
          </cell>
        </row>
        <row r="959">
          <cell r="F959">
            <v>3.9300000000000002E-2</v>
          </cell>
        </row>
        <row r="960">
          <cell r="F960">
            <v>2.5999999999999999E-3</v>
          </cell>
        </row>
        <row r="961">
          <cell r="F961">
            <v>1.1999999999999999E-3</v>
          </cell>
        </row>
        <row r="962">
          <cell r="F962">
            <v>6.4000000000000001E-2</v>
          </cell>
        </row>
        <row r="963">
          <cell r="F963">
            <v>0.1114</v>
          </cell>
        </row>
        <row r="964">
          <cell r="F964">
            <v>8.4000000000000005E-2</v>
          </cell>
        </row>
        <row r="965">
          <cell r="F965">
            <v>7.1300000000000002E-2</v>
          </cell>
        </row>
        <row r="966">
          <cell r="F966">
            <v>7.1900000000000006E-2</v>
          </cell>
        </row>
        <row r="967">
          <cell r="F967">
            <v>7.1199999999999999E-2</v>
          </cell>
        </row>
        <row r="968">
          <cell r="F968">
            <v>7.3200000000000001E-2</v>
          </cell>
        </row>
        <row r="969">
          <cell r="F969">
            <v>7.1099999999999997E-2</v>
          </cell>
        </row>
        <row r="970">
          <cell r="F970">
            <v>7.7499999999999999E-2</v>
          </cell>
        </row>
        <row r="971">
          <cell r="F971">
            <v>9.7900000000000001E-2</v>
          </cell>
        </row>
        <row r="972">
          <cell r="F972">
            <v>9.7900000000000001E-2</v>
          </cell>
        </row>
        <row r="973">
          <cell r="F973">
            <v>9.7900000000000001E-2</v>
          </cell>
        </row>
        <row r="974">
          <cell r="F974">
            <v>9.7900000000000001E-2</v>
          </cell>
        </row>
        <row r="975">
          <cell r="F975">
            <v>9.7900000000000001E-2</v>
          </cell>
        </row>
        <row r="976">
          <cell r="F976">
            <v>7.3899999999999993E-2</v>
          </cell>
        </row>
        <row r="977">
          <cell r="F977">
            <v>6.3299999999999995E-2</v>
          </cell>
        </row>
        <row r="978">
          <cell r="F978">
            <v>5.0599999999999999E-2</v>
          </cell>
        </row>
        <row r="979">
          <cell r="F979">
            <v>4.9200000000000001E-2</v>
          </cell>
        </row>
        <row r="980">
          <cell r="F980">
            <v>4.5699999999999998E-2</v>
          </cell>
        </row>
        <row r="981">
          <cell r="F981">
            <v>4.7100000000000003E-2</v>
          </cell>
        </row>
        <row r="982">
          <cell r="F982">
            <v>3.8600000000000002E-2</v>
          </cell>
        </row>
        <row r="983">
          <cell r="F983">
            <v>4.7399999999999998E-2</v>
          </cell>
        </row>
        <row r="984">
          <cell r="F984">
            <v>4.1000000000000002E-2</v>
          </cell>
        </row>
        <row r="985">
          <cell r="F985">
            <v>4.3200000000000002E-2</v>
          </cell>
        </row>
        <row r="986">
          <cell r="F986">
            <v>6.5799999999999997E-2</v>
          </cell>
        </row>
        <row r="987">
          <cell r="F987">
            <v>0.1008</v>
          </cell>
        </row>
        <row r="988">
          <cell r="F988">
            <v>9.74E-2</v>
          </cell>
        </row>
        <row r="989">
          <cell r="F989">
            <v>9.4600000000000004E-2</v>
          </cell>
        </row>
        <row r="990">
          <cell r="F990">
            <v>9.3100000000000002E-2</v>
          </cell>
        </row>
        <row r="991">
          <cell r="F991">
            <v>8.9200000000000002E-2</v>
          </cell>
        </row>
        <row r="992">
          <cell r="F992">
            <v>8.6300000000000002E-2</v>
          </cell>
        </row>
        <row r="993">
          <cell r="F993">
            <v>0.1008</v>
          </cell>
        </row>
        <row r="994">
          <cell r="F994">
            <v>0.1008</v>
          </cell>
        </row>
        <row r="995">
          <cell r="F995">
            <v>0.1043</v>
          </cell>
        </row>
        <row r="996">
          <cell r="F996">
            <v>0.10150000000000001</v>
          </cell>
        </row>
        <row r="997">
          <cell r="F997">
            <v>9.8299999999999998E-2</v>
          </cell>
        </row>
        <row r="998">
          <cell r="F998">
            <v>8.8800000000000004E-2</v>
          </cell>
        </row>
        <row r="999">
          <cell r="F999">
            <v>8.8800000000000004E-2</v>
          </cell>
        </row>
        <row r="1000">
          <cell r="F1000">
            <v>6.7900000000000002E-2</v>
          </cell>
        </row>
        <row r="1001">
          <cell r="F1001">
            <v>6.5799999999999997E-2</v>
          </cell>
        </row>
        <row r="1002">
          <cell r="F1002">
            <v>5.16E-2</v>
          </cell>
        </row>
        <row r="1003">
          <cell r="F1003">
            <v>5.7000000000000002E-3</v>
          </cell>
        </row>
        <row r="1004">
          <cell r="F1004">
            <v>5.7000000000000002E-3</v>
          </cell>
        </row>
        <row r="1005">
          <cell r="F1005">
            <v>4.3E-3</v>
          </cell>
        </row>
        <row r="1006">
          <cell r="F1006">
            <v>2.8999999999999998E-3</v>
          </cell>
        </row>
        <row r="1007">
          <cell r="F1007">
            <v>2.8999999999999998E-3</v>
          </cell>
        </row>
        <row r="1008">
          <cell r="F1008">
            <v>1.5100000000000001E-2</v>
          </cell>
        </row>
        <row r="1009">
          <cell r="F1009">
            <v>0</v>
          </cell>
        </row>
        <row r="1010">
          <cell r="F1010">
            <v>6.1499999999999999E-2</v>
          </cell>
        </row>
        <row r="1011">
          <cell r="F1011">
            <v>0.1008</v>
          </cell>
        </row>
        <row r="1012">
          <cell r="F1012">
            <v>0.11219999999999999</v>
          </cell>
        </row>
        <row r="1013">
          <cell r="F1013">
            <v>9.8100000000000007E-2</v>
          </cell>
        </row>
        <row r="1014">
          <cell r="F1014">
            <v>9.0300000000000005E-2</v>
          </cell>
        </row>
        <row r="1015">
          <cell r="F1015">
            <v>8.1000000000000003E-2</v>
          </cell>
        </row>
        <row r="1016">
          <cell r="F1016">
            <v>8.3799999999999999E-2</v>
          </cell>
        </row>
        <row r="1017">
          <cell r="F1017">
            <v>8.1699999999999995E-2</v>
          </cell>
        </row>
        <row r="1018">
          <cell r="F1018">
            <v>8.77E-2</v>
          </cell>
        </row>
        <row r="1019">
          <cell r="F1019">
            <v>8.7400000000000005E-2</v>
          </cell>
        </row>
        <row r="1020">
          <cell r="F1020">
            <v>8.8800000000000004E-2</v>
          </cell>
        </row>
        <row r="1021">
          <cell r="F1021">
            <v>9.3700000000000006E-2</v>
          </cell>
        </row>
        <row r="1022">
          <cell r="F1022">
            <v>9.4399999999999998E-2</v>
          </cell>
        </row>
        <row r="1023">
          <cell r="F1023">
            <v>8.8400000000000006E-2</v>
          </cell>
        </row>
        <row r="1024">
          <cell r="F1024">
            <v>8.48E-2</v>
          </cell>
        </row>
        <row r="1025">
          <cell r="F1025">
            <v>7.4899999999999994E-2</v>
          </cell>
        </row>
        <row r="1026">
          <cell r="F1026">
            <v>6.93E-2</v>
          </cell>
        </row>
        <row r="1027">
          <cell r="F1027">
            <v>6.7199999999999996E-2</v>
          </cell>
        </row>
        <row r="1028">
          <cell r="F1028">
            <v>7.0000000000000007E-2</v>
          </cell>
        </row>
        <row r="1029">
          <cell r="F1029">
            <v>6.6500000000000004E-2</v>
          </cell>
        </row>
        <row r="1030">
          <cell r="F1030">
            <v>6.2899999999999998E-2</v>
          </cell>
        </row>
        <row r="1031">
          <cell r="F1031">
            <v>5.7299999999999997E-2</v>
          </cell>
        </row>
        <row r="1032">
          <cell r="F1032">
            <v>1.14E-2</v>
          </cell>
        </row>
        <row r="1033">
          <cell r="F1033">
            <v>1.14E-2</v>
          </cell>
        </row>
        <row r="1034">
          <cell r="F1034">
            <v>7.2800000000000004E-2</v>
          </cell>
        </row>
        <row r="1035">
          <cell r="F1035">
            <v>0.1157</v>
          </cell>
        </row>
        <row r="1036">
          <cell r="F1036">
            <v>0.1007</v>
          </cell>
        </row>
        <row r="1037">
          <cell r="F1037">
            <v>9.5699999999999993E-2</v>
          </cell>
        </row>
        <row r="1038">
          <cell r="F1038">
            <v>9.1600000000000001E-2</v>
          </cell>
        </row>
        <row r="1039">
          <cell r="F1039">
            <v>9.2299999999999993E-2</v>
          </cell>
        </row>
        <row r="1040">
          <cell r="F1040">
            <v>9.5200000000000007E-2</v>
          </cell>
        </row>
        <row r="1041">
          <cell r="F1041">
            <v>9.6600000000000005E-2</v>
          </cell>
        </row>
        <row r="1042">
          <cell r="F1042">
            <v>9.5200000000000007E-2</v>
          </cell>
        </row>
        <row r="1043">
          <cell r="F1043">
            <v>9.5899999999999999E-2</v>
          </cell>
        </row>
        <row r="1044">
          <cell r="F1044">
            <v>9.5899999999999999E-2</v>
          </cell>
        </row>
        <row r="1045">
          <cell r="F1045">
            <v>9.5899999999999999E-2</v>
          </cell>
        </row>
        <row r="1046">
          <cell r="F1046">
            <v>9.6600000000000005E-2</v>
          </cell>
        </row>
        <row r="1047">
          <cell r="F1047">
            <v>9.5200000000000007E-2</v>
          </cell>
        </row>
        <row r="1048">
          <cell r="F1048">
            <v>9.9400000000000002E-2</v>
          </cell>
        </row>
        <row r="1049">
          <cell r="F1049">
            <v>9.5799999999999996E-2</v>
          </cell>
        </row>
        <row r="1050">
          <cell r="F1050">
            <v>7.1900000000000006E-2</v>
          </cell>
        </row>
        <row r="1051">
          <cell r="F1051">
            <v>3.3700000000000001E-2</v>
          </cell>
        </row>
        <row r="1052">
          <cell r="F1052">
            <v>1.2500000000000001E-2</v>
          </cell>
        </row>
        <row r="1053">
          <cell r="F1053">
            <v>3.0200000000000001E-2</v>
          </cell>
        </row>
        <row r="1054">
          <cell r="F1054">
            <v>1.11E-2</v>
          </cell>
        </row>
        <row r="1055">
          <cell r="F1055">
            <v>1.2500000000000001E-2</v>
          </cell>
        </row>
        <row r="1056">
          <cell r="F1056">
            <v>1.17E-2</v>
          </cell>
        </row>
        <row r="1057">
          <cell r="F1057">
            <v>2.47E-2</v>
          </cell>
        </row>
        <row r="1058">
          <cell r="F1058">
            <v>6.7599999999999993E-2</v>
          </cell>
        </row>
        <row r="1059">
          <cell r="F1059">
            <v>0.10009999999999999</v>
          </cell>
        </row>
        <row r="1060">
          <cell r="F1060">
            <v>9.0999999999999998E-2</v>
          </cell>
        </row>
        <row r="1061">
          <cell r="F1061">
            <v>8.7400000000000005E-2</v>
          </cell>
        </row>
        <row r="1062">
          <cell r="F1062">
            <v>8.7400000000000005E-2</v>
          </cell>
        </row>
        <row r="1063">
          <cell r="F1063">
            <v>8.5999999999999993E-2</v>
          </cell>
        </row>
        <row r="1064">
          <cell r="F1064">
            <v>8.5199999999999998E-2</v>
          </cell>
        </row>
        <row r="1065">
          <cell r="F1065">
            <v>8.3799999999999999E-2</v>
          </cell>
        </row>
        <row r="1066">
          <cell r="F1066">
            <v>8.8099999999999998E-2</v>
          </cell>
        </row>
        <row r="1067">
          <cell r="F1067">
            <v>8.7400000000000005E-2</v>
          </cell>
        </row>
        <row r="1068">
          <cell r="F1068">
            <v>9.6500000000000002E-2</v>
          </cell>
        </row>
        <row r="1069">
          <cell r="F1069">
            <v>9.6500000000000002E-2</v>
          </cell>
        </row>
        <row r="1070">
          <cell r="F1070">
            <v>9.2999999999999999E-2</v>
          </cell>
        </row>
        <row r="1071">
          <cell r="F1071">
            <v>9.3700000000000006E-2</v>
          </cell>
        </row>
        <row r="1072">
          <cell r="F1072">
            <v>9.2999999999999999E-2</v>
          </cell>
        </row>
        <row r="1073">
          <cell r="F1073">
            <v>9.4500000000000001E-2</v>
          </cell>
        </row>
        <row r="1074">
          <cell r="F1074">
            <v>6.7599999999999993E-2</v>
          </cell>
        </row>
        <row r="1075">
          <cell r="F1075">
            <v>5.28E-2</v>
          </cell>
        </row>
        <row r="1076">
          <cell r="F1076">
            <v>4.2200000000000001E-2</v>
          </cell>
        </row>
        <row r="1077">
          <cell r="F1077">
            <v>3.9300000000000002E-2</v>
          </cell>
        </row>
        <row r="1078">
          <cell r="F1078">
            <v>4.1399999999999999E-2</v>
          </cell>
        </row>
        <row r="1079">
          <cell r="F1079">
            <v>4.1399999999999999E-2</v>
          </cell>
        </row>
        <row r="1080">
          <cell r="F1080">
            <v>4.36E-2</v>
          </cell>
        </row>
        <row r="1081">
          <cell r="F1081">
            <v>0.04</v>
          </cell>
        </row>
        <row r="1082">
          <cell r="F1082">
            <v>6.5500000000000003E-2</v>
          </cell>
        </row>
        <row r="1083">
          <cell r="F1083">
            <v>0.1071</v>
          </cell>
        </row>
        <row r="1084">
          <cell r="F1084">
            <v>9.5899999999999999E-2</v>
          </cell>
        </row>
        <row r="1085">
          <cell r="F1085">
            <v>9.5899999999999999E-2</v>
          </cell>
        </row>
        <row r="1086">
          <cell r="F1086">
            <v>9.5200000000000007E-2</v>
          </cell>
        </row>
        <row r="1087">
          <cell r="F1087">
            <v>9.4500000000000001E-2</v>
          </cell>
        </row>
        <row r="1088">
          <cell r="F1088">
            <v>9.6600000000000005E-2</v>
          </cell>
        </row>
        <row r="1089">
          <cell r="F1089">
            <v>9.7199999999999995E-2</v>
          </cell>
        </row>
        <row r="1090">
          <cell r="F1090">
            <v>0.10009999999999999</v>
          </cell>
        </row>
        <row r="1091">
          <cell r="F1091">
            <v>9.6500000000000002E-2</v>
          </cell>
        </row>
        <row r="1092">
          <cell r="F1092">
            <v>9.6500000000000002E-2</v>
          </cell>
        </row>
        <row r="1093">
          <cell r="F1093">
            <v>9.7199999999999995E-2</v>
          </cell>
        </row>
        <row r="1094">
          <cell r="F1094">
            <v>9.5799999999999996E-2</v>
          </cell>
        </row>
        <row r="1095">
          <cell r="F1095">
            <v>8.7400000000000005E-2</v>
          </cell>
        </row>
        <row r="1096">
          <cell r="F1096">
            <v>9.5100000000000004E-2</v>
          </cell>
        </row>
        <row r="1097">
          <cell r="F1097">
            <v>8.9499999999999996E-2</v>
          </cell>
        </row>
        <row r="1098">
          <cell r="F1098">
            <v>5.1299999999999998E-2</v>
          </cell>
        </row>
        <row r="1099">
          <cell r="F1099">
            <v>2.5899999999999999E-2</v>
          </cell>
        </row>
        <row r="1100">
          <cell r="F1100">
            <v>2.1700000000000001E-2</v>
          </cell>
        </row>
        <row r="1101">
          <cell r="F1101">
            <v>2.24E-2</v>
          </cell>
        </row>
        <row r="1102">
          <cell r="F1102">
            <v>2.5999999999999999E-3</v>
          </cell>
        </row>
        <row r="1103">
          <cell r="F1103">
            <v>2.5999999999999999E-3</v>
          </cell>
        </row>
        <row r="1104">
          <cell r="F1104">
            <v>1.1999999999999999E-3</v>
          </cell>
        </row>
        <row r="1105">
          <cell r="F1105">
            <v>1.1999999999999999E-3</v>
          </cell>
        </row>
        <row r="1106">
          <cell r="F1106">
            <v>6.0499999999999998E-2</v>
          </cell>
        </row>
        <row r="1107">
          <cell r="F1107">
            <v>0.1196</v>
          </cell>
        </row>
        <row r="1108">
          <cell r="F1108">
            <v>9.5899999999999999E-2</v>
          </cell>
        </row>
        <row r="1109">
          <cell r="F1109">
            <v>9.4500000000000001E-2</v>
          </cell>
        </row>
        <row r="1110">
          <cell r="F1110">
            <v>9.4500000000000001E-2</v>
          </cell>
        </row>
        <row r="1111">
          <cell r="F1111">
            <v>9.3700000000000006E-2</v>
          </cell>
        </row>
        <row r="1112">
          <cell r="F1112">
            <v>0.1163</v>
          </cell>
        </row>
        <row r="1113">
          <cell r="F1113">
            <v>0.1057</v>
          </cell>
        </row>
        <row r="1114">
          <cell r="F1114">
            <v>9.9400000000000002E-2</v>
          </cell>
        </row>
        <row r="1115">
          <cell r="F1115">
            <v>0.10290000000000001</v>
          </cell>
        </row>
        <row r="1116">
          <cell r="F1116">
            <v>9.9400000000000002E-2</v>
          </cell>
        </row>
        <row r="1117">
          <cell r="F1117">
            <v>9.9400000000000002E-2</v>
          </cell>
        </row>
        <row r="1118">
          <cell r="F1118">
            <v>0.10290000000000001</v>
          </cell>
        </row>
        <row r="1119">
          <cell r="F1119">
            <v>9.6500000000000002E-2</v>
          </cell>
        </row>
        <row r="1120">
          <cell r="F1120">
            <v>9.5799999999999996E-2</v>
          </cell>
        </row>
        <row r="1121">
          <cell r="F1121">
            <v>9.2999999999999999E-2</v>
          </cell>
        </row>
        <row r="1122">
          <cell r="F1122">
            <v>5.91E-2</v>
          </cell>
        </row>
        <row r="1123">
          <cell r="F1123">
            <v>4.6399999999999997E-2</v>
          </cell>
        </row>
        <row r="1124">
          <cell r="F1124">
            <v>4.4999999999999998E-2</v>
          </cell>
        </row>
        <row r="1125">
          <cell r="F1125">
            <v>4.2200000000000001E-2</v>
          </cell>
        </row>
        <row r="1126">
          <cell r="F1126">
            <v>0.04</v>
          </cell>
        </row>
        <row r="1127">
          <cell r="F1127">
            <v>4.07E-2</v>
          </cell>
        </row>
        <row r="1128">
          <cell r="F1128">
            <v>2.24E-2</v>
          </cell>
        </row>
        <row r="1129">
          <cell r="F1129">
            <v>2.3099999999999999E-2</v>
          </cell>
        </row>
        <row r="1130">
          <cell r="F1130">
            <v>5.8400000000000001E-2</v>
          </cell>
        </row>
        <row r="1131">
          <cell r="F1131">
            <v>0.10929999999999999</v>
          </cell>
        </row>
        <row r="1132">
          <cell r="F1132">
            <v>0.1172</v>
          </cell>
        </row>
        <row r="1133">
          <cell r="F1133">
            <v>8.7499999999999994E-2</v>
          </cell>
        </row>
        <row r="1134">
          <cell r="F1134">
            <v>8.7499999999999994E-2</v>
          </cell>
        </row>
        <row r="1135">
          <cell r="F1135">
            <v>8.6699999999999999E-2</v>
          </cell>
        </row>
        <row r="1136">
          <cell r="F1136">
            <v>8.1000000000000003E-2</v>
          </cell>
        </row>
        <row r="1137">
          <cell r="F1137">
            <v>8.1000000000000003E-2</v>
          </cell>
        </row>
        <row r="1138">
          <cell r="F1138">
            <v>8.3799999999999999E-2</v>
          </cell>
        </row>
        <row r="1139">
          <cell r="F1139">
            <v>8.9499999999999996E-2</v>
          </cell>
        </row>
        <row r="1140">
          <cell r="F1140">
            <v>8.9499999999999996E-2</v>
          </cell>
        </row>
        <row r="1141">
          <cell r="F1141">
            <v>9.7199999999999995E-2</v>
          </cell>
        </row>
        <row r="1142">
          <cell r="F1142">
            <v>9.7900000000000001E-2</v>
          </cell>
        </row>
        <row r="1143">
          <cell r="F1143">
            <v>9.7199999999999995E-2</v>
          </cell>
        </row>
        <row r="1144">
          <cell r="F1144">
            <v>8.7400000000000005E-2</v>
          </cell>
        </row>
        <row r="1145">
          <cell r="F1145">
            <v>7.4700000000000003E-2</v>
          </cell>
        </row>
        <row r="1146">
          <cell r="F1146">
            <v>5.6300000000000003E-2</v>
          </cell>
        </row>
        <row r="1147">
          <cell r="F1147">
            <v>0</v>
          </cell>
        </row>
        <row r="1148">
          <cell r="F1148">
            <v>6.7999999999999996E-3</v>
          </cell>
        </row>
        <row r="1149">
          <cell r="F1149">
            <v>6.7999999999999996E-3</v>
          </cell>
        </row>
        <row r="1150">
          <cell r="F1150">
            <v>6.7999999999999996E-3</v>
          </cell>
        </row>
        <row r="1151">
          <cell r="F1151">
            <v>6.7999999999999996E-3</v>
          </cell>
        </row>
        <row r="1152">
          <cell r="F1152">
            <v>6.7999999999999996E-3</v>
          </cell>
        </row>
        <row r="1153">
          <cell r="F1153">
            <v>6.7999999999999996E-3</v>
          </cell>
        </row>
        <row r="1154">
          <cell r="F1154">
            <v>5.7700000000000001E-2</v>
          </cell>
        </row>
        <row r="1155">
          <cell r="F1155">
            <v>0.1008</v>
          </cell>
        </row>
        <row r="1156">
          <cell r="F1156">
            <v>0.1108</v>
          </cell>
        </row>
        <row r="1157">
          <cell r="F1157">
            <v>9.0999999999999998E-2</v>
          </cell>
        </row>
        <row r="1158">
          <cell r="F1158">
            <v>9.3100000000000002E-2</v>
          </cell>
        </row>
        <row r="1159">
          <cell r="F1159">
            <v>9.3799999999999994E-2</v>
          </cell>
        </row>
        <row r="1160">
          <cell r="F1160">
            <v>9.4399999999999998E-2</v>
          </cell>
        </row>
        <row r="1161">
          <cell r="F1161">
            <v>0.10150000000000001</v>
          </cell>
        </row>
        <row r="1162">
          <cell r="F1162">
            <v>0.1022</v>
          </cell>
        </row>
        <row r="1163">
          <cell r="F1163">
            <v>9.9400000000000002E-2</v>
          </cell>
        </row>
        <row r="1164">
          <cell r="F1164">
            <v>9.9400000000000002E-2</v>
          </cell>
        </row>
        <row r="1165">
          <cell r="F1165">
            <v>9.9400000000000002E-2</v>
          </cell>
        </row>
        <row r="1166">
          <cell r="F1166">
            <v>0.10009999999999999</v>
          </cell>
        </row>
        <row r="1167">
          <cell r="F1167">
            <v>9.9400000000000002E-2</v>
          </cell>
        </row>
        <row r="1168">
          <cell r="F1168">
            <v>9.8699999999999996E-2</v>
          </cell>
        </row>
        <row r="1169">
          <cell r="F1169">
            <v>8.9499999999999996E-2</v>
          </cell>
        </row>
        <row r="1170">
          <cell r="F1170">
            <v>6.83E-2</v>
          </cell>
        </row>
        <row r="1171">
          <cell r="F1171">
            <v>9.7000000000000003E-3</v>
          </cell>
        </row>
        <row r="1172">
          <cell r="F1172">
            <v>9.7000000000000003E-3</v>
          </cell>
        </row>
        <row r="1173">
          <cell r="F1173">
            <v>8.3000000000000001E-3</v>
          </cell>
        </row>
        <row r="1174">
          <cell r="F1174">
            <v>6.8999999999999999E-3</v>
          </cell>
        </row>
        <row r="1175">
          <cell r="F1175">
            <v>8.3000000000000001E-3</v>
          </cell>
        </row>
        <row r="1176">
          <cell r="F1176">
            <v>1.9E-2</v>
          </cell>
        </row>
        <row r="1177">
          <cell r="F1177">
            <v>6.7999999999999996E-3</v>
          </cell>
        </row>
        <row r="1178">
          <cell r="F1178">
            <v>7.8899999999999998E-2</v>
          </cell>
        </row>
        <row r="1179">
          <cell r="F1179">
            <v>0.10580000000000001</v>
          </cell>
        </row>
        <row r="1180">
          <cell r="F1180">
            <v>0.1198</v>
          </cell>
        </row>
        <row r="1181">
          <cell r="F1181">
            <v>0.1115</v>
          </cell>
        </row>
        <row r="1182">
          <cell r="F1182">
            <v>8.6999999999999994E-2</v>
          </cell>
        </row>
        <row r="1183">
          <cell r="F1183">
            <v>9.5200000000000007E-2</v>
          </cell>
        </row>
        <row r="1184">
          <cell r="F1184">
            <v>9.5799999999999996E-2</v>
          </cell>
        </row>
        <row r="1185">
          <cell r="F1185">
            <v>9.8699999999999996E-2</v>
          </cell>
        </row>
        <row r="1186">
          <cell r="F1186">
            <v>0.10009999999999999</v>
          </cell>
        </row>
        <row r="1187">
          <cell r="F1187">
            <v>0.1008</v>
          </cell>
        </row>
        <row r="1188">
          <cell r="F1188">
            <v>0.1008</v>
          </cell>
        </row>
        <row r="1189">
          <cell r="F1189">
            <v>0.10150000000000001</v>
          </cell>
        </row>
        <row r="1190">
          <cell r="F1190">
            <v>0.10150000000000001</v>
          </cell>
        </row>
        <row r="1191">
          <cell r="F1191">
            <v>9.8699999999999996E-2</v>
          </cell>
        </row>
        <row r="1192">
          <cell r="F1192">
            <v>0.10150000000000001</v>
          </cell>
        </row>
        <row r="1193">
          <cell r="F1193">
            <v>9.7900000000000001E-2</v>
          </cell>
        </row>
        <row r="1194">
          <cell r="F1194">
            <v>8.4500000000000006E-2</v>
          </cell>
        </row>
        <row r="1195">
          <cell r="F1195">
            <v>8.1000000000000003E-2</v>
          </cell>
        </row>
        <row r="1196">
          <cell r="F1196">
            <v>7.8200000000000006E-2</v>
          </cell>
        </row>
        <row r="1197">
          <cell r="F1197">
            <v>7.7499999999999999E-2</v>
          </cell>
        </row>
        <row r="1198">
          <cell r="F1198">
            <v>7.7499999999999999E-2</v>
          </cell>
        </row>
        <row r="1199">
          <cell r="F1199">
            <v>7.6100000000000001E-2</v>
          </cell>
        </row>
        <row r="1200">
          <cell r="F1200">
            <v>7.6799999999999993E-2</v>
          </cell>
        </row>
        <row r="1201">
          <cell r="F1201">
            <v>8.0299999999999996E-2</v>
          </cell>
        </row>
        <row r="1202">
          <cell r="F1202">
            <v>8.9499999999999996E-2</v>
          </cell>
        </row>
        <row r="1203">
          <cell r="F1203">
            <v>0.10580000000000001</v>
          </cell>
        </row>
        <row r="1204">
          <cell r="F1204">
            <v>0.1171</v>
          </cell>
        </row>
        <row r="1205">
          <cell r="F1205">
            <v>8.48E-2</v>
          </cell>
        </row>
        <row r="1206">
          <cell r="F1206">
            <v>9.5899999999999999E-2</v>
          </cell>
        </row>
        <row r="1207">
          <cell r="F1207">
            <v>9.5799999999999996E-2</v>
          </cell>
        </row>
        <row r="1208">
          <cell r="F1208">
            <v>9.7900000000000001E-2</v>
          </cell>
        </row>
        <row r="1209">
          <cell r="F1209">
            <v>9.7900000000000001E-2</v>
          </cell>
        </row>
        <row r="1210">
          <cell r="F1210">
            <v>9.7199999999999995E-2</v>
          </cell>
        </row>
        <row r="1211">
          <cell r="F1211">
            <v>9.7900000000000001E-2</v>
          </cell>
        </row>
        <row r="1212">
          <cell r="F1212">
            <v>9.5100000000000004E-2</v>
          </cell>
        </row>
        <row r="1213">
          <cell r="F1213">
            <v>9.3700000000000006E-2</v>
          </cell>
        </row>
        <row r="1214">
          <cell r="F1214">
            <v>9.7900000000000001E-2</v>
          </cell>
        </row>
        <row r="1215">
          <cell r="F1215">
            <v>9.5799999999999996E-2</v>
          </cell>
        </row>
        <row r="1216">
          <cell r="F1216">
            <v>8.8099999999999998E-2</v>
          </cell>
        </row>
        <row r="1217">
          <cell r="F1217">
            <v>0.1008</v>
          </cell>
        </row>
        <row r="1218">
          <cell r="F1218">
            <v>8.6699999999999999E-2</v>
          </cell>
        </row>
        <row r="1219">
          <cell r="F1219">
            <v>6.4100000000000004E-2</v>
          </cell>
        </row>
        <row r="1220">
          <cell r="F1220">
            <v>6.2E-2</v>
          </cell>
        </row>
        <row r="1221">
          <cell r="F1221">
            <v>6.2700000000000006E-2</v>
          </cell>
        </row>
        <row r="1222">
          <cell r="F1222">
            <v>6.4100000000000004E-2</v>
          </cell>
        </row>
        <row r="1223">
          <cell r="F1223">
            <v>6.1899999999999997E-2</v>
          </cell>
        </row>
        <row r="1224">
          <cell r="F1224">
            <v>5.9799999999999999E-2</v>
          </cell>
        </row>
        <row r="1225">
          <cell r="F1225">
            <v>5.9799999999999999E-2</v>
          </cell>
        </row>
        <row r="1226">
          <cell r="F1226">
            <v>6.4799999999999996E-2</v>
          </cell>
        </row>
        <row r="1227">
          <cell r="F1227">
            <v>7.6799999999999993E-2</v>
          </cell>
        </row>
        <row r="1228">
          <cell r="F1228">
            <v>8.0399999999999999E-2</v>
          </cell>
        </row>
        <row r="1229">
          <cell r="F1229">
            <v>8.1199999999999994E-2</v>
          </cell>
        </row>
        <row r="1230">
          <cell r="F1230">
            <v>8.7499999999999994E-2</v>
          </cell>
        </row>
        <row r="1231">
          <cell r="F1231">
            <v>8.7400000000000005E-2</v>
          </cell>
        </row>
        <row r="1232">
          <cell r="F1232">
            <v>0.1036</v>
          </cell>
        </row>
        <row r="1233">
          <cell r="F1233">
            <v>0.1008</v>
          </cell>
        </row>
        <row r="1234">
          <cell r="F1234">
            <v>9.9400000000000002E-2</v>
          </cell>
        </row>
        <row r="1235">
          <cell r="F1235">
            <v>9.1499999999999998E-2</v>
          </cell>
        </row>
        <row r="1236">
          <cell r="F1236">
            <v>9.0800000000000006E-2</v>
          </cell>
        </row>
        <row r="1237">
          <cell r="F1237">
            <v>8.9499999999999996E-2</v>
          </cell>
        </row>
        <row r="1238">
          <cell r="F1238">
            <v>8.9499999999999996E-2</v>
          </cell>
        </row>
        <row r="1239">
          <cell r="F1239">
            <v>9.3700000000000006E-2</v>
          </cell>
        </row>
        <row r="1240">
          <cell r="F1240">
            <v>8.8800000000000004E-2</v>
          </cell>
        </row>
        <row r="1241">
          <cell r="F1241">
            <v>9.0200000000000002E-2</v>
          </cell>
        </row>
        <row r="1242">
          <cell r="F1242">
            <v>6.7599999999999993E-2</v>
          </cell>
        </row>
        <row r="1243">
          <cell r="F1243">
            <v>6.6199999999999995E-2</v>
          </cell>
        </row>
        <row r="1244">
          <cell r="F1244">
            <v>6.5500000000000003E-2</v>
          </cell>
        </row>
        <row r="1245">
          <cell r="F1245">
            <v>6.83E-2</v>
          </cell>
        </row>
        <row r="1246">
          <cell r="F1246">
            <v>6.5500000000000003E-2</v>
          </cell>
        </row>
        <row r="1247">
          <cell r="F1247">
            <v>6.5500000000000003E-2</v>
          </cell>
        </row>
        <row r="1248">
          <cell r="F1248">
            <v>6.5500000000000003E-2</v>
          </cell>
        </row>
        <row r="1249">
          <cell r="F1249">
            <v>6.4799999999999996E-2</v>
          </cell>
        </row>
        <row r="1250">
          <cell r="F1250">
            <v>6.2700000000000006E-2</v>
          </cell>
        </row>
        <row r="1251">
          <cell r="F1251">
            <v>9.3100000000000002E-2</v>
          </cell>
        </row>
        <row r="1252">
          <cell r="F1252">
            <v>9.2499999999999999E-2</v>
          </cell>
        </row>
        <row r="1253">
          <cell r="F1253">
            <v>9.4500000000000001E-2</v>
          </cell>
        </row>
        <row r="1254">
          <cell r="F1254">
            <v>9.4500000000000001E-2</v>
          </cell>
        </row>
        <row r="1255">
          <cell r="F1255">
            <v>8.1299999999999997E-2</v>
          </cell>
        </row>
        <row r="1256">
          <cell r="F1256">
            <v>8.14E-2</v>
          </cell>
        </row>
        <row r="1257">
          <cell r="F1257">
            <v>8.9899999999999994E-2</v>
          </cell>
        </row>
        <row r="1258">
          <cell r="F1258">
            <v>9.06E-2</v>
          </cell>
        </row>
        <row r="1259">
          <cell r="F1259">
            <v>9.06E-2</v>
          </cell>
        </row>
        <row r="1260">
          <cell r="F1260">
            <v>9.1999999999999998E-2</v>
          </cell>
        </row>
        <row r="1261">
          <cell r="F1261">
            <v>9.1999999999999998E-2</v>
          </cell>
        </row>
        <row r="1262">
          <cell r="F1262">
            <v>9.06E-2</v>
          </cell>
        </row>
        <row r="1263">
          <cell r="F1263">
            <v>9.3399999999999997E-2</v>
          </cell>
        </row>
        <row r="1264">
          <cell r="F1264">
            <v>9.6600000000000005E-2</v>
          </cell>
        </row>
        <row r="1265">
          <cell r="F1265">
            <v>0.10589999999999999</v>
          </cell>
        </row>
        <row r="1266">
          <cell r="F1266">
            <v>8.7599999999999997E-2</v>
          </cell>
        </row>
        <row r="1267">
          <cell r="F1267">
            <v>8.8200000000000001E-2</v>
          </cell>
        </row>
        <row r="1268">
          <cell r="F1268">
            <v>8.2500000000000004E-2</v>
          </cell>
        </row>
        <row r="1269">
          <cell r="F1269">
            <v>8.3099999999999993E-2</v>
          </cell>
        </row>
        <row r="1270">
          <cell r="F1270">
            <v>8.4500000000000006E-2</v>
          </cell>
        </row>
        <row r="1271">
          <cell r="F1271">
            <v>7.5399999999999995E-2</v>
          </cell>
        </row>
        <row r="1272">
          <cell r="F1272">
            <v>8.2400000000000001E-2</v>
          </cell>
        </row>
        <row r="1273">
          <cell r="F1273">
            <v>8.0299999999999996E-2</v>
          </cell>
        </row>
        <row r="1274">
          <cell r="F1274">
            <v>8.8099999999999998E-2</v>
          </cell>
        </row>
        <row r="1275">
          <cell r="F1275">
            <v>0.1087</v>
          </cell>
        </row>
        <row r="1276">
          <cell r="F1276">
            <v>8.8999999999999996E-2</v>
          </cell>
        </row>
        <row r="1277">
          <cell r="F1277">
            <v>8.7599999999999997E-2</v>
          </cell>
        </row>
        <row r="1278">
          <cell r="F1278">
            <v>8.8200000000000001E-2</v>
          </cell>
        </row>
        <row r="1279">
          <cell r="F1279">
            <v>0.10929999999999999</v>
          </cell>
        </row>
        <row r="1280">
          <cell r="F1280">
            <v>0.1086</v>
          </cell>
        </row>
        <row r="1281">
          <cell r="F1281">
            <v>0.1036</v>
          </cell>
        </row>
        <row r="1282">
          <cell r="F1282">
            <v>9.7199999999999995E-2</v>
          </cell>
        </row>
        <row r="1283">
          <cell r="F1283">
            <v>9.7199999999999995E-2</v>
          </cell>
        </row>
        <row r="1284">
          <cell r="F1284">
            <v>9.6500000000000002E-2</v>
          </cell>
        </row>
        <row r="1285">
          <cell r="F1285">
            <v>9.7199999999999995E-2</v>
          </cell>
        </row>
        <row r="1286">
          <cell r="F1286">
            <v>9.6500000000000002E-2</v>
          </cell>
        </row>
        <row r="1287">
          <cell r="F1287">
            <v>9.6500000000000002E-2</v>
          </cell>
        </row>
        <row r="1288">
          <cell r="F1288">
            <v>9.5799999999999996E-2</v>
          </cell>
        </row>
        <row r="1289">
          <cell r="F1289">
            <v>9.5200000000000007E-2</v>
          </cell>
        </row>
        <row r="1290">
          <cell r="F1290">
            <v>8.1100000000000005E-2</v>
          </cell>
        </row>
        <row r="1291">
          <cell r="F1291">
            <v>6.83E-2</v>
          </cell>
        </row>
        <row r="1292">
          <cell r="F1292">
            <v>7.1099999999999997E-2</v>
          </cell>
        </row>
        <row r="1293">
          <cell r="F1293">
            <v>6.9000000000000006E-2</v>
          </cell>
        </row>
        <row r="1294">
          <cell r="F1294">
            <v>6.9000000000000006E-2</v>
          </cell>
        </row>
        <row r="1295">
          <cell r="F1295">
            <v>6.9000000000000006E-2</v>
          </cell>
        </row>
        <row r="1296">
          <cell r="F1296">
            <v>6.83E-2</v>
          </cell>
        </row>
        <row r="1297">
          <cell r="F1297">
            <v>6.83E-2</v>
          </cell>
        </row>
        <row r="1298">
          <cell r="F1298">
            <v>8.6599999999999996E-2</v>
          </cell>
        </row>
        <row r="1299">
          <cell r="F1299">
            <v>0.10009999999999999</v>
          </cell>
        </row>
        <row r="1300">
          <cell r="F1300">
            <v>0.1009</v>
          </cell>
        </row>
        <row r="1301">
          <cell r="F1301">
            <v>8.8900000000000007E-2</v>
          </cell>
        </row>
        <row r="1302">
          <cell r="F1302">
            <v>8.8200000000000001E-2</v>
          </cell>
        </row>
        <row r="1303">
          <cell r="F1303">
            <v>8.8099999999999998E-2</v>
          </cell>
        </row>
        <row r="1304">
          <cell r="F1304">
            <v>7.7499999999999999E-2</v>
          </cell>
        </row>
        <row r="1305">
          <cell r="F1305">
            <v>8.3099999999999993E-2</v>
          </cell>
        </row>
        <row r="1306">
          <cell r="F1306">
            <v>8.3799999999999999E-2</v>
          </cell>
        </row>
        <row r="1307">
          <cell r="F1307">
            <v>7.7499999999999999E-2</v>
          </cell>
        </row>
        <row r="1308">
          <cell r="F1308">
            <v>7.5300000000000006E-2</v>
          </cell>
        </row>
        <row r="1309">
          <cell r="F1309">
            <v>8.8800000000000004E-2</v>
          </cell>
        </row>
        <row r="1310">
          <cell r="F1310">
            <v>7.9600000000000004E-2</v>
          </cell>
        </row>
        <row r="1311">
          <cell r="F1311">
            <v>7.0400000000000004E-2</v>
          </cell>
        </row>
        <row r="1312">
          <cell r="F1312">
            <v>6.83E-2</v>
          </cell>
        </row>
        <row r="1313">
          <cell r="F1313">
            <v>6.9699999999999998E-2</v>
          </cell>
        </row>
        <row r="1314">
          <cell r="F1314">
            <v>4.9200000000000001E-2</v>
          </cell>
        </row>
        <row r="1315">
          <cell r="F1315">
            <v>2.5899999999999999E-2</v>
          </cell>
        </row>
        <row r="1316">
          <cell r="F1316">
            <v>6.4100000000000004E-2</v>
          </cell>
        </row>
        <row r="1317">
          <cell r="F1317">
            <v>2.7300000000000001E-2</v>
          </cell>
        </row>
        <row r="1318">
          <cell r="F1318">
            <v>5.7000000000000002E-2</v>
          </cell>
        </row>
        <row r="1319">
          <cell r="F1319">
            <v>2.6599999999999999E-2</v>
          </cell>
        </row>
        <row r="1320">
          <cell r="F1320">
            <v>2.1700000000000001E-2</v>
          </cell>
        </row>
        <row r="1321">
          <cell r="F1321">
            <v>2.5999999999999999E-3</v>
          </cell>
        </row>
        <row r="1322">
          <cell r="F1322">
            <v>2.3800000000000002E-2</v>
          </cell>
        </row>
        <row r="1323">
          <cell r="F1323">
            <v>9.3700000000000006E-2</v>
          </cell>
        </row>
        <row r="1324">
          <cell r="F1324">
            <v>9.4500000000000001E-2</v>
          </cell>
        </row>
        <row r="1325">
          <cell r="F1325">
            <v>8.1100000000000005E-2</v>
          </cell>
        </row>
        <row r="1326">
          <cell r="F1326">
            <v>8.3900000000000002E-2</v>
          </cell>
        </row>
        <row r="1327">
          <cell r="F1327">
            <v>8.3799999999999999E-2</v>
          </cell>
        </row>
        <row r="1328">
          <cell r="F1328">
            <v>7.6100000000000001E-2</v>
          </cell>
        </row>
        <row r="1329">
          <cell r="F1329">
            <v>7.5300000000000006E-2</v>
          </cell>
        </row>
        <row r="1330">
          <cell r="F1330">
            <v>7.1800000000000003E-2</v>
          </cell>
        </row>
        <row r="1331">
          <cell r="F1331">
            <v>6.9000000000000006E-2</v>
          </cell>
        </row>
        <row r="1332">
          <cell r="F1332">
            <v>9.7199999999999995E-2</v>
          </cell>
        </row>
        <row r="1333">
          <cell r="F1333">
            <v>9.7199999999999995E-2</v>
          </cell>
        </row>
        <row r="1334">
          <cell r="F1334">
            <v>9.7199999999999995E-2</v>
          </cell>
        </row>
        <row r="1335">
          <cell r="F1335">
            <v>8.4500000000000006E-2</v>
          </cell>
        </row>
        <row r="1336">
          <cell r="F1336">
            <v>8.3799999999999999E-2</v>
          </cell>
        </row>
        <row r="1337">
          <cell r="F1337">
            <v>6.4799999999999996E-2</v>
          </cell>
        </row>
        <row r="1338">
          <cell r="F1338">
            <v>6.7999999999999996E-3</v>
          </cell>
        </row>
        <row r="1339">
          <cell r="F1339">
            <v>6.7999999999999996E-3</v>
          </cell>
        </row>
        <row r="1340">
          <cell r="F1340">
            <v>6.7999999999999996E-3</v>
          </cell>
        </row>
        <row r="1341">
          <cell r="F1341">
            <v>6.7999999999999996E-3</v>
          </cell>
        </row>
        <row r="1342">
          <cell r="F1342">
            <v>6.7999999999999996E-3</v>
          </cell>
        </row>
        <row r="1343">
          <cell r="F1343">
            <v>6.7999999999999996E-3</v>
          </cell>
        </row>
        <row r="1344">
          <cell r="F1344">
            <v>3.2199999999999999E-2</v>
          </cell>
        </row>
        <row r="1345">
          <cell r="F1345">
            <v>1.14E-2</v>
          </cell>
        </row>
        <row r="1346">
          <cell r="F1346">
            <v>5.4899999999999997E-2</v>
          </cell>
        </row>
        <row r="1347">
          <cell r="F1347">
            <v>0.1009</v>
          </cell>
        </row>
        <row r="1348">
          <cell r="F1348">
            <v>9.5899999999999999E-2</v>
          </cell>
        </row>
        <row r="1349">
          <cell r="F1349">
            <v>8.8800000000000004E-2</v>
          </cell>
        </row>
        <row r="1350">
          <cell r="F1350">
            <v>8.7400000000000005E-2</v>
          </cell>
        </row>
        <row r="1351">
          <cell r="F1351">
            <v>8.7400000000000005E-2</v>
          </cell>
        </row>
        <row r="1352">
          <cell r="F1352">
            <v>8.8099999999999998E-2</v>
          </cell>
        </row>
        <row r="1353">
          <cell r="F1353">
            <v>8.9499999999999996E-2</v>
          </cell>
        </row>
        <row r="1354">
          <cell r="F1354">
            <v>9.0200000000000002E-2</v>
          </cell>
        </row>
        <row r="1355">
          <cell r="F1355">
            <v>8.9499999999999996E-2</v>
          </cell>
        </row>
        <row r="1356">
          <cell r="F1356">
            <v>9.0200000000000002E-2</v>
          </cell>
        </row>
        <row r="1357">
          <cell r="F1357">
            <v>9.0200000000000002E-2</v>
          </cell>
        </row>
        <row r="1358">
          <cell r="F1358">
            <v>8.9499999999999996E-2</v>
          </cell>
        </row>
        <row r="1359">
          <cell r="F1359">
            <v>8.8800000000000004E-2</v>
          </cell>
        </row>
        <row r="1360">
          <cell r="F1360">
            <v>9.5799999999999996E-2</v>
          </cell>
        </row>
        <row r="1361">
          <cell r="F1361">
            <v>7.8200000000000006E-2</v>
          </cell>
        </row>
        <row r="1362">
          <cell r="F1362">
            <v>3.44E-2</v>
          </cell>
        </row>
        <row r="1363">
          <cell r="F1363">
            <v>9.7000000000000003E-3</v>
          </cell>
        </row>
        <row r="1364">
          <cell r="F1364">
            <v>9.7000000000000003E-3</v>
          </cell>
        </row>
        <row r="1365">
          <cell r="F1365">
            <v>8.3000000000000001E-3</v>
          </cell>
        </row>
        <row r="1366">
          <cell r="F1366">
            <v>8.2000000000000007E-3</v>
          </cell>
        </row>
        <row r="1367">
          <cell r="F1367">
            <v>6.7999999999999996E-3</v>
          </cell>
        </row>
        <row r="1368">
          <cell r="F1368">
            <v>6.7999999999999996E-3</v>
          </cell>
        </row>
        <row r="1369">
          <cell r="F1369">
            <v>6.7999999999999996E-3</v>
          </cell>
        </row>
        <row r="1370">
          <cell r="F1370">
            <v>6.7599999999999993E-2</v>
          </cell>
        </row>
        <row r="1371">
          <cell r="F1371">
            <v>0.11559999999999999</v>
          </cell>
        </row>
        <row r="1372">
          <cell r="F1372">
            <v>9.6600000000000005E-2</v>
          </cell>
        </row>
        <row r="1373">
          <cell r="F1373">
            <v>9.3799999999999994E-2</v>
          </cell>
        </row>
        <row r="1374">
          <cell r="F1374">
            <v>9.01E-2</v>
          </cell>
        </row>
        <row r="1375">
          <cell r="F1375">
            <v>9.01E-2</v>
          </cell>
        </row>
        <row r="1376">
          <cell r="F1376">
            <v>0.10920000000000001</v>
          </cell>
        </row>
        <row r="1377">
          <cell r="F1377">
            <v>9.9400000000000002E-2</v>
          </cell>
        </row>
        <row r="1378">
          <cell r="F1378">
            <v>9.1999999999999998E-2</v>
          </cell>
        </row>
        <row r="1379">
          <cell r="F1379">
            <v>9.3399999999999997E-2</v>
          </cell>
        </row>
        <row r="1380">
          <cell r="F1380">
            <v>9.2700000000000005E-2</v>
          </cell>
        </row>
        <row r="1381">
          <cell r="F1381">
            <v>9.2700000000000005E-2</v>
          </cell>
        </row>
        <row r="1382">
          <cell r="F1382">
            <v>0.1008</v>
          </cell>
        </row>
        <row r="1383">
          <cell r="F1383">
            <v>8.7400000000000005E-2</v>
          </cell>
        </row>
        <row r="1384">
          <cell r="F1384">
            <v>8.3099999999999993E-2</v>
          </cell>
        </row>
        <row r="1385">
          <cell r="F1385">
            <v>7.3200000000000001E-2</v>
          </cell>
        </row>
        <row r="1386">
          <cell r="F1386">
            <v>6.6900000000000001E-2</v>
          </cell>
        </row>
        <row r="1387">
          <cell r="F1387">
            <v>6.3399999999999998E-2</v>
          </cell>
        </row>
        <row r="1388">
          <cell r="F1388">
            <v>6.3399999999999998E-2</v>
          </cell>
        </row>
        <row r="1389">
          <cell r="F1389">
            <v>5.9200000000000003E-2</v>
          </cell>
        </row>
        <row r="1390">
          <cell r="F1390">
            <v>5.7799999999999997E-2</v>
          </cell>
        </row>
        <row r="1391">
          <cell r="F1391">
            <v>5.7099999999999998E-2</v>
          </cell>
        </row>
        <row r="1392">
          <cell r="F1392">
            <v>5.21E-2</v>
          </cell>
        </row>
        <row r="1393">
          <cell r="F1393">
            <v>2.7400000000000001E-2</v>
          </cell>
        </row>
        <row r="1394">
          <cell r="F1394">
            <v>6.6299999999999998E-2</v>
          </cell>
        </row>
        <row r="1395">
          <cell r="F1395">
            <v>0.1178</v>
          </cell>
        </row>
        <row r="1396">
          <cell r="F1396">
            <v>9.6699999999999994E-2</v>
          </cell>
        </row>
        <row r="1397">
          <cell r="F1397">
            <v>9.3799999999999994E-2</v>
          </cell>
        </row>
        <row r="1398">
          <cell r="F1398">
            <v>9.4500000000000001E-2</v>
          </cell>
        </row>
        <row r="1399">
          <cell r="F1399">
            <v>8.9200000000000002E-2</v>
          </cell>
        </row>
        <row r="1400">
          <cell r="F1400">
            <v>9.06E-2</v>
          </cell>
        </row>
        <row r="1401">
          <cell r="F1401">
            <v>8.3500000000000005E-2</v>
          </cell>
        </row>
        <row r="1402">
          <cell r="F1402">
            <v>8.3500000000000005E-2</v>
          </cell>
        </row>
        <row r="1403">
          <cell r="F1403">
            <v>8.4199999999999997E-2</v>
          </cell>
        </row>
        <row r="1404">
          <cell r="F1404">
            <v>8.3500000000000005E-2</v>
          </cell>
        </row>
        <row r="1405">
          <cell r="F1405">
            <v>8.3500000000000005E-2</v>
          </cell>
        </row>
        <row r="1406">
          <cell r="F1406">
            <v>8.3500000000000005E-2</v>
          </cell>
        </row>
        <row r="1407">
          <cell r="F1407">
            <v>9.5799999999999996E-2</v>
          </cell>
        </row>
        <row r="1408">
          <cell r="F1408">
            <v>9.06E-2</v>
          </cell>
        </row>
        <row r="1409">
          <cell r="F1409">
            <v>7.3899999999999993E-2</v>
          </cell>
        </row>
        <row r="1410">
          <cell r="F1410">
            <v>4.5699999999999998E-2</v>
          </cell>
        </row>
        <row r="1411">
          <cell r="F1411">
            <v>3.7199999999999997E-2</v>
          </cell>
        </row>
        <row r="1412">
          <cell r="F1412">
            <v>4.1500000000000002E-2</v>
          </cell>
        </row>
        <row r="1413">
          <cell r="F1413">
            <v>3.7900000000000003E-2</v>
          </cell>
        </row>
        <row r="1414">
          <cell r="F1414">
            <v>3.5799999999999998E-2</v>
          </cell>
        </row>
        <row r="1415">
          <cell r="F1415">
            <v>1.67E-2</v>
          </cell>
        </row>
        <row r="1416">
          <cell r="F1416">
            <v>1.1999999999999999E-3</v>
          </cell>
        </row>
        <row r="1417">
          <cell r="F1417">
            <v>0</v>
          </cell>
        </row>
        <row r="1418">
          <cell r="F1418">
            <v>6.5500000000000003E-2</v>
          </cell>
        </row>
        <row r="1419">
          <cell r="F1419">
            <v>0.11</v>
          </cell>
        </row>
        <row r="1420">
          <cell r="F1420">
            <v>9.4500000000000001E-2</v>
          </cell>
        </row>
        <row r="1421">
          <cell r="F1421">
            <v>9.0200000000000002E-2</v>
          </cell>
        </row>
        <row r="1422">
          <cell r="F1422">
            <v>8.5999999999999993E-2</v>
          </cell>
        </row>
        <row r="1423">
          <cell r="F1423">
            <v>8.7400000000000005E-2</v>
          </cell>
        </row>
        <row r="1424">
          <cell r="F1424">
            <v>0.1177</v>
          </cell>
        </row>
        <row r="1425">
          <cell r="F1425">
            <v>8.9499999999999996E-2</v>
          </cell>
        </row>
        <row r="1426">
          <cell r="F1426">
            <v>6.9900000000000004E-2</v>
          </cell>
        </row>
        <row r="1427">
          <cell r="F1427">
            <v>6.7000000000000004E-2</v>
          </cell>
        </row>
        <row r="1428">
          <cell r="F1428">
            <v>6.7000000000000004E-2</v>
          </cell>
        </row>
        <row r="1429">
          <cell r="F1429">
            <v>6.7000000000000004E-2</v>
          </cell>
        </row>
        <row r="1430">
          <cell r="F1430">
            <v>7.1999999999999995E-2</v>
          </cell>
        </row>
        <row r="1431">
          <cell r="F1431">
            <v>7.1300000000000002E-2</v>
          </cell>
        </row>
        <row r="1432">
          <cell r="F1432">
            <v>7.4200000000000002E-2</v>
          </cell>
        </row>
        <row r="1433">
          <cell r="F1433">
            <v>8.2799999999999999E-2</v>
          </cell>
        </row>
        <row r="1434">
          <cell r="F1434">
            <v>6.5600000000000006E-2</v>
          </cell>
        </row>
        <row r="1435">
          <cell r="F1435">
            <v>5.7700000000000001E-2</v>
          </cell>
        </row>
        <row r="1436">
          <cell r="F1436">
            <v>5.6300000000000003E-2</v>
          </cell>
        </row>
        <row r="1437">
          <cell r="F1437">
            <v>2.5499999999999998E-2</v>
          </cell>
        </row>
        <row r="1438">
          <cell r="F1438">
            <v>6.7000000000000004E-2</v>
          </cell>
        </row>
        <row r="1439">
          <cell r="F1439">
            <v>6.0600000000000001E-2</v>
          </cell>
        </row>
        <row r="1440">
          <cell r="F1440">
            <v>5.7700000000000001E-2</v>
          </cell>
        </row>
        <row r="1441">
          <cell r="F1441">
            <v>6.2E-2</v>
          </cell>
        </row>
        <row r="1442">
          <cell r="F1442">
            <v>6.5600000000000006E-2</v>
          </cell>
        </row>
        <row r="1443">
          <cell r="F1443">
            <v>8.3500000000000005E-2</v>
          </cell>
        </row>
        <row r="1444">
          <cell r="F1444">
            <v>8.14E-2</v>
          </cell>
        </row>
        <row r="1445">
          <cell r="F1445">
            <v>0.08</v>
          </cell>
        </row>
        <row r="1446">
          <cell r="F1446">
            <v>7.85E-2</v>
          </cell>
        </row>
        <row r="1447">
          <cell r="F1447">
            <v>7.6300000000000007E-2</v>
          </cell>
        </row>
        <row r="1448">
          <cell r="F1448">
            <v>7.1300000000000002E-2</v>
          </cell>
        </row>
        <row r="1449">
          <cell r="F1449">
            <v>6.9199999999999998E-2</v>
          </cell>
        </row>
        <row r="1450">
          <cell r="F1450">
            <v>6.9900000000000004E-2</v>
          </cell>
        </row>
        <row r="1451">
          <cell r="F1451">
            <v>6.8500000000000005E-2</v>
          </cell>
        </row>
        <row r="1452">
          <cell r="F1452">
            <v>6.8500000000000005E-2</v>
          </cell>
        </row>
        <row r="1453">
          <cell r="F1453">
            <v>6.9199999999999998E-2</v>
          </cell>
        </row>
        <row r="1454">
          <cell r="F1454">
            <v>7.2700000000000001E-2</v>
          </cell>
        </row>
        <row r="1455">
          <cell r="F1455">
            <v>7.9200000000000007E-2</v>
          </cell>
        </row>
        <row r="1456">
          <cell r="F1456">
            <v>8.2799999999999999E-2</v>
          </cell>
        </row>
        <row r="1457">
          <cell r="F1457">
            <v>7.6300000000000007E-2</v>
          </cell>
        </row>
        <row r="1458">
          <cell r="F1458">
            <v>6.6299999999999998E-2</v>
          </cell>
        </row>
        <row r="1459">
          <cell r="F1459">
            <v>6.7000000000000004E-2</v>
          </cell>
        </row>
        <row r="1460">
          <cell r="F1460">
            <v>6.7000000000000004E-2</v>
          </cell>
        </row>
        <row r="1461">
          <cell r="F1461">
            <v>6.5600000000000006E-2</v>
          </cell>
        </row>
        <row r="1462">
          <cell r="F1462">
            <v>5.9200000000000003E-2</v>
          </cell>
        </row>
        <row r="1463">
          <cell r="F1463">
            <v>5.7700000000000001E-2</v>
          </cell>
        </row>
        <row r="1464">
          <cell r="F1464">
            <v>6.2700000000000006E-2</v>
          </cell>
        </row>
        <row r="1465">
          <cell r="F1465">
            <v>5.4100000000000002E-2</v>
          </cell>
        </row>
        <row r="1466">
          <cell r="F1466">
            <v>6.9199999999999998E-2</v>
          </cell>
        </row>
        <row r="1467">
          <cell r="F1467">
            <v>7.6399999999999996E-2</v>
          </cell>
        </row>
        <row r="1468">
          <cell r="F1468">
            <v>7.7100000000000002E-2</v>
          </cell>
        </row>
        <row r="1469">
          <cell r="F1469">
            <v>7.7100000000000002E-2</v>
          </cell>
        </row>
        <row r="1470">
          <cell r="F1470">
            <v>6.4899999999999999E-2</v>
          </cell>
        </row>
        <row r="1471">
          <cell r="F1471">
            <v>6.2700000000000006E-2</v>
          </cell>
        </row>
        <row r="1472">
          <cell r="F1472">
            <v>5.9900000000000002E-2</v>
          </cell>
        </row>
        <row r="1473">
          <cell r="F1473">
            <v>6.9900000000000004E-2</v>
          </cell>
        </row>
        <row r="1474">
          <cell r="F1474">
            <v>7.85E-2</v>
          </cell>
        </row>
        <row r="1475">
          <cell r="F1475">
            <v>7.4899999999999994E-2</v>
          </cell>
        </row>
        <row r="1476">
          <cell r="F1476">
            <v>7.2700000000000001E-2</v>
          </cell>
        </row>
        <row r="1477">
          <cell r="F1477">
            <v>8.7800000000000003E-2</v>
          </cell>
        </row>
        <row r="1478">
          <cell r="F1478">
            <v>9.2799999999999994E-2</v>
          </cell>
        </row>
        <row r="1479">
          <cell r="F1479">
            <v>9.06E-2</v>
          </cell>
        </row>
        <row r="1480">
          <cell r="F1480">
            <v>7.85E-2</v>
          </cell>
        </row>
        <row r="1481">
          <cell r="F1481">
            <v>6.9900000000000004E-2</v>
          </cell>
        </row>
        <row r="1482">
          <cell r="F1482">
            <v>4.7699999999999999E-2</v>
          </cell>
        </row>
        <row r="1483">
          <cell r="F1483">
            <v>0</v>
          </cell>
        </row>
        <row r="1484">
          <cell r="F1484">
            <v>1.1999999999999999E-3</v>
          </cell>
        </row>
        <row r="1485">
          <cell r="F1485">
            <v>0</v>
          </cell>
        </row>
        <row r="1486">
          <cell r="F1486">
            <v>0</v>
          </cell>
        </row>
        <row r="1487">
          <cell r="F1487">
            <v>0</v>
          </cell>
        </row>
        <row r="1488">
          <cell r="F1488">
            <v>1E-4</v>
          </cell>
        </row>
        <row r="1489">
          <cell r="F1489">
            <v>2.4899999999999999E-2</v>
          </cell>
        </row>
        <row r="1490">
          <cell r="F1490">
            <v>8.5599999999999996E-2</v>
          </cell>
        </row>
        <row r="1491">
          <cell r="F1491">
            <v>8.7800000000000003E-2</v>
          </cell>
        </row>
        <row r="1492">
          <cell r="F1492">
            <v>9.4200000000000006E-2</v>
          </cell>
        </row>
        <row r="1493">
          <cell r="F1493">
            <v>9.4200000000000006E-2</v>
          </cell>
        </row>
        <row r="1494">
          <cell r="F1494">
            <v>8.4199999999999997E-2</v>
          </cell>
        </row>
        <row r="1495">
          <cell r="F1495">
            <v>7.85E-2</v>
          </cell>
        </row>
        <row r="1496">
          <cell r="F1496">
            <v>7.0599999999999996E-2</v>
          </cell>
        </row>
        <row r="1497">
          <cell r="F1497">
            <v>6.3399999999999998E-2</v>
          </cell>
        </row>
        <row r="1498">
          <cell r="F1498">
            <v>7.1999999999999995E-2</v>
          </cell>
        </row>
        <row r="1499">
          <cell r="F1499">
            <v>6.8500000000000005E-2</v>
          </cell>
        </row>
        <row r="1500">
          <cell r="F1500">
            <v>6.6299999999999998E-2</v>
          </cell>
        </row>
        <row r="1501">
          <cell r="F1501">
            <v>6.4899999999999999E-2</v>
          </cell>
        </row>
        <row r="1502">
          <cell r="F1502">
            <v>6.4899999999999999E-2</v>
          </cell>
        </row>
        <row r="1503">
          <cell r="F1503">
            <v>6.5600000000000006E-2</v>
          </cell>
        </row>
        <row r="1504">
          <cell r="F1504">
            <v>7.4200000000000002E-2</v>
          </cell>
        </row>
        <row r="1505">
          <cell r="F1505">
            <v>7.4899999999999994E-2</v>
          </cell>
        </row>
        <row r="1506">
          <cell r="F1506">
            <v>0</v>
          </cell>
        </row>
        <row r="1507">
          <cell r="F1507">
            <v>0</v>
          </cell>
        </row>
        <row r="1508">
          <cell r="F1508">
            <v>0</v>
          </cell>
        </row>
        <row r="1509">
          <cell r="F1509">
            <v>2.5999999999999999E-3</v>
          </cell>
        </row>
        <row r="1510">
          <cell r="F1510">
            <v>0</v>
          </cell>
        </row>
        <row r="1511">
          <cell r="F1511">
            <v>0</v>
          </cell>
        </row>
        <row r="1512">
          <cell r="F1512">
            <v>1E-4</v>
          </cell>
        </row>
        <row r="1513">
          <cell r="F1513">
            <v>2.06E-2</v>
          </cell>
        </row>
        <row r="1514">
          <cell r="F1514">
            <v>5.9200000000000003E-2</v>
          </cell>
        </row>
        <row r="1515">
          <cell r="F1515">
            <v>7.6200000000000004E-2</v>
          </cell>
        </row>
        <row r="1516">
          <cell r="F1516">
            <v>7.6399999999999996E-2</v>
          </cell>
        </row>
        <row r="1517">
          <cell r="F1517">
            <v>7.85E-2</v>
          </cell>
        </row>
        <row r="1518">
          <cell r="F1518">
            <v>7.9899999999999999E-2</v>
          </cell>
        </row>
        <row r="1519">
          <cell r="F1519">
            <v>7.5600000000000001E-2</v>
          </cell>
        </row>
        <row r="1520">
          <cell r="F1520">
            <v>7.4200000000000002E-2</v>
          </cell>
        </row>
        <row r="1521">
          <cell r="F1521">
            <v>7.3499999999999996E-2</v>
          </cell>
        </row>
        <row r="1522">
          <cell r="F1522">
            <v>7.2700000000000001E-2</v>
          </cell>
        </row>
        <row r="1523">
          <cell r="F1523">
            <v>7.1300000000000002E-2</v>
          </cell>
        </row>
        <row r="1524">
          <cell r="F1524">
            <v>7.1999999999999995E-2</v>
          </cell>
        </row>
        <row r="1525">
          <cell r="F1525">
            <v>7.3499999999999996E-2</v>
          </cell>
        </row>
        <row r="1526">
          <cell r="F1526">
            <v>7.1300000000000002E-2</v>
          </cell>
        </row>
        <row r="1527">
          <cell r="F1527">
            <v>7.9899999999999999E-2</v>
          </cell>
        </row>
        <row r="1528">
          <cell r="F1528">
            <v>8.7800000000000003E-2</v>
          </cell>
        </row>
        <row r="1529">
          <cell r="F1529">
            <v>7.9899999999999999E-2</v>
          </cell>
        </row>
        <row r="1530">
          <cell r="F1530">
            <v>6.9900000000000004E-2</v>
          </cell>
        </row>
        <row r="1531">
          <cell r="F1531">
            <v>6.4899999999999999E-2</v>
          </cell>
        </row>
        <row r="1532">
          <cell r="F1532">
            <v>6.2700000000000006E-2</v>
          </cell>
        </row>
        <row r="1533">
          <cell r="F1533">
            <v>3.9800000000000002E-2</v>
          </cell>
        </row>
        <row r="1534">
          <cell r="F1534">
            <v>3.6999999999999998E-2</v>
          </cell>
        </row>
        <row r="1535">
          <cell r="F1535">
            <v>4.3900000000000002E-2</v>
          </cell>
        </row>
        <row r="1536">
          <cell r="F1536">
            <v>1.8700000000000001E-2</v>
          </cell>
        </row>
        <row r="1537">
          <cell r="F1537">
            <v>2.24E-2</v>
          </cell>
        </row>
        <row r="1538">
          <cell r="F1538">
            <v>7.6700000000000004E-2</v>
          </cell>
        </row>
        <row r="1539">
          <cell r="F1539">
            <v>9.4200000000000006E-2</v>
          </cell>
        </row>
        <row r="1540">
          <cell r="F1540">
            <v>9.9199999999999997E-2</v>
          </cell>
        </row>
        <row r="1541">
          <cell r="F1541">
            <v>0.1028</v>
          </cell>
        </row>
        <row r="1542">
          <cell r="F1542">
            <v>7.4999999999999997E-2</v>
          </cell>
        </row>
        <row r="1543">
          <cell r="F1543">
            <v>8.1299999999999997E-2</v>
          </cell>
        </row>
        <row r="1544">
          <cell r="F1544">
            <v>7.1199999999999999E-2</v>
          </cell>
        </row>
        <row r="1545">
          <cell r="F1545">
            <v>7.2700000000000001E-2</v>
          </cell>
        </row>
        <row r="1546">
          <cell r="F1546">
            <v>9.06E-2</v>
          </cell>
        </row>
        <row r="1547">
          <cell r="F1547">
            <v>8.6300000000000002E-2</v>
          </cell>
        </row>
        <row r="1548">
          <cell r="F1548">
            <v>7.1300000000000002E-2</v>
          </cell>
        </row>
        <row r="1549">
          <cell r="F1549">
            <v>7.6999999999999999E-2</v>
          </cell>
        </row>
        <row r="1550">
          <cell r="F1550">
            <v>7.85E-2</v>
          </cell>
        </row>
        <row r="1551">
          <cell r="F1551">
            <v>8.4199999999999997E-2</v>
          </cell>
        </row>
        <row r="1552">
          <cell r="F1552">
            <v>8.4900000000000003E-2</v>
          </cell>
        </row>
        <row r="1553">
          <cell r="F1553">
            <v>8.1299999999999997E-2</v>
          </cell>
        </row>
        <row r="1554">
          <cell r="F1554">
            <v>7.1300000000000002E-2</v>
          </cell>
        </row>
        <row r="1555">
          <cell r="F1555">
            <v>6.4899999999999999E-2</v>
          </cell>
        </row>
        <row r="1556">
          <cell r="F1556">
            <v>6.0900000000000003E-2</v>
          </cell>
        </row>
        <row r="1557">
          <cell r="F1557">
            <v>6.0900000000000003E-2</v>
          </cell>
        </row>
        <row r="1558">
          <cell r="F1558">
            <v>5.9499999999999997E-2</v>
          </cell>
        </row>
        <row r="1559">
          <cell r="F1559">
            <v>3.09E-2</v>
          </cell>
        </row>
        <row r="1560">
          <cell r="F1560">
            <v>3.44E-2</v>
          </cell>
        </row>
        <row r="1561">
          <cell r="F1561">
            <v>4.7500000000000001E-2</v>
          </cell>
        </row>
        <row r="1562">
          <cell r="F1562">
            <v>7.4899999999999994E-2</v>
          </cell>
        </row>
        <row r="1563">
          <cell r="F1563">
            <v>8.7099999999999997E-2</v>
          </cell>
        </row>
        <row r="1564">
          <cell r="F1564">
            <v>8.9899999999999994E-2</v>
          </cell>
        </row>
        <row r="1565">
          <cell r="F1565">
            <v>8.3799999999999999E-2</v>
          </cell>
        </row>
        <row r="1566">
          <cell r="F1566">
            <v>8.5999999999999993E-2</v>
          </cell>
        </row>
        <row r="1567">
          <cell r="F1567">
            <v>8.5000000000000006E-2</v>
          </cell>
        </row>
        <row r="1568">
          <cell r="F1568">
            <v>8.4900000000000003E-2</v>
          </cell>
        </row>
        <row r="1569">
          <cell r="F1569">
            <v>8.0600000000000005E-2</v>
          </cell>
        </row>
        <row r="1570">
          <cell r="F1570">
            <v>7.9200000000000007E-2</v>
          </cell>
        </row>
        <row r="1571">
          <cell r="F1571">
            <v>7.1999999999999995E-2</v>
          </cell>
        </row>
        <row r="1572">
          <cell r="F1572">
            <v>7.0599999999999996E-2</v>
          </cell>
        </row>
        <row r="1573">
          <cell r="F1573">
            <v>8.5599999999999996E-2</v>
          </cell>
        </row>
        <row r="1574">
          <cell r="F1574">
            <v>8.5599999999999996E-2</v>
          </cell>
        </row>
        <row r="1575">
          <cell r="F1575">
            <v>8.3500000000000005E-2</v>
          </cell>
        </row>
        <row r="1576">
          <cell r="F1576">
            <v>8.1299999999999997E-2</v>
          </cell>
        </row>
        <row r="1577">
          <cell r="F1577">
            <v>6.7799999999999999E-2</v>
          </cell>
        </row>
        <row r="1578">
          <cell r="F1578">
            <v>9.7999999999999997E-3</v>
          </cell>
        </row>
        <row r="1579">
          <cell r="F1579">
            <v>4.1999999999999997E-3</v>
          </cell>
        </row>
        <row r="1580">
          <cell r="F1580">
            <v>2.5999999999999999E-3</v>
          </cell>
        </row>
        <row r="1581">
          <cell r="F1581">
            <v>2.5999999999999999E-3</v>
          </cell>
        </row>
        <row r="1582">
          <cell r="F1582">
            <v>2.5999999999999999E-3</v>
          </cell>
        </row>
        <row r="1583">
          <cell r="F1583">
            <v>0</v>
          </cell>
        </row>
        <row r="1584">
          <cell r="F1584">
            <v>9.9000000000000008E-3</v>
          </cell>
        </row>
        <row r="1585">
          <cell r="F1585">
            <v>0</v>
          </cell>
        </row>
        <row r="1586">
          <cell r="F1586">
            <v>5.91E-2</v>
          </cell>
        </row>
        <row r="1587">
          <cell r="F1587">
            <v>8.9899999999999994E-2</v>
          </cell>
        </row>
        <row r="1588">
          <cell r="F1588">
            <v>9.06E-2</v>
          </cell>
        </row>
        <row r="1589">
          <cell r="F1589">
            <v>9.1399999999999995E-2</v>
          </cell>
        </row>
        <row r="1590">
          <cell r="F1590">
            <v>8.7099999999999997E-2</v>
          </cell>
        </row>
        <row r="1591">
          <cell r="F1591">
            <v>8.9200000000000002E-2</v>
          </cell>
        </row>
        <row r="1592">
          <cell r="F1592">
            <v>8.9200000000000002E-2</v>
          </cell>
        </row>
        <row r="1593">
          <cell r="F1593">
            <v>8.0600000000000005E-2</v>
          </cell>
        </row>
        <row r="1594">
          <cell r="F1594">
            <v>7.9200000000000007E-2</v>
          </cell>
        </row>
        <row r="1595">
          <cell r="F1595">
            <v>6.7000000000000004E-2</v>
          </cell>
        </row>
        <row r="1596">
          <cell r="F1596">
            <v>6.7000000000000004E-2</v>
          </cell>
        </row>
        <row r="1597">
          <cell r="F1597">
            <v>7.1999999999999995E-2</v>
          </cell>
        </row>
        <row r="1598">
          <cell r="F1598">
            <v>7.9899999999999999E-2</v>
          </cell>
        </row>
        <row r="1599">
          <cell r="F1599">
            <v>7.9200000000000007E-2</v>
          </cell>
        </row>
        <row r="1600">
          <cell r="F1600">
            <v>7.7799999999999994E-2</v>
          </cell>
        </row>
        <row r="1601">
          <cell r="F1601">
            <v>4.7E-2</v>
          </cell>
        </row>
        <row r="1602">
          <cell r="F1602">
            <v>1E-4</v>
          </cell>
        </row>
        <row r="1603">
          <cell r="F1603">
            <v>2.7000000000000001E-3</v>
          </cell>
        </row>
        <row r="1604">
          <cell r="F1604">
            <v>1E-4</v>
          </cell>
        </row>
        <row r="1605">
          <cell r="F1605">
            <v>1E-4</v>
          </cell>
        </row>
        <row r="1606">
          <cell r="F1606">
            <v>1E-4</v>
          </cell>
        </row>
        <row r="1607">
          <cell r="F1607">
            <v>1E-4</v>
          </cell>
        </row>
        <row r="1608">
          <cell r="F1608">
            <v>2.0000000000000001E-4</v>
          </cell>
        </row>
        <row r="1609">
          <cell r="F1609">
            <v>2.0000000000000001E-4</v>
          </cell>
        </row>
        <row r="1610">
          <cell r="F1610">
            <v>6.1499999999999999E-2</v>
          </cell>
        </row>
        <row r="1611">
          <cell r="F1611">
            <v>9.1499999999999998E-2</v>
          </cell>
        </row>
        <row r="1612">
          <cell r="F1612">
            <v>8.9300000000000004E-2</v>
          </cell>
        </row>
        <row r="1613">
          <cell r="F1613">
            <v>8.7900000000000006E-2</v>
          </cell>
        </row>
        <row r="1614">
          <cell r="F1614">
            <v>8.9499999999999996E-2</v>
          </cell>
        </row>
        <row r="1615">
          <cell r="F1615">
            <v>8.9399999999999993E-2</v>
          </cell>
        </row>
        <row r="1616">
          <cell r="F1616">
            <v>7.9200000000000007E-2</v>
          </cell>
        </row>
        <row r="1617">
          <cell r="F1617">
            <v>7.9899999999999999E-2</v>
          </cell>
        </row>
        <row r="1618">
          <cell r="F1618">
            <v>8.4199999999999997E-2</v>
          </cell>
        </row>
        <row r="1619">
          <cell r="F1619">
            <v>8.0600000000000005E-2</v>
          </cell>
        </row>
        <row r="1620">
          <cell r="F1620">
            <v>7.9899999999999999E-2</v>
          </cell>
        </row>
        <row r="1621">
          <cell r="F1621">
            <v>7.9200000000000007E-2</v>
          </cell>
        </row>
        <row r="1622">
          <cell r="F1622">
            <v>8.4199999999999997E-2</v>
          </cell>
        </row>
        <row r="1623">
          <cell r="F1623">
            <v>7.2700000000000001E-2</v>
          </cell>
        </row>
        <row r="1624">
          <cell r="F1624">
            <v>7.1999999999999995E-2</v>
          </cell>
        </row>
        <row r="1625">
          <cell r="F1625">
            <v>6.9199999999999998E-2</v>
          </cell>
        </row>
        <row r="1626">
          <cell r="F1626">
            <v>5.6300000000000003E-2</v>
          </cell>
        </row>
        <row r="1627">
          <cell r="F1627">
            <v>6.9900000000000004E-2</v>
          </cell>
        </row>
        <row r="1628">
          <cell r="F1628">
            <v>7.1300000000000002E-2</v>
          </cell>
        </row>
        <row r="1629">
          <cell r="F1629">
            <v>6.9199999999999998E-2</v>
          </cell>
        </row>
        <row r="1630">
          <cell r="F1630">
            <v>5.4199999999999998E-2</v>
          </cell>
        </row>
        <row r="1631">
          <cell r="F1631">
            <v>5.3400000000000003E-2</v>
          </cell>
        </row>
        <row r="1632">
          <cell r="F1632">
            <v>4.41E-2</v>
          </cell>
        </row>
        <row r="1633">
          <cell r="F1633">
            <v>5.1299999999999998E-2</v>
          </cell>
        </row>
        <row r="1634">
          <cell r="F1634">
            <v>6.4199999999999993E-2</v>
          </cell>
        </row>
        <row r="1635">
          <cell r="F1635">
            <v>9.4899999999999998E-2</v>
          </cell>
        </row>
        <row r="1636">
          <cell r="F1636">
            <v>8.0600000000000005E-2</v>
          </cell>
        </row>
        <row r="1637">
          <cell r="F1637">
            <v>7.4200000000000002E-2</v>
          </cell>
        </row>
        <row r="1638">
          <cell r="F1638">
            <v>7.2099999999999997E-2</v>
          </cell>
        </row>
        <row r="1639">
          <cell r="F1639">
            <v>6.0699999999999997E-2</v>
          </cell>
        </row>
        <row r="1640">
          <cell r="F1640">
            <v>5.9900000000000002E-2</v>
          </cell>
        </row>
        <row r="1641">
          <cell r="F1641">
            <v>6.7000000000000004E-2</v>
          </cell>
        </row>
        <row r="1642">
          <cell r="F1642">
            <v>6.7699999999999996E-2</v>
          </cell>
        </row>
        <row r="1643">
          <cell r="F1643">
            <v>5.7000000000000002E-2</v>
          </cell>
        </row>
        <row r="1644">
          <cell r="F1644">
            <v>5.7000000000000002E-2</v>
          </cell>
        </row>
        <row r="1645">
          <cell r="F1645">
            <v>5.8400000000000001E-2</v>
          </cell>
        </row>
        <row r="1646">
          <cell r="F1646">
            <v>6.7000000000000004E-2</v>
          </cell>
        </row>
        <row r="1647">
          <cell r="F1647">
            <v>8.1299999999999997E-2</v>
          </cell>
        </row>
        <row r="1648">
          <cell r="F1648">
            <v>8.1299999999999997E-2</v>
          </cell>
        </row>
        <row r="1649">
          <cell r="F1649">
            <v>6.2700000000000006E-2</v>
          </cell>
        </row>
        <row r="1650">
          <cell r="F1650">
            <v>6.8999999999999999E-3</v>
          </cell>
        </row>
        <row r="1651">
          <cell r="F1651">
            <v>6.8999999999999999E-3</v>
          </cell>
        </row>
        <row r="1652">
          <cell r="F1652">
            <v>8.3000000000000001E-3</v>
          </cell>
        </row>
        <row r="1653">
          <cell r="F1653">
            <v>6.8999999999999999E-3</v>
          </cell>
        </row>
        <row r="1654">
          <cell r="F1654">
            <v>1.1599999999999999E-2</v>
          </cell>
        </row>
        <row r="1655">
          <cell r="F1655">
            <v>0</v>
          </cell>
        </row>
        <row r="1656">
          <cell r="F1656">
            <v>0</v>
          </cell>
        </row>
        <row r="1657">
          <cell r="F1657">
            <v>0</v>
          </cell>
        </row>
        <row r="1658">
          <cell r="F1658">
            <v>1.8499999999999999E-2</v>
          </cell>
        </row>
        <row r="1659">
          <cell r="F1659">
            <v>0.1</v>
          </cell>
        </row>
        <row r="1660">
          <cell r="F1660">
            <v>5.1999999999999998E-2</v>
          </cell>
        </row>
        <row r="1661">
          <cell r="F1661">
            <v>7.0699999999999999E-2</v>
          </cell>
        </row>
        <row r="1662">
          <cell r="F1662">
            <v>7.4200000000000002E-2</v>
          </cell>
        </row>
        <row r="1663">
          <cell r="F1663">
            <v>7.3599999999999999E-2</v>
          </cell>
        </row>
        <row r="1664">
          <cell r="F1664">
            <v>7.4899999999999994E-2</v>
          </cell>
        </row>
        <row r="1665">
          <cell r="F1665">
            <v>7.4399999999999994E-2</v>
          </cell>
        </row>
        <row r="1666">
          <cell r="F1666">
            <v>7.6300000000000007E-2</v>
          </cell>
        </row>
        <row r="1667">
          <cell r="F1667">
            <v>7.5200000000000003E-2</v>
          </cell>
        </row>
        <row r="1668">
          <cell r="F1668">
            <v>6.6299999999999998E-2</v>
          </cell>
        </row>
        <row r="1669">
          <cell r="F1669">
            <v>7.17E-2</v>
          </cell>
        </row>
        <row r="1670">
          <cell r="F1670">
            <v>7.2700000000000001E-2</v>
          </cell>
        </row>
        <row r="1671">
          <cell r="F1671">
            <v>7.1800000000000003E-2</v>
          </cell>
        </row>
        <row r="1672">
          <cell r="F1672">
            <v>6.8500000000000005E-2</v>
          </cell>
        </row>
        <row r="1673">
          <cell r="F1673">
            <v>7.4000000000000003E-3</v>
          </cell>
        </row>
        <row r="1674">
          <cell r="F1674">
            <v>6.8999999999999999E-3</v>
          </cell>
        </row>
        <row r="1675">
          <cell r="F1675">
            <v>7.1999999999999998E-3</v>
          </cell>
        </row>
        <row r="1676">
          <cell r="F1676">
            <v>6.8999999999999999E-3</v>
          </cell>
        </row>
        <row r="1677">
          <cell r="F1677">
            <v>2.3E-2</v>
          </cell>
        </row>
        <row r="1678">
          <cell r="F1678">
            <v>0</v>
          </cell>
        </row>
        <row r="1679">
          <cell r="F1679">
            <v>1E-4</v>
          </cell>
        </row>
        <row r="1680">
          <cell r="F1680">
            <v>0</v>
          </cell>
        </row>
        <row r="1681">
          <cell r="F1681">
            <v>1E-4</v>
          </cell>
        </row>
        <row r="1682">
          <cell r="F1682">
            <v>0</v>
          </cell>
        </row>
        <row r="1683">
          <cell r="F1683">
            <v>8.5900000000000004E-2</v>
          </cell>
        </row>
        <row r="1684">
          <cell r="F1684">
            <v>8.2799999999999999E-2</v>
          </cell>
        </row>
        <row r="1685">
          <cell r="F1685">
            <v>7.4999999999999997E-2</v>
          </cell>
        </row>
        <row r="1686">
          <cell r="F1686">
            <v>7.6300000000000007E-2</v>
          </cell>
        </row>
        <row r="1687">
          <cell r="F1687">
            <v>7.5600000000000001E-2</v>
          </cell>
        </row>
        <row r="1688">
          <cell r="F1688">
            <v>7.1999999999999995E-2</v>
          </cell>
        </row>
        <row r="1689">
          <cell r="F1689">
            <v>8.7800000000000003E-2</v>
          </cell>
        </row>
        <row r="1690">
          <cell r="F1690">
            <v>7.7799999999999994E-2</v>
          </cell>
        </row>
        <row r="1691">
          <cell r="F1691">
            <v>7.6999999999999999E-2</v>
          </cell>
        </row>
        <row r="1692">
          <cell r="F1692">
            <v>7.6999999999999999E-2</v>
          </cell>
        </row>
        <row r="1693">
          <cell r="F1693">
            <v>7.6300000000000007E-2</v>
          </cell>
        </row>
        <row r="1694">
          <cell r="F1694">
            <v>7.8299999999999995E-2</v>
          </cell>
        </row>
        <row r="1695">
          <cell r="F1695">
            <v>7.7499999999999999E-2</v>
          </cell>
        </row>
        <row r="1696">
          <cell r="F1696">
            <v>7.3499999999999996E-2</v>
          </cell>
        </row>
        <row r="1697">
          <cell r="F1697">
            <v>6.5600000000000006E-2</v>
          </cell>
        </row>
        <row r="1698">
          <cell r="F1698">
            <v>1.7000000000000001E-2</v>
          </cell>
        </row>
        <row r="1699">
          <cell r="F1699">
            <v>1.6899999999999998E-2</v>
          </cell>
        </row>
        <row r="1700">
          <cell r="F1700">
            <v>9.7999999999999997E-3</v>
          </cell>
        </row>
        <row r="1701">
          <cell r="F1701">
            <v>8.3999999999999995E-3</v>
          </cell>
        </row>
        <row r="1702">
          <cell r="F1702">
            <v>6.8999999999999999E-3</v>
          </cell>
        </row>
        <row r="1703">
          <cell r="F1703">
            <v>6.8999999999999999E-3</v>
          </cell>
        </row>
        <row r="1704">
          <cell r="F1704">
            <v>2.8E-3</v>
          </cell>
        </row>
        <row r="1705">
          <cell r="F1705">
            <v>0</v>
          </cell>
        </row>
        <row r="1706">
          <cell r="F1706">
            <v>6.3700000000000007E-2</v>
          </cell>
        </row>
        <row r="1707">
          <cell r="F1707">
            <v>9.5699999999999993E-2</v>
          </cell>
        </row>
        <row r="1708">
          <cell r="F1708">
            <v>8.2100000000000006E-2</v>
          </cell>
        </row>
        <row r="1709">
          <cell r="F1709">
            <v>8.6400000000000005E-2</v>
          </cell>
        </row>
        <row r="1710">
          <cell r="F1710">
            <v>8.6400000000000005E-2</v>
          </cell>
        </row>
        <row r="1711">
          <cell r="F1711">
            <v>8.5000000000000006E-2</v>
          </cell>
        </row>
        <row r="1712">
          <cell r="F1712">
            <v>8.2100000000000006E-2</v>
          </cell>
        </row>
        <row r="1713">
          <cell r="F1713">
            <v>8.0600000000000005E-2</v>
          </cell>
        </row>
        <row r="1714">
          <cell r="F1714">
            <v>8.0100000000000005E-2</v>
          </cell>
        </row>
        <row r="1715">
          <cell r="F1715">
            <v>9.2100000000000001E-2</v>
          </cell>
        </row>
        <row r="1716">
          <cell r="F1716">
            <v>9.2100000000000001E-2</v>
          </cell>
        </row>
        <row r="1717">
          <cell r="F1717">
            <v>9.1499999999999998E-2</v>
          </cell>
        </row>
        <row r="1718">
          <cell r="F1718">
            <v>8.2199999999999995E-2</v>
          </cell>
        </row>
        <row r="1719">
          <cell r="F1719">
            <v>8.6499999999999994E-2</v>
          </cell>
        </row>
        <row r="1720">
          <cell r="F1720">
            <v>8.6499999999999994E-2</v>
          </cell>
        </row>
        <row r="1721">
          <cell r="F1721">
            <v>7.9200000000000007E-2</v>
          </cell>
        </row>
        <row r="1722">
          <cell r="F1722">
            <v>5.91E-2</v>
          </cell>
        </row>
        <row r="1723">
          <cell r="F1723">
            <v>9.7999999999999997E-3</v>
          </cell>
        </row>
        <row r="1724">
          <cell r="F1724">
            <v>2.7699999999999999E-2</v>
          </cell>
        </row>
        <row r="1725">
          <cell r="F1725">
            <v>2.3400000000000001E-2</v>
          </cell>
        </row>
        <row r="1726">
          <cell r="F1726">
            <v>9.7999999999999997E-3</v>
          </cell>
        </row>
        <row r="1727">
          <cell r="F1727">
            <v>2.2800000000000001E-2</v>
          </cell>
        </row>
        <row r="1728">
          <cell r="F1728">
            <v>5.0099999999999999E-2</v>
          </cell>
        </row>
        <row r="1729">
          <cell r="F1729">
            <v>6.5100000000000005E-2</v>
          </cell>
        </row>
        <row r="1730">
          <cell r="F1730">
            <v>8.5900000000000004E-2</v>
          </cell>
        </row>
        <row r="1731">
          <cell r="F1731">
            <v>9.0800000000000006E-2</v>
          </cell>
        </row>
        <row r="1732">
          <cell r="F1732">
            <v>8.4400000000000003E-2</v>
          </cell>
        </row>
        <row r="1733">
          <cell r="F1733">
            <v>7.6399999999999996E-2</v>
          </cell>
        </row>
        <row r="1734">
          <cell r="F1734">
            <v>7.5399999999999995E-2</v>
          </cell>
        </row>
        <row r="1735">
          <cell r="F1735">
            <v>7.4300000000000005E-2</v>
          </cell>
        </row>
        <row r="1736">
          <cell r="F1736">
            <v>8.2100000000000006E-2</v>
          </cell>
        </row>
        <row r="1737">
          <cell r="F1737">
            <v>8.6800000000000002E-2</v>
          </cell>
        </row>
        <row r="1738">
          <cell r="F1738">
            <v>8.7800000000000003E-2</v>
          </cell>
        </row>
        <row r="1739">
          <cell r="F1739">
            <v>7.5600000000000001E-2</v>
          </cell>
        </row>
        <row r="1740">
          <cell r="F1740">
            <v>7.3499999999999996E-2</v>
          </cell>
        </row>
        <row r="1741">
          <cell r="F1741">
            <v>7.3499999999999996E-2</v>
          </cell>
        </row>
        <row r="1742">
          <cell r="F1742">
            <v>9.1399999999999995E-2</v>
          </cell>
        </row>
        <row r="1743">
          <cell r="F1743">
            <v>8.9200000000000002E-2</v>
          </cell>
        </row>
        <row r="1744">
          <cell r="F1744">
            <v>8.0600000000000005E-2</v>
          </cell>
        </row>
        <row r="1745">
          <cell r="F1745">
            <v>6.2700000000000006E-2</v>
          </cell>
        </row>
        <row r="1746">
          <cell r="F1746">
            <v>1.41E-2</v>
          </cell>
        </row>
        <row r="1747">
          <cell r="F1747">
            <v>1.6899999999999998E-2</v>
          </cell>
        </row>
        <row r="1748">
          <cell r="F1748">
            <v>1.6899999999999998E-2</v>
          </cell>
        </row>
        <row r="1749">
          <cell r="F1749">
            <v>1.55E-2</v>
          </cell>
        </row>
        <row r="1750">
          <cell r="F1750">
            <v>1.4E-2</v>
          </cell>
        </row>
        <row r="1751">
          <cell r="F1751">
            <v>1.4E-2</v>
          </cell>
        </row>
        <row r="1752">
          <cell r="F1752">
            <v>0</v>
          </cell>
        </row>
        <row r="1753">
          <cell r="F1753">
            <v>0</v>
          </cell>
        </row>
        <row r="1754">
          <cell r="F1754">
            <v>6.3399999999999998E-2</v>
          </cell>
        </row>
        <row r="1755">
          <cell r="F1755">
            <v>9.35E-2</v>
          </cell>
        </row>
        <row r="1756">
          <cell r="F1756">
            <v>7.9899999999999999E-2</v>
          </cell>
        </row>
        <row r="1757">
          <cell r="F1757">
            <v>8.0600000000000005E-2</v>
          </cell>
        </row>
        <row r="1758">
          <cell r="F1758">
            <v>8.14E-2</v>
          </cell>
        </row>
        <row r="1759">
          <cell r="F1759">
            <v>8.1299999999999997E-2</v>
          </cell>
        </row>
        <row r="1760">
          <cell r="F1760">
            <v>8.0600000000000005E-2</v>
          </cell>
        </row>
        <row r="1761">
          <cell r="F1761">
            <v>8.6999999999999994E-2</v>
          </cell>
        </row>
        <row r="1762">
          <cell r="F1762">
            <v>8.77E-2</v>
          </cell>
        </row>
        <row r="1763">
          <cell r="F1763">
            <v>8.9899999999999994E-2</v>
          </cell>
        </row>
        <row r="1764">
          <cell r="F1764">
            <v>8.6300000000000002E-2</v>
          </cell>
        </row>
        <row r="1765">
          <cell r="F1765">
            <v>7.4099999999999999E-2</v>
          </cell>
        </row>
        <row r="1766">
          <cell r="F1766">
            <v>8.6300000000000002E-2</v>
          </cell>
        </row>
        <row r="1767">
          <cell r="F1767">
            <v>7.9100000000000004E-2</v>
          </cell>
        </row>
        <row r="1768">
          <cell r="F1768">
            <v>7.6999999999999999E-2</v>
          </cell>
        </row>
        <row r="1769">
          <cell r="F1769">
            <v>3.4099999999999998E-2</v>
          </cell>
        </row>
        <row r="1770">
          <cell r="F1770">
            <v>1E-4</v>
          </cell>
        </row>
        <row r="1771">
          <cell r="F1771">
            <v>1E-4</v>
          </cell>
        </row>
        <row r="1772">
          <cell r="F1772">
            <v>1E-4</v>
          </cell>
        </row>
        <row r="1773">
          <cell r="F1773">
            <v>2.0000000000000001E-4</v>
          </cell>
        </row>
        <row r="1774">
          <cell r="F1774">
            <v>1.01E-2</v>
          </cell>
        </row>
        <row r="1775">
          <cell r="F1775">
            <v>2.0000000000000001E-4</v>
          </cell>
        </row>
        <row r="1776">
          <cell r="F1776">
            <v>2.9999999999999997E-4</v>
          </cell>
        </row>
        <row r="1777">
          <cell r="F1777">
            <v>4.4999999999999997E-3</v>
          </cell>
        </row>
        <row r="1778">
          <cell r="F1778">
            <v>4.9299999999999997E-2</v>
          </cell>
        </row>
        <row r="1779">
          <cell r="F1779">
            <v>7.4300000000000005E-2</v>
          </cell>
        </row>
        <row r="1780">
          <cell r="F1780">
            <v>8.7900000000000006E-2</v>
          </cell>
        </row>
        <row r="1781">
          <cell r="F1781">
            <v>8.43E-2</v>
          </cell>
        </row>
        <row r="1782">
          <cell r="F1782">
            <v>8.5300000000000001E-2</v>
          </cell>
        </row>
        <row r="1783">
          <cell r="F1783">
            <v>8.7999999999999995E-2</v>
          </cell>
        </row>
        <row r="1784">
          <cell r="F1784">
            <v>8.3500000000000005E-2</v>
          </cell>
        </row>
        <row r="1785">
          <cell r="F1785">
            <v>8.5999999999999993E-2</v>
          </cell>
        </row>
        <row r="1786">
          <cell r="F1786">
            <v>7.8399999999999997E-2</v>
          </cell>
        </row>
        <row r="1787">
          <cell r="F1787">
            <v>7.6999999999999999E-2</v>
          </cell>
        </row>
        <row r="1788">
          <cell r="F1788">
            <v>6.9900000000000004E-2</v>
          </cell>
        </row>
        <row r="1789">
          <cell r="F1789">
            <v>6.9099999999999995E-2</v>
          </cell>
        </row>
        <row r="1790">
          <cell r="F1790">
            <v>8.3500000000000005E-2</v>
          </cell>
        </row>
        <row r="1791">
          <cell r="F1791">
            <v>8.7800000000000003E-2</v>
          </cell>
        </row>
        <row r="1792">
          <cell r="F1792">
            <v>7.1999999999999995E-2</v>
          </cell>
        </row>
        <row r="1793">
          <cell r="F1793">
            <v>5.6300000000000003E-2</v>
          </cell>
        </row>
        <row r="1794">
          <cell r="F1794">
            <v>9.7999999999999997E-3</v>
          </cell>
        </row>
        <row r="1795">
          <cell r="F1795">
            <v>9.7999999999999997E-3</v>
          </cell>
        </row>
        <row r="1796">
          <cell r="F1796">
            <v>9.7999999999999997E-3</v>
          </cell>
        </row>
        <row r="1797">
          <cell r="F1797">
            <v>9.7999999999999997E-3</v>
          </cell>
        </row>
        <row r="1798">
          <cell r="F1798">
            <v>8.3000000000000001E-3</v>
          </cell>
        </row>
        <row r="1799">
          <cell r="F1799">
            <v>8.3000000000000001E-3</v>
          </cell>
        </row>
        <row r="1800">
          <cell r="F1800">
            <v>0</v>
          </cell>
        </row>
        <row r="1801">
          <cell r="F1801">
            <v>0</v>
          </cell>
        </row>
        <row r="1802">
          <cell r="F1802">
            <v>6.13E-2</v>
          </cell>
        </row>
        <row r="1803">
          <cell r="F1803">
            <v>9.1300000000000006E-2</v>
          </cell>
        </row>
        <row r="1804">
          <cell r="F1804">
            <v>0.1007</v>
          </cell>
        </row>
        <row r="1805">
          <cell r="F1805">
            <v>7.3499999999999996E-2</v>
          </cell>
        </row>
        <row r="1806">
          <cell r="F1806">
            <v>5.8400000000000001E-2</v>
          </cell>
        </row>
        <row r="1807">
          <cell r="F1807">
            <v>5.8400000000000001E-2</v>
          </cell>
        </row>
        <row r="1808">
          <cell r="F1808">
            <v>6.2700000000000006E-2</v>
          </cell>
        </row>
        <row r="1809">
          <cell r="F1809">
            <v>6.9199999999999998E-2</v>
          </cell>
        </row>
        <row r="1810">
          <cell r="F1810">
            <v>7.5600000000000001E-2</v>
          </cell>
        </row>
        <row r="1811">
          <cell r="F1811">
            <v>7.4200000000000002E-2</v>
          </cell>
        </row>
        <row r="1812">
          <cell r="F1812">
            <v>7.4200000000000002E-2</v>
          </cell>
        </row>
        <row r="1813">
          <cell r="F1813">
            <v>7.1999999999999995E-2</v>
          </cell>
        </row>
        <row r="1814">
          <cell r="F1814">
            <v>7.1999999999999995E-2</v>
          </cell>
        </row>
        <row r="1815">
          <cell r="F1815">
            <v>7.1999999999999995E-2</v>
          </cell>
        </row>
        <row r="1816">
          <cell r="F1816">
            <v>5.91E-2</v>
          </cell>
        </row>
        <row r="1817">
          <cell r="F1817">
            <v>0</v>
          </cell>
        </row>
        <row r="1818">
          <cell r="F1818">
            <v>0</v>
          </cell>
        </row>
        <row r="1819">
          <cell r="F1819">
            <v>0</v>
          </cell>
        </row>
        <row r="1820">
          <cell r="F1820">
            <v>0</v>
          </cell>
        </row>
        <row r="1821">
          <cell r="F1821">
            <v>1.46E-2</v>
          </cell>
        </row>
        <row r="1822">
          <cell r="F1822">
            <v>0</v>
          </cell>
        </row>
        <row r="1823">
          <cell r="F1823">
            <v>0</v>
          </cell>
        </row>
        <row r="1824">
          <cell r="F1824">
            <v>0</v>
          </cell>
        </row>
        <row r="1825">
          <cell r="F1825">
            <v>0</v>
          </cell>
        </row>
        <row r="1826">
          <cell r="F1826">
            <v>0</v>
          </cell>
        </row>
        <row r="1827">
          <cell r="F1827">
            <v>5.7700000000000001E-2</v>
          </cell>
        </row>
        <row r="1828">
          <cell r="F1828">
            <v>8.4199999999999997E-2</v>
          </cell>
        </row>
        <row r="1829">
          <cell r="F1829">
            <v>7.3499999999999996E-2</v>
          </cell>
        </row>
        <row r="1830">
          <cell r="F1830">
            <v>7.4200000000000002E-2</v>
          </cell>
        </row>
        <row r="1831">
          <cell r="F1831">
            <v>7.4899999999999994E-2</v>
          </cell>
        </row>
        <row r="1832">
          <cell r="F1832">
            <v>6.6299999999999998E-2</v>
          </cell>
        </row>
        <row r="1833">
          <cell r="F1833">
            <v>6.6299999999999998E-2</v>
          </cell>
        </row>
        <row r="1834">
          <cell r="F1834">
            <v>6.6299999999999998E-2</v>
          </cell>
        </row>
        <row r="1835">
          <cell r="F1835">
            <v>6.5600000000000006E-2</v>
          </cell>
        </row>
        <row r="1836">
          <cell r="F1836">
            <v>6.7699999999999996E-2</v>
          </cell>
        </row>
        <row r="1837">
          <cell r="F1837">
            <v>6.6299999999999998E-2</v>
          </cell>
        </row>
        <row r="1838">
          <cell r="F1838">
            <v>6.7000000000000004E-2</v>
          </cell>
        </row>
        <row r="1839">
          <cell r="F1839">
            <v>8.1299999999999997E-2</v>
          </cell>
        </row>
        <row r="1840">
          <cell r="F1840">
            <v>7.3499999999999996E-2</v>
          </cell>
        </row>
        <row r="1841">
          <cell r="F1841">
            <v>1.41E-2</v>
          </cell>
        </row>
        <row r="1842">
          <cell r="F1842">
            <v>1.41E-2</v>
          </cell>
        </row>
        <row r="1843">
          <cell r="F1843">
            <v>1.41E-2</v>
          </cell>
        </row>
        <row r="1844">
          <cell r="F1844">
            <v>2.8199999999999999E-2</v>
          </cell>
        </row>
        <row r="1845">
          <cell r="F1845">
            <v>1.6299999999999999E-2</v>
          </cell>
        </row>
        <row r="1846">
          <cell r="F1846">
            <v>0</v>
          </cell>
        </row>
        <row r="1847">
          <cell r="F1847">
            <v>0</v>
          </cell>
        </row>
        <row r="1848">
          <cell r="F1848">
            <v>0</v>
          </cell>
        </row>
        <row r="1849">
          <cell r="F1849">
            <v>0</v>
          </cell>
        </row>
        <row r="1850">
          <cell r="F1850">
            <v>0</v>
          </cell>
        </row>
        <row r="1851">
          <cell r="F1851">
            <v>8.1299999999999997E-2</v>
          </cell>
        </row>
        <row r="1852">
          <cell r="F1852">
            <v>7.3499999999999996E-2</v>
          </cell>
        </row>
        <row r="1853">
          <cell r="F1853">
            <v>7.4300000000000005E-2</v>
          </cell>
        </row>
        <row r="1854">
          <cell r="F1854">
            <v>7.3599999999999999E-2</v>
          </cell>
        </row>
        <row r="1855">
          <cell r="F1855">
            <v>7.2900000000000006E-2</v>
          </cell>
        </row>
        <row r="1856">
          <cell r="F1856">
            <v>7.2800000000000004E-2</v>
          </cell>
        </row>
        <row r="1857">
          <cell r="F1857">
            <v>7.2700000000000001E-2</v>
          </cell>
        </row>
        <row r="1858">
          <cell r="F1858">
            <v>7.1300000000000002E-2</v>
          </cell>
        </row>
        <row r="1859">
          <cell r="F1859">
            <v>7.1300000000000002E-2</v>
          </cell>
        </row>
        <row r="1860">
          <cell r="F1860">
            <v>7.1300000000000002E-2</v>
          </cell>
        </row>
        <row r="1861">
          <cell r="F1861">
            <v>7.1300000000000002E-2</v>
          </cell>
        </row>
        <row r="1862">
          <cell r="F1862">
            <v>7.3499999999999996E-2</v>
          </cell>
        </row>
        <row r="1863">
          <cell r="F1863">
            <v>7.4200000000000002E-2</v>
          </cell>
        </row>
        <row r="1864">
          <cell r="F1864">
            <v>7.3499999999999996E-2</v>
          </cell>
        </row>
        <row r="1865">
          <cell r="F1865">
            <v>5.9200000000000003E-2</v>
          </cell>
        </row>
        <row r="1866">
          <cell r="F1866">
            <v>6.8999999999999999E-3</v>
          </cell>
        </row>
        <row r="1867">
          <cell r="F1867">
            <v>8.3999999999999995E-3</v>
          </cell>
        </row>
        <row r="1868">
          <cell r="F1868">
            <v>6.8999999999999999E-3</v>
          </cell>
        </row>
        <row r="1869">
          <cell r="F1869">
            <v>6.8999999999999999E-3</v>
          </cell>
        </row>
        <row r="1870">
          <cell r="F1870">
            <v>0.01</v>
          </cell>
        </row>
        <row r="1871">
          <cell r="F1871">
            <v>0</v>
          </cell>
        </row>
        <row r="1872">
          <cell r="F1872">
            <v>0</v>
          </cell>
        </row>
        <row r="1873">
          <cell r="F1873">
            <v>0</v>
          </cell>
        </row>
        <row r="1874">
          <cell r="F1874">
            <v>2.4799999999999999E-2</v>
          </cell>
        </row>
        <row r="1875">
          <cell r="F1875">
            <v>9.06E-2</v>
          </cell>
        </row>
        <row r="1876">
          <cell r="F1876">
            <v>7.9200000000000007E-2</v>
          </cell>
        </row>
        <row r="1877">
          <cell r="F1877">
            <v>8.8499999999999995E-2</v>
          </cell>
        </row>
        <row r="1878">
          <cell r="F1878">
            <v>8.9899999999999994E-2</v>
          </cell>
        </row>
        <row r="1879">
          <cell r="F1879">
            <v>9.06E-2</v>
          </cell>
        </row>
        <row r="1880">
          <cell r="F1880">
            <v>0.1021</v>
          </cell>
        </row>
        <row r="1881">
          <cell r="F1881">
            <v>9.9900000000000003E-2</v>
          </cell>
        </row>
        <row r="1882">
          <cell r="F1882">
            <v>9.7500000000000003E-2</v>
          </cell>
        </row>
        <row r="1883">
          <cell r="F1883">
            <v>8.8300000000000003E-2</v>
          </cell>
        </row>
        <row r="1884">
          <cell r="F1884">
            <v>8.0500000000000002E-2</v>
          </cell>
        </row>
        <row r="1885">
          <cell r="F1885">
            <v>8.2600000000000007E-2</v>
          </cell>
        </row>
        <row r="1886">
          <cell r="F1886">
            <v>9.4399999999999998E-2</v>
          </cell>
        </row>
        <row r="1887">
          <cell r="F1887">
            <v>9.7799999999999998E-2</v>
          </cell>
        </row>
        <row r="1888">
          <cell r="F1888">
            <v>6.9199999999999998E-2</v>
          </cell>
        </row>
        <row r="1889">
          <cell r="F1889">
            <v>6.6299999999999998E-2</v>
          </cell>
        </row>
        <row r="1890">
          <cell r="F1890">
            <v>1.7000000000000001E-2</v>
          </cell>
        </row>
        <row r="1891">
          <cell r="F1891">
            <v>2.5999999999999999E-3</v>
          </cell>
        </row>
        <row r="1892">
          <cell r="F1892">
            <v>2.5999999999999999E-3</v>
          </cell>
        </row>
        <row r="1893">
          <cell r="F1893">
            <v>1.1999999999999999E-3</v>
          </cell>
        </row>
        <row r="1894">
          <cell r="F1894">
            <v>1.1999999999999999E-3</v>
          </cell>
        </row>
        <row r="1895">
          <cell r="F1895">
            <v>1.1999999999999999E-3</v>
          </cell>
        </row>
        <row r="1896">
          <cell r="F1896">
            <v>2.4899999999999999E-2</v>
          </cell>
        </row>
        <row r="1897">
          <cell r="F1897">
            <v>2.5999999999999999E-3</v>
          </cell>
        </row>
        <row r="1898">
          <cell r="F1898">
            <v>6.7699999999999996E-2</v>
          </cell>
        </row>
        <row r="1899">
          <cell r="F1899">
            <v>9.1399999999999995E-2</v>
          </cell>
        </row>
        <row r="1900">
          <cell r="F1900">
            <v>0.1014</v>
          </cell>
        </row>
        <row r="1901">
          <cell r="F1901">
            <v>0.1014</v>
          </cell>
        </row>
        <row r="1902">
          <cell r="F1902">
            <v>7.1099999999999997E-2</v>
          </cell>
        </row>
        <row r="1903">
          <cell r="F1903">
            <v>8.3599999999999994E-2</v>
          </cell>
        </row>
        <row r="1904">
          <cell r="F1904">
            <v>7.1999999999999995E-2</v>
          </cell>
        </row>
        <row r="1905">
          <cell r="F1905">
            <v>7.7499999999999999E-2</v>
          </cell>
        </row>
        <row r="1906">
          <cell r="F1906">
            <v>8.3199999999999996E-2</v>
          </cell>
        </row>
        <row r="1907">
          <cell r="F1907">
            <v>7.0300000000000001E-2</v>
          </cell>
        </row>
        <row r="1908">
          <cell r="F1908">
            <v>7.1999999999999995E-2</v>
          </cell>
        </row>
        <row r="1909">
          <cell r="F1909">
            <v>7.1999999999999995E-2</v>
          </cell>
        </row>
        <row r="1910">
          <cell r="F1910">
            <v>7.7799999999999994E-2</v>
          </cell>
        </row>
        <row r="1911">
          <cell r="F1911">
            <v>5.9900000000000002E-2</v>
          </cell>
        </row>
        <row r="1912">
          <cell r="F1912">
            <v>5.9900000000000002E-2</v>
          </cell>
        </row>
        <row r="1913">
          <cell r="F1913">
            <v>5.5599999999999997E-2</v>
          </cell>
        </row>
        <row r="1914">
          <cell r="F1914">
            <v>1.2999999999999999E-3</v>
          </cell>
        </row>
        <row r="1915">
          <cell r="F1915">
            <v>1E-4</v>
          </cell>
        </row>
        <row r="1916">
          <cell r="F1916">
            <v>1E-4</v>
          </cell>
        </row>
        <row r="1917">
          <cell r="F1917">
            <v>9.1999999999999998E-3</v>
          </cell>
        </row>
        <row r="1918">
          <cell r="F1918">
            <v>1E-4</v>
          </cell>
        </row>
        <row r="1919">
          <cell r="F1919">
            <v>1E-4</v>
          </cell>
        </row>
        <row r="1920">
          <cell r="F1920">
            <v>1E-4</v>
          </cell>
        </row>
        <row r="1921">
          <cell r="F1921">
            <v>1E-4</v>
          </cell>
        </row>
        <row r="1922">
          <cell r="F1922">
            <v>2.5399999999999999E-2</v>
          </cell>
        </row>
        <row r="1923">
          <cell r="F1923">
            <v>7.7799999999999994E-2</v>
          </cell>
        </row>
        <row r="1924">
          <cell r="F1924">
            <v>0.08</v>
          </cell>
        </row>
        <row r="1925">
          <cell r="F1925">
            <v>7.6499999999999999E-2</v>
          </cell>
        </row>
        <row r="1926">
          <cell r="F1926">
            <v>8.0199999999999994E-2</v>
          </cell>
        </row>
        <row r="1927">
          <cell r="F1927">
            <v>7.8E-2</v>
          </cell>
        </row>
        <row r="1928">
          <cell r="F1928">
            <v>7.6300000000000007E-2</v>
          </cell>
        </row>
        <row r="1929">
          <cell r="F1929">
            <v>7.8399999999999997E-2</v>
          </cell>
        </row>
        <row r="1930">
          <cell r="F1930">
            <v>8.9899999999999994E-2</v>
          </cell>
        </row>
        <row r="1931">
          <cell r="F1931">
            <v>8.0600000000000005E-2</v>
          </cell>
        </row>
        <row r="1932">
          <cell r="F1932">
            <v>7.85E-2</v>
          </cell>
        </row>
        <row r="1933">
          <cell r="F1933">
            <v>7.9899999999999999E-2</v>
          </cell>
        </row>
        <row r="1934">
          <cell r="F1934">
            <v>7.0599999999999996E-2</v>
          </cell>
        </row>
        <row r="1935">
          <cell r="F1935">
            <v>7.2700000000000001E-2</v>
          </cell>
        </row>
        <row r="1936">
          <cell r="F1936">
            <v>6.6299999999999998E-2</v>
          </cell>
        </row>
        <row r="1937">
          <cell r="F1937">
            <v>5.9200000000000003E-2</v>
          </cell>
        </row>
        <row r="1938">
          <cell r="F1938">
            <v>2.2700000000000001E-2</v>
          </cell>
        </row>
        <row r="1939">
          <cell r="F1939">
            <v>2.5999999999999999E-3</v>
          </cell>
        </row>
        <row r="1940">
          <cell r="F1940">
            <v>2.5999999999999999E-3</v>
          </cell>
        </row>
        <row r="1941">
          <cell r="F1941">
            <v>2.5999999999999999E-3</v>
          </cell>
        </row>
        <row r="1942">
          <cell r="F1942">
            <v>2.5999999999999999E-3</v>
          </cell>
        </row>
        <row r="1943">
          <cell r="F1943">
            <v>1.1299999999999999E-2</v>
          </cell>
        </row>
        <row r="1944">
          <cell r="F1944">
            <v>2.8999999999999998E-3</v>
          </cell>
        </row>
        <row r="1945">
          <cell r="F1945">
            <v>0</v>
          </cell>
        </row>
        <row r="1946">
          <cell r="F1946">
            <v>2.5999999999999999E-3</v>
          </cell>
        </row>
        <row r="1947">
          <cell r="F1947">
            <v>8.9200000000000002E-2</v>
          </cell>
        </row>
        <row r="1948">
          <cell r="F1948">
            <v>7.6300000000000007E-2</v>
          </cell>
        </row>
        <row r="1949">
          <cell r="F1949">
            <v>7.7799999999999994E-2</v>
          </cell>
        </row>
        <row r="1950">
          <cell r="F1950">
            <v>7.9200000000000007E-2</v>
          </cell>
        </row>
        <row r="1951">
          <cell r="F1951">
            <v>7.9200000000000007E-2</v>
          </cell>
        </row>
        <row r="1952">
          <cell r="F1952">
            <v>8.1299999999999997E-2</v>
          </cell>
        </row>
        <row r="1953">
          <cell r="F1953">
            <v>9.1399999999999995E-2</v>
          </cell>
        </row>
        <row r="1954">
          <cell r="F1954">
            <v>8.9899999999999994E-2</v>
          </cell>
        </row>
        <row r="1955">
          <cell r="F1955">
            <v>8.9200000000000002E-2</v>
          </cell>
        </row>
        <row r="1956">
          <cell r="F1956">
            <v>8.0600000000000005E-2</v>
          </cell>
        </row>
        <row r="1957">
          <cell r="F1957">
            <v>9.1300000000000006E-2</v>
          </cell>
        </row>
        <row r="1958">
          <cell r="F1958">
            <v>9.2100000000000001E-2</v>
          </cell>
        </row>
        <row r="1959">
          <cell r="F1959">
            <v>9.4200000000000006E-2</v>
          </cell>
        </row>
        <row r="1960">
          <cell r="F1960">
            <v>9.1399999999999995E-2</v>
          </cell>
        </row>
        <row r="1961">
          <cell r="F1961">
            <v>7.0599999999999996E-2</v>
          </cell>
        </row>
        <row r="1962">
          <cell r="F1962">
            <v>2.7000000000000001E-3</v>
          </cell>
        </row>
        <row r="1963">
          <cell r="F1963">
            <v>2.5999999999999999E-3</v>
          </cell>
        </row>
        <row r="1964">
          <cell r="F1964">
            <v>2.5999999999999999E-3</v>
          </cell>
        </row>
        <row r="1965">
          <cell r="F1965">
            <v>2.5999999999999999E-3</v>
          </cell>
        </row>
        <row r="1966">
          <cell r="F1966">
            <v>2.29E-2</v>
          </cell>
        </row>
        <row r="1967">
          <cell r="F1967">
            <v>9.1000000000000004E-3</v>
          </cell>
        </row>
        <row r="1968">
          <cell r="F1968">
            <v>0</v>
          </cell>
        </row>
        <row r="1969">
          <cell r="F1969">
            <v>0</v>
          </cell>
        </row>
        <row r="1970">
          <cell r="F1970">
            <v>5.2699999999999997E-2</v>
          </cell>
        </row>
        <row r="1971">
          <cell r="F1971">
            <v>9.2100000000000001E-2</v>
          </cell>
        </row>
        <row r="1972">
          <cell r="F1972">
            <v>0.1028</v>
          </cell>
        </row>
        <row r="1973">
          <cell r="F1973">
            <v>0.1021</v>
          </cell>
        </row>
        <row r="1974">
          <cell r="F1974">
            <v>6.6400000000000001E-2</v>
          </cell>
        </row>
        <row r="1975">
          <cell r="F1975">
            <v>6.7100000000000007E-2</v>
          </cell>
        </row>
        <row r="1976">
          <cell r="F1976">
            <v>7.4200000000000002E-2</v>
          </cell>
        </row>
        <row r="1977">
          <cell r="F1977">
            <v>5.7000000000000002E-2</v>
          </cell>
        </row>
        <row r="1978">
          <cell r="F1978">
            <v>7.3499999999999996E-2</v>
          </cell>
        </row>
        <row r="1979">
          <cell r="F1979">
            <v>9.4200000000000006E-2</v>
          </cell>
        </row>
        <row r="1980">
          <cell r="F1980">
            <v>9.4899999999999998E-2</v>
          </cell>
        </row>
        <row r="1981">
          <cell r="F1981">
            <v>9.2799999999999994E-2</v>
          </cell>
        </row>
        <row r="1982">
          <cell r="F1982">
            <v>9.35E-2</v>
          </cell>
        </row>
        <row r="1983">
          <cell r="F1983">
            <v>7.1300000000000002E-2</v>
          </cell>
        </row>
        <row r="1984">
          <cell r="F1984">
            <v>5.7000000000000002E-2</v>
          </cell>
        </row>
        <row r="1985">
          <cell r="F1985">
            <v>0</v>
          </cell>
        </row>
        <row r="1986">
          <cell r="F1986">
            <v>0</v>
          </cell>
        </row>
        <row r="1987">
          <cell r="F1987">
            <v>2.5999999999999999E-3</v>
          </cell>
        </row>
        <row r="1988">
          <cell r="F1988">
            <v>0</v>
          </cell>
        </row>
        <row r="1989">
          <cell r="F1989">
            <v>9.1000000000000004E-3</v>
          </cell>
        </row>
        <row r="1990">
          <cell r="F1990">
            <v>0</v>
          </cell>
        </row>
        <row r="1991">
          <cell r="F1991">
            <v>0</v>
          </cell>
        </row>
        <row r="1992">
          <cell r="F1992">
            <v>0</v>
          </cell>
        </row>
        <row r="1993">
          <cell r="F1993">
            <v>0</v>
          </cell>
        </row>
        <row r="1994">
          <cell r="F1994">
            <v>3.7100000000000001E-2</v>
          </cell>
        </row>
        <row r="1995">
          <cell r="F1995">
            <v>9.64E-2</v>
          </cell>
        </row>
        <row r="1996">
          <cell r="F1996">
            <v>7.9899999999999999E-2</v>
          </cell>
        </row>
        <row r="1997">
          <cell r="F1997">
            <v>6.7799999999999999E-2</v>
          </cell>
        </row>
        <row r="1998">
          <cell r="F1998">
            <v>6.5199999999999994E-2</v>
          </cell>
        </row>
        <row r="1999">
          <cell r="F1999">
            <v>6.7799999999999999E-2</v>
          </cell>
        </row>
        <row r="2000">
          <cell r="F2000">
            <v>6.6299999999999998E-2</v>
          </cell>
        </row>
        <row r="2001">
          <cell r="F2001">
            <v>6.6299999999999998E-2</v>
          </cell>
        </row>
        <row r="2002">
          <cell r="F2002">
            <v>6.5600000000000006E-2</v>
          </cell>
        </row>
        <row r="2003">
          <cell r="F2003">
            <v>5.9400000000000001E-2</v>
          </cell>
        </row>
        <row r="2004">
          <cell r="F2004">
            <v>7.0800000000000002E-2</v>
          </cell>
        </row>
        <row r="2005">
          <cell r="F2005">
            <v>7.0099999999999996E-2</v>
          </cell>
        </row>
        <row r="2006">
          <cell r="F2006">
            <v>6.1499999999999999E-2</v>
          </cell>
        </row>
        <row r="2007">
          <cell r="F2007">
            <v>6.4199999999999993E-2</v>
          </cell>
        </row>
        <row r="2008">
          <cell r="F2008">
            <v>7.1999999999999995E-2</v>
          </cell>
        </row>
        <row r="2009">
          <cell r="F2009">
            <v>6.8999999999999999E-3</v>
          </cell>
        </row>
        <row r="2010">
          <cell r="F2010">
            <v>0</v>
          </cell>
        </row>
        <row r="2011">
          <cell r="F2011">
            <v>2.7000000000000001E-3</v>
          </cell>
        </row>
        <row r="2012">
          <cell r="F2012">
            <v>2.7000000000000001E-3</v>
          </cell>
        </row>
        <row r="2013">
          <cell r="F2013">
            <v>2.7000000000000001E-3</v>
          </cell>
        </row>
        <row r="2014">
          <cell r="F2014">
            <v>0</v>
          </cell>
        </row>
        <row r="2015">
          <cell r="F2015">
            <v>0</v>
          </cell>
        </row>
        <row r="2016">
          <cell r="F2016">
            <v>0</v>
          </cell>
        </row>
        <row r="2017">
          <cell r="F2017">
            <v>0</v>
          </cell>
        </row>
        <row r="2018">
          <cell r="F2018">
            <v>0</v>
          </cell>
        </row>
        <row r="2019">
          <cell r="F2019">
            <v>7.3499999999999996E-2</v>
          </cell>
        </row>
        <row r="2020">
          <cell r="F2020">
            <v>6.4299999999999996E-2</v>
          </cell>
        </row>
        <row r="2021">
          <cell r="F2021">
            <v>7.6499999999999999E-2</v>
          </cell>
        </row>
        <row r="2022">
          <cell r="F2022">
            <v>6.7900000000000002E-2</v>
          </cell>
        </row>
        <row r="2023">
          <cell r="F2023">
            <v>8.3599999999999994E-2</v>
          </cell>
        </row>
        <row r="2024">
          <cell r="F2024">
            <v>7.2800000000000004E-2</v>
          </cell>
        </row>
        <row r="2025">
          <cell r="F2025">
            <v>7.4200000000000002E-2</v>
          </cell>
        </row>
        <row r="2026">
          <cell r="F2026">
            <v>6.0600000000000001E-2</v>
          </cell>
        </row>
        <row r="2027">
          <cell r="F2027">
            <v>5.91E-2</v>
          </cell>
        </row>
        <row r="2028">
          <cell r="F2028">
            <v>6.0600000000000001E-2</v>
          </cell>
        </row>
        <row r="2029">
          <cell r="F2029">
            <v>5.9900000000000002E-2</v>
          </cell>
        </row>
        <row r="2030">
          <cell r="F2030">
            <v>6.4899999999999999E-2</v>
          </cell>
        </row>
        <row r="2031">
          <cell r="F2031">
            <v>6.5600000000000006E-2</v>
          </cell>
        </row>
        <row r="2032">
          <cell r="F2032">
            <v>7.1999999999999995E-2</v>
          </cell>
        </row>
        <row r="2033">
          <cell r="F2033">
            <v>6.5600000000000006E-2</v>
          </cell>
        </row>
        <row r="2034">
          <cell r="F2034">
            <v>1.6899999999999998E-2</v>
          </cell>
        </row>
        <row r="2035">
          <cell r="F2035">
            <v>1.6899999999999998E-2</v>
          </cell>
        </row>
        <row r="2036">
          <cell r="F2036">
            <v>1.55E-2</v>
          </cell>
        </row>
        <row r="2037">
          <cell r="F2037">
            <v>1.55E-2</v>
          </cell>
        </row>
        <row r="2038">
          <cell r="F2038">
            <v>1.6899999999999998E-2</v>
          </cell>
        </row>
        <row r="2039">
          <cell r="F2039">
            <v>1.41E-2</v>
          </cell>
        </row>
        <row r="2040">
          <cell r="F2040">
            <v>3.2000000000000001E-2</v>
          </cell>
        </row>
        <row r="2041">
          <cell r="F2041">
            <v>0</v>
          </cell>
        </row>
        <row r="2042">
          <cell r="F2042">
            <v>6.2700000000000006E-2</v>
          </cell>
        </row>
        <row r="2043">
          <cell r="F2043">
            <v>7.3499999999999996E-2</v>
          </cell>
        </row>
        <row r="2044">
          <cell r="F2044">
            <v>7.4200000000000002E-2</v>
          </cell>
        </row>
        <row r="2045">
          <cell r="F2045">
            <v>6.5600000000000006E-2</v>
          </cell>
        </row>
        <row r="2046">
          <cell r="F2046">
            <v>6.6400000000000001E-2</v>
          </cell>
        </row>
        <row r="2047">
          <cell r="F2047">
            <v>6.9900000000000004E-2</v>
          </cell>
        </row>
        <row r="2048">
          <cell r="F2048">
            <v>7.6300000000000007E-2</v>
          </cell>
        </row>
        <row r="2049">
          <cell r="F2049">
            <v>7.2700000000000001E-2</v>
          </cell>
        </row>
        <row r="2050">
          <cell r="F2050">
            <v>6.9199999999999998E-2</v>
          </cell>
        </row>
        <row r="2051">
          <cell r="F2051">
            <v>6.13E-2</v>
          </cell>
        </row>
        <row r="2052">
          <cell r="F2052">
            <v>6.13E-2</v>
          </cell>
        </row>
        <row r="2053">
          <cell r="F2053">
            <v>7.6999999999999999E-2</v>
          </cell>
        </row>
        <row r="2054">
          <cell r="F2054">
            <v>6.4899999999999999E-2</v>
          </cell>
        </row>
        <row r="2055">
          <cell r="F2055">
            <v>7.85E-2</v>
          </cell>
        </row>
        <row r="2056">
          <cell r="F2056">
            <v>6.3399999999999998E-2</v>
          </cell>
        </row>
        <row r="2057">
          <cell r="F2057">
            <v>1.41E-2</v>
          </cell>
        </row>
        <row r="2058">
          <cell r="F2058">
            <v>1.41E-2</v>
          </cell>
        </row>
        <row r="2059">
          <cell r="F2059">
            <v>8.3000000000000001E-3</v>
          </cell>
        </row>
        <row r="2060">
          <cell r="F2060">
            <v>1.41E-2</v>
          </cell>
        </row>
        <row r="2061">
          <cell r="F2061">
            <v>8.3000000000000001E-3</v>
          </cell>
        </row>
        <row r="2062">
          <cell r="F2062">
            <v>6.8999999999999999E-3</v>
          </cell>
        </row>
        <row r="2063">
          <cell r="F2063">
            <v>1.1599999999999999E-2</v>
          </cell>
        </row>
        <row r="2064">
          <cell r="F2064">
            <v>0</v>
          </cell>
        </row>
        <row r="2065">
          <cell r="F2065">
            <v>0</v>
          </cell>
        </row>
        <row r="2066">
          <cell r="F2066">
            <v>5.7700000000000001E-2</v>
          </cell>
        </row>
        <row r="2067">
          <cell r="F2067">
            <v>7.85E-2</v>
          </cell>
        </row>
        <row r="2068">
          <cell r="F2068">
            <v>8.0600000000000005E-2</v>
          </cell>
        </row>
        <row r="2069">
          <cell r="F2069">
            <v>7.9899999999999999E-2</v>
          </cell>
        </row>
        <row r="2070">
          <cell r="F2070">
            <v>7.7799999999999994E-2</v>
          </cell>
        </row>
        <row r="2071">
          <cell r="F2071">
            <v>7.7100000000000002E-2</v>
          </cell>
        </row>
        <row r="2072">
          <cell r="F2072">
            <v>7.9899999999999999E-2</v>
          </cell>
        </row>
        <row r="2073">
          <cell r="F2073">
            <v>7.9899999999999999E-2</v>
          </cell>
        </row>
        <row r="2074">
          <cell r="F2074">
            <v>7.3499999999999996E-2</v>
          </cell>
        </row>
        <row r="2075">
          <cell r="F2075">
            <v>7.1999999999999995E-2</v>
          </cell>
        </row>
        <row r="2076">
          <cell r="F2076">
            <v>7.2700000000000001E-2</v>
          </cell>
        </row>
        <row r="2077">
          <cell r="F2077">
            <v>7.0599999999999996E-2</v>
          </cell>
        </row>
        <row r="2078">
          <cell r="F2078">
            <v>7.6999999999999999E-2</v>
          </cell>
        </row>
        <row r="2079">
          <cell r="F2079">
            <v>7.4200000000000002E-2</v>
          </cell>
        </row>
        <row r="2080">
          <cell r="F2080">
            <v>6.4899999999999999E-2</v>
          </cell>
        </row>
        <row r="2081">
          <cell r="F2081">
            <v>5.7000000000000002E-2</v>
          </cell>
        </row>
        <row r="2082">
          <cell r="F2082">
            <v>6.8999999999999999E-3</v>
          </cell>
        </row>
        <row r="2083">
          <cell r="F2083">
            <v>9.7999999999999997E-3</v>
          </cell>
        </row>
        <row r="2084">
          <cell r="F2084">
            <v>9.7999999999999997E-3</v>
          </cell>
        </row>
        <row r="2085">
          <cell r="F2085">
            <v>9.7999999999999997E-3</v>
          </cell>
        </row>
        <row r="2086">
          <cell r="F2086">
            <v>9.7999999999999997E-3</v>
          </cell>
        </row>
        <row r="2087">
          <cell r="F2087">
            <v>6.8999999999999999E-3</v>
          </cell>
        </row>
        <row r="2088">
          <cell r="F2088">
            <v>2.1000000000000001E-2</v>
          </cell>
        </row>
        <row r="2089">
          <cell r="F2089">
            <v>0</v>
          </cell>
        </row>
        <row r="2090">
          <cell r="F2090">
            <v>6.13E-2</v>
          </cell>
        </row>
        <row r="2091">
          <cell r="F2091">
            <v>9.4899999999999998E-2</v>
          </cell>
        </row>
        <row r="2092">
          <cell r="F2092">
            <v>7.7799999999999994E-2</v>
          </cell>
        </row>
        <row r="2093">
          <cell r="F2093">
            <v>7.7100000000000002E-2</v>
          </cell>
        </row>
        <row r="2094">
          <cell r="F2094">
            <v>8.14E-2</v>
          </cell>
        </row>
        <row r="2095">
          <cell r="F2095">
            <v>7.9299999999999995E-2</v>
          </cell>
        </row>
        <row r="2096">
          <cell r="F2096">
            <v>7.6999999999999999E-2</v>
          </cell>
        </row>
        <row r="2097">
          <cell r="F2097">
            <v>8.4900000000000003E-2</v>
          </cell>
        </row>
        <row r="2098">
          <cell r="F2098">
            <v>8.2000000000000003E-2</v>
          </cell>
        </row>
        <row r="2099">
          <cell r="F2099">
            <v>7.1999999999999995E-2</v>
          </cell>
        </row>
        <row r="2100">
          <cell r="F2100">
            <v>7.1300000000000002E-2</v>
          </cell>
        </row>
        <row r="2101">
          <cell r="F2101">
            <v>7.1300000000000002E-2</v>
          </cell>
        </row>
        <row r="2102">
          <cell r="F2102">
            <v>8.0600000000000005E-2</v>
          </cell>
        </row>
        <row r="2103">
          <cell r="F2103">
            <v>7.6999999999999999E-2</v>
          </cell>
        </row>
        <row r="2104">
          <cell r="F2104">
            <v>7.6300000000000007E-2</v>
          </cell>
        </row>
        <row r="2105">
          <cell r="F2105">
            <v>7.7100000000000002E-2</v>
          </cell>
        </row>
        <row r="2106">
          <cell r="F2106">
            <v>5.9900000000000002E-2</v>
          </cell>
        </row>
        <row r="2107">
          <cell r="F2107">
            <v>5.9200000000000003E-2</v>
          </cell>
        </row>
        <row r="2108">
          <cell r="F2108">
            <v>5.9900000000000002E-2</v>
          </cell>
        </row>
        <row r="2109">
          <cell r="F2109">
            <v>1.6899999999999998E-2</v>
          </cell>
        </row>
        <row r="2110">
          <cell r="F2110">
            <v>1.6899999999999998E-2</v>
          </cell>
        </row>
        <row r="2111">
          <cell r="F2111">
            <v>3.6999999999999998E-2</v>
          </cell>
        </row>
        <row r="2112">
          <cell r="F2112">
            <v>1.41E-2</v>
          </cell>
        </row>
        <row r="2113">
          <cell r="F2113">
            <v>1.8700000000000001E-2</v>
          </cell>
        </row>
        <row r="2114">
          <cell r="F2114">
            <v>7.0599999999999996E-2</v>
          </cell>
        </row>
        <row r="2115">
          <cell r="F2115">
            <v>9.64E-2</v>
          </cell>
        </row>
        <row r="2116">
          <cell r="F2116">
            <v>8.0600000000000005E-2</v>
          </cell>
        </row>
        <row r="2117">
          <cell r="F2117">
            <v>7.6999999999999999E-2</v>
          </cell>
        </row>
        <row r="2118">
          <cell r="F2118">
            <v>7.6399999999999996E-2</v>
          </cell>
        </row>
        <row r="2119">
          <cell r="F2119">
            <v>7.85E-2</v>
          </cell>
        </row>
        <row r="2120">
          <cell r="F2120">
            <v>9.2100000000000001E-2</v>
          </cell>
        </row>
        <row r="2121">
          <cell r="F2121">
            <v>8.2000000000000003E-2</v>
          </cell>
        </row>
        <row r="2122">
          <cell r="F2122">
            <v>7.85E-2</v>
          </cell>
        </row>
        <row r="2123">
          <cell r="F2123">
            <v>7.1300000000000002E-2</v>
          </cell>
        </row>
        <row r="2124">
          <cell r="F2124">
            <v>6.5600000000000006E-2</v>
          </cell>
        </row>
        <row r="2125">
          <cell r="F2125">
            <v>6.4899999999999999E-2</v>
          </cell>
        </row>
        <row r="2126">
          <cell r="F2126">
            <v>7.0599999999999996E-2</v>
          </cell>
        </row>
        <row r="2127">
          <cell r="F2127">
            <v>8.1299999999999997E-2</v>
          </cell>
        </row>
        <row r="2128">
          <cell r="F2128">
            <v>7.6999999999999999E-2</v>
          </cell>
        </row>
        <row r="2129">
          <cell r="F2129">
            <v>0</v>
          </cell>
        </row>
        <row r="2130">
          <cell r="F2130">
            <v>0</v>
          </cell>
        </row>
        <row r="2131">
          <cell r="F2131">
            <v>0</v>
          </cell>
        </row>
        <row r="2132">
          <cell r="F2132">
            <v>0</v>
          </cell>
        </row>
        <row r="2133">
          <cell r="F2133">
            <v>1.38E-2</v>
          </cell>
        </row>
        <row r="2134">
          <cell r="F2134">
            <v>0</v>
          </cell>
        </row>
        <row r="2135">
          <cell r="F2135">
            <v>0</v>
          </cell>
        </row>
        <row r="2136">
          <cell r="F2136">
            <v>0</v>
          </cell>
        </row>
        <row r="2137">
          <cell r="F2137">
            <v>0</v>
          </cell>
        </row>
        <row r="2138">
          <cell r="F2138">
            <v>0</v>
          </cell>
        </row>
        <row r="2139">
          <cell r="F2139">
            <v>6.5600000000000006E-2</v>
          </cell>
        </row>
        <row r="2140">
          <cell r="F2140">
            <v>7.6999999999999999E-2</v>
          </cell>
        </row>
        <row r="2141">
          <cell r="F2141">
            <v>6.6299999999999998E-2</v>
          </cell>
        </row>
        <row r="2142">
          <cell r="F2142">
            <v>6.6299999999999998E-2</v>
          </cell>
        </row>
        <row r="2143">
          <cell r="F2143">
            <v>6.7000000000000004E-2</v>
          </cell>
        </row>
        <row r="2144">
          <cell r="F2144">
            <v>6.0600000000000001E-2</v>
          </cell>
        </row>
        <row r="2145">
          <cell r="F2145">
            <v>5.8400000000000001E-2</v>
          </cell>
        </row>
        <row r="2146">
          <cell r="F2146">
            <v>6.5600000000000006E-2</v>
          </cell>
        </row>
        <row r="2147">
          <cell r="F2147">
            <v>5.7700000000000001E-2</v>
          </cell>
        </row>
        <row r="2148">
          <cell r="F2148">
            <v>7.2700000000000001E-2</v>
          </cell>
        </row>
        <row r="2149">
          <cell r="F2149">
            <v>6.5299999999999997E-2</v>
          </cell>
        </row>
        <row r="2150">
          <cell r="F2150">
            <v>7.6999999999999999E-2</v>
          </cell>
        </row>
        <row r="2151">
          <cell r="F2151">
            <v>7.4200000000000002E-2</v>
          </cell>
        </row>
        <row r="2152">
          <cell r="F2152">
            <v>7.1300000000000002E-2</v>
          </cell>
        </row>
        <row r="2153">
          <cell r="F2153">
            <v>6.8999999999999999E-3</v>
          </cell>
        </row>
        <row r="2154">
          <cell r="F2154">
            <v>6.8999999999999999E-3</v>
          </cell>
        </row>
        <row r="2155">
          <cell r="F2155">
            <v>6.8999999999999999E-3</v>
          </cell>
        </row>
        <row r="2156">
          <cell r="F2156">
            <v>1.41E-2</v>
          </cell>
        </row>
        <row r="2157">
          <cell r="F2157">
            <v>6.8999999999999999E-3</v>
          </cell>
        </row>
        <row r="2158">
          <cell r="F2158">
            <v>1.41E-2</v>
          </cell>
        </row>
        <row r="2159">
          <cell r="F2159">
            <v>6.8999999999999999E-3</v>
          </cell>
        </row>
        <row r="2160">
          <cell r="F2160">
            <v>1.9300000000000001E-2</v>
          </cell>
        </row>
        <row r="2161">
          <cell r="F2161">
            <v>6.8999999999999999E-3</v>
          </cell>
        </row>
        <row r="2162">
          <cell r="F2162">
            <v>6.8999999999999999E-3</v>
          </cell>
        </row>
        <row r="2163">
          <cell r="F2163">
            <v>6.4899999999999999E-2</v>
          </cell>
        </row>
        <row r="2164">
          <cell r="F2164">
            <v>6.5600000000000006E-2</v>
          </cell>
        </row>
        <row r="2165">
          <cell r="F2165">
            <v>6.7699999999999996E-2</v>
          </cell>
        </row>
        <row r="2166">
          <cell r="F2166">
            <v>6.9199999999999998E-2</v>
          </cell>
        </row>
        <row r="2167">
          <cell r="F2167">
            <v>6.8500000000000005E-2</v>
          </cell>
        </row>
        <row r="2168">
          <cell r="F2168">
            <v>7.1999999999999995E-2</v>
          </cell>
        </row>
        <row r="2169">
          <cell r="F2169">
            <v>7.3499999999999996E-2</v>
          </cell>
        </row>
        <row r="2170">
          <cell r="F2170">
            <v>6.6400000000000001E-2</v>
          </cell>
        </row>
        <row r="2171">
          <cell r="F2171">
            <v>8.4400000000000003E-2</v>
          </cell>
        </row>
        <row r="2172">
          <cell r="F2172">
            <v>8.5900000000000004E-2</v>
          </cell>
        </row>
        <row r="2173">
          <cell r="F2173">
            <v>8.7999999999999995E-2</v>
          </cell>
        </row>
        <row r="2174">
          <cell r="F2174">
            <v>8.4400000000000003E-2</v>
          </cell>
        </row>
        <row r="2175">
          <cell r="F2175">
            <v>7.4300000000000005E-2</v>
          </cell>
        </row>
        <row r="2176">
          <cell r="F2176">
            <v>5.9900000000000002E-2</v>
          </cell>
        </row>
        <row r="2177">
          <cell r="F2177">
            <v>6.1000000000000004E-3</v>
          </cell>
        </row>
        <row r="2178">
          <cell r="F2178">
            <v>8.9999999999999993E-3</v>
          </cell>
        </row>
        <row r="2179">
          <cell r="F2179">
            <v>6.1000000000000004E-3</v>
          </cell>
        </row>
        <row r="2180">
          <cell r="F2180">
            <v>3.0200000000000001E-2</v>
          </cell>
        </row>
        <row r="2181">
          <cell r="F2181">
            <v>2.24E-2</v>
          </cell>
        </row>
        <row r="2182">
          <cell r="F2182">
            <v>0</v>
          </cell>
        </row>
        <row r="2183">
          <cell r="F2183">
            <v>0</v>
          </cell>
        </row>
        <row r="2184">
          <cell r="F2184">
            <v>0</v>
          </cell>
        </row>
        <row r="2185">
          <cell r="F2185">
            <v>0</v>
          </cell>
        </row>
        <row r="2186">
          <cell r="F2186">
            <v>2.4199999999999999E-2</v>
          </cell>
        </row>
        <row r="2187">
          <cell r="F2187">
            <v>8.7300000000000003E-2</v>
          </cell>
        </row>
        <row r="2188">
          <cell r="F2188">
            <v>0.1016</v>
          </cell>
        </row>
        <row r="2189">
          <cell r="F2189">
            <v>8.2000000000000003E-2</v>
          </cell>
        </row>
        <row r="2190">
          <cell r="F2190">
            <v>7.6899999999999996E-2</v>
          </cell>
        </row>
        <row r="2191">
          <cell r="F2191">
            <v>7.7600000000000002E-2</v>
          </cell>
        </row>
        <row r="2192">
          <cell r="F2192">
            <v>7.9799999999999996E-2</v>
          </cell>
        </row>
        <row r="2193">
          <cell r="F2193">
            <v>7.7499999999999999E-2</v>
          </cell>
        </row>
        <row r="2194">
          <cell r="F2194">
            <v>7.8600000000000003E-2</v>
          </cell>
        </row>
        <row r="2195">
          <cell r="F2195">
            <v>8.5800000000000001E-2</v>
          </cell>
        </row>
        <row r="2196">
          <cell r="F2196">
            <v>8.7300000000000003E-2</v>
          </cell>
        </row>
        <row r="2197">
          <cell r="F2197">
            <v>8.3699999999999997E-2</v>
          </cell>
        </row>
        <row r="2198">
          <cell r="F2198">
            <v>8.5900000000000004E-2</v>
          </cell>
        </row>
        <row r="2199">
          <cell r="F2199">
            <v>7.8700000000000006E-2</v>
          </cell>
        </row>
        <row r="2200">
          <cell r="F2200">
            <v>7.8700000000000006E-2</v>
          </cell>
        </row>
        <row r="2201">
          <cell r="F2201">
            <v>7.2999999999999995E-2</v>
          </cell>
        </row>
        <row r="2202">
          <cell r="F2202">
            <v>7.1999999999999998E-3</v>
          </cell>
        </row>
        <row r="2203">
          <cell r="F2203">
            <v>1.01E-2</v>
          </cell>
        </row>
        <row r="2204">
          <cell r="F2204">
            <v>1.01E-2</v>
          </cell>
        </row>
        <row r="2205">
          <cell r="F2205">
            <v>1.01E-2</v>
          </cell>
        </row>
        <row r="2206">
          <cell r="F2206">
            <v>0</v>
          </cell>
        </row>
        <row r="2207">
          <cell r="F2207">
            <v>8.3999999999999995E-3</v>
          </cell>
        </row>
        <row r="2208">
          <cell r="F2208">
            <v>0</v>
          </cell>
        </row>
        <row r="2209">
          <cell r="F2209">
            <v>0</v>
          </cell>
        </row>
        <row r="2210">
          <cell r="F2210">
            <v>1.35E-2</v>
          </cell>
        </row>
        <row r="2211">
          <cell r="F2211">
            <v>9.5899999999999999E-2</v>
          </cell>
        </row>
        <row r="2212">
          <cell r="F2212">
            <v>6.4699999999999994E-2</v>
          </cell>
        </row>
        <row r="2213">
          <cell r="F2213">
            <v>5.8999999999999997E-2</v>
          </cell>
        </row>
        <row r="2214">
          <cell r="F2214">
            <v>5.8999999999999997E-2</v>
          </cell>
        </row>
        <row r="2215">
          <cell r="F2215">
            <v>5.9700000000000003E-2</v>
          </cell>
        </row>
        <row r="2216">
          <cell r="F2216">
            <v>9.2999999999999999E-2</v>
          </cell>
        </row>
        <row r="2217">
          <cell r="F2217">
            <v>7.6899999999999996E-2</v>
          </cell>
        </row>
        <row r="2218">
          <cell r="F2218">
            <v>0.1031</v>
          </cell>
        </row>
        <row r="2219">
          <cell r="F2219">
            <v>8.2299999999999998E-2</v>
          </cell>
        </row>
        <row r="2220">
          <cell r="F2220">
            <v>8.1500000000000003E-2</v>
          </cell>
        </row>
        <row r="2221">
          <cell r="F2221">
            <v>9.3700000000000006E-2</v>
          </cell>
        </row>
        <row r="2222">
          <cell r="F2222">
            <v>5.6099999999999997E-2</v>
          </cell>
        </row>
        <row r="2223">
          <cell r="F2223">
            <v>4.82E-2</v>
          </cell>
        </row>
        <row r="2224">
          <cell r="F2224">
            <v>6.1800000000000001E-2</v>
          </cell>
        </row>
        <row r="2225">
          <cell r="F2225">
            <v>8.0999999999999996E-3</v>
          </cell>
        </row>
        <row r="2226">
          <cell r="F2226">
            <v>1E-4</v>
          </cell>
        </row>
        <row r="2227">
          <cell r="F2227">
            <v>1E-4</v>
          </cell>
        </row>
        <row r="2228">
          <cell r="F2228">
            <v>2.2700000000000001E-2</v>
          </cell>
        </row>
        <row r="2229">
          <cell r="F2229">
            <v>1.03E-2</v>
          </cell>
        </row>
        <row r="2230">
          <cell r="F2230">
            <v>0</v>
          </cell>
        </row>
        <row r="2231">
          <cell r="F2231">
            <v>0</v>
          </cell>
        </row>
        <row r="2232">
          <cell r="F2232">
            <v>0</v>
          </cell>
        </row>
        <row r="2233">
          <cell r="F2233">
            <v>0</v>
          </cell>
        </row>
        <row r="2234">
          <cell r="F2234">
            <v>0</v>
          </cell>
        </row>
        <row r="2235">
          <cell r="F2235">
            <v>7.6899999999999996E-2</v>
          </cell>
        </row>
        <row r="2236">
          <cell r="F2236">
            <v>6.6299999999999998E-2</v>
          </cell>
        </row>
        <row r="2237">
          <cell r="F2237">
            <v>7.3599999999999999E-2</v>
          </cell>
        </row>
        <row r="2238">
          <cell r="F2238">
            <v>7.1400000000000005E-2</v>
          </cell>
        </row>
        <row r="2239">
          <cell r="F2239">
            <v>6.7100000000000007E-2</v>
          </cell>
        </row>
        <row r="2240">
          <cell r="F2240">
            <v>7.3400000000000007E-2</v>
          </cell>
        </row>
        <row r="2241">
          <cell r="F2241">
            <v>7.6999999999999999E-2</v>
          </cell>
        </row>
        <row r="2242">
          <cell r="F2242">
            <v>7.51E-2</v>
          </cell>
        </row>
        <row r="2243">
          <cell r="F2243">
            <v>6.7199999999999996E-2</v>
          </cell>
        </row>
        <row r="2244">
          <cell r="F2244">
            <v>6.7599999999999993E-2</v>
          </cell>
        </row>
        <row r="2245">
          <cell r="F2245">
            <v>6.7699999999999996E-2</v>
          </cell>
        </row>
        <row r="2246">
          <cell r="F2246">
            <v>6.9800000000000001E-2</v>
          </cell>
        </row>
        <row r="2247">
          <cell r="F2247">
            <v>7.3400000000000007E-2</v>
          </cell>
        </row>
        <row r="2248">
          <cell r="F2248">
            <v>6.4000000000000001E-2</v>
          </cell>
        </row>
        <row r="2249">
          <cell r="F2249">
            <v>8.0000000000000002E-3</v>
          </cell>
        </row>
        <row r="2250">
          <cell r="F2250">
            <v>0</v>
          </cell>
        </row>
        <row r="2251">
          <cell r="F2251">
            <v>0</v>
          </cell>
        </row>
        <row r="2252">
          <cell r="F2252">
            <v>1.4999999999999999E-2</v>
          </cell>
        </row>
        <row r="2253">
          <cell r="F2253">
            <v>1.0200000000000001E-2</v>
          </cell>
        </row>
        <row r="2254">
          <cell r="F2254">
            <v>0</v>
          </cell>
        </row>
        <row r="2255">
          <cell r="F2255">
            <v>0</v>
          </cell>
        </row>
        <row r="2256">
          <cell r="F2256">
            <v>0</v>
          </cell>
        </row>
        <row r="2257">
          <cell r="F2257">
            <v>0</v>
          </cell>
        </row>
        <row r="2258">
          <cell r="F2258">
            <v>1.0500000000000001E-2</v>
          </cell>
        </row>
        <row r="2259">
          <cell r="F2259">
            <v>9.3700000000000006E-2</v>
          </cell>
        </row>
        <row r="2260">
          <cell r="F2260">
            <v>9.1600000000000001E-2</v>
          </cell>
        </row>
        <row r="2261">
          <cell r="F2261">
            <v>8.8700000000000001E-2</v>
          </cell>
        </row>
        <row r="2262">
          <cell r="F2262">
            <v>9.0200000000000002E-2</v>
          </cell>
        </row>
        <row r="2263">
          <cell r="F2263">
            <v>9.0200000000000002E-2</v>
          </cell>
        </row>
        <row r="2264">
          <cell r="F2264">
            <v>7.8399999999999997E-2</v>
          </cell>
        </row>
        <row r="2265">
          <cell r="F2265">
            <v>8.1900000000000001E-2</v>
          </cell>
        </row>
        <row r="2266">
          <cell r="F2266">
            <v>7.3999999999999996E-2</v>
          </cell>
        </row>
        <row r="2267">
          <cell r="F2267">
            <v>9.2299999999999993E-2</v>
          </cell>
        </row>
        <row r="2268">
          <cell r="F2268">
            <v>9.2999999999999999E-2</v>
          </cell>
        </row>
        <row r="2269">
          <cell r="F2269">
            <v>8.1199999999999994E-2</v>
          </cell>
        </row>
        <row r="2270">
          <cell r="F2270">
            <v>8.0699999999999994E-2</v>
          </cell>
        </row>
        <row r="2271">
          <cell r="F2271">
            <v>7.7100000000000002E-2</v>
          </cell>
        </row>
        <row r="2272">
          <cell r="F2272">
            <v>6.9000000000000006E-2</v>
          </cell>
        </row>
        <row r="2273">
          <cell r="F2273">
            <v>8.0000000000000002E-3</v>
          </cell>
        </row>
        <row r="2274">
          <cell r="F2274">
            <v>0</v>
          </cell>
        </row>
        <row r="2275">
          <cell r="F2275">
            <v>0</v>
          </cell>
        </row>
        <row r="2276">
          <cell r="F2276">
            <v>1.3299999999999999E-2</v>
          </cell>
        </row>
        <row r="2277">
          <cell r="F2277">
            <v>1E-4</v>
          </cell>
        </row>
        <row r="2278">
          <cell r="F2278">
            <v>1E-4</v>
          </cell>
        </row>
        <row r="2279">
          <cell r="F2279">
            <v>1E-4</v>
          </cell>
        </row>
        <row r="2280">
          <cell r="F2280">
            <v>1E-4</v>
          </cell>
        </row>
        <row r="2281">
          <cell r="F2281">
            <v>1E-4</v>
          </cell>
        </row>
        <row r="2282">
          <cell r="F2282">
            <v>0</v>
          </cell>
        </row>
        <row r="2283">
          <cell r="F2283">
            <v>8.2199999999999995E-2</v>
          </cell>
        </row>
        <row r="2284">
          <cell r="F2284">
            <v>6.4299999999999996E-2</v>
          </cell>
        </row>
        <row r="2285">
          <cell r="F2285">
            <v>6.4399999999999999E-2</v>
          </cell>
        </row>
        <row r="2286">
          <cell r="F2286">
            <v>7.3800000000000004E-2</v>
          </cell>
        </row>
        <row r="2287">
          <cell r="F2287">
            <v>6.6600000000000006E-2</v>
          </cell>
        </row>
        <row r="2288">
          <cell r="F2288">
            <v>8.2699999999999996E-2</v>
          </cell>
        </row>
        <row r="2289">
          <cell r="F2289">
            <v>7.9100000000000004E-2</v>
          </cell>
        </row>
        <row r="2290">
          <cell r="F2290">
            <v>7.9799999999999996E-2</v>
          </cell>
        </row>
        <row r="2291">
          <cell r="F2291">
            <v>7.3300000000000004E-2</v>
          </cell>
        </row>
        <row r="2292">
          <cell r="F2292">
            <v>7.2900000000000006E-2</v>
          </cell>
        </row>
        <row r="2293">
          <cell r="F2293">
            <v>7.8E-2</v>
          </cell>
        </row>
        <row r="2294">
          <cell r="F2294">
            <v>6.8599999999999994E-2</v>
          </cell>
        </row>
        <row r="2295">
          <cell r="F2295">
            <v>0.08</v>
          </cell>
        </row>
        <row r="2296">
          <cell r="F2296">
            <v>7.9299999999999995E-2</v>
          </cell>
        </row>
        <row r="2297">
          <cell r="F2297">
            <v>7.8E-2</v>
          </cell>
        </row>
        <row r="2298">
          <cell r="F2298">
            <v>6.5100000000000005E-2</v>
          </cell>
        </row>
        <row r="2299">
          <cell r="F2299">
            <v>0.05</v>
          </cell>
        </row>
        <row r="2300">
          <cell r="F2300">
            <v>2.7000000000000001E-3</v>
          </cell>
        </row>
        <row r="2301">
          <cell r="F2301">
            <v>2.7000000000000001E-3</v>
          </cell>
        </row>
        <row r="2302">
          <cell r="F2302">
            <v>2.7000000000000001E-3</v>
          </cell>
        </row>
        <row r="2303">
          <cell r="F2303">
            <v>2.7000000000000001E-3</v>
          </cell>
        </row>
        <row r="2304">
          <cell r="F2304">
            <v>2.7000000000000001E-3</v>
          </cell>
        </row>
        <row r="2305">
          <cell r="F2305">
            <v>1.9400000000000001E-2</v>
          </cell>
        </row>
        <row r="2306">
          <cell r="F2306">
            <v>1.8200000000000001E-2</v>
          </cell>
        </row>
        <row r="2307">
          <cell r="F2307">
            <v>6.5799999999999997E-2</v>
          </cell>
        </row>
        <row r="2308">
          <cell r="F2308">
            <v>8.0199999999999994E-2</v>
          </cell>
        </row>
        <row r="2309">
          <cell r="F2309">
            <v>6.8699999999999997E-2</v>
          </cell>
        </row>
        <row r="2310">
          <cell r="F2310">
            <v>7.0199999999999999E-2</v>
          </cell>
        </row>
        <row r="2311">
          <cell r="F2311">
            <v>7.1599999999999997E-2</v>
          </cell>
        </row>
        <row r="2312">
          <cell r="F2312">
            <v>7.0800000000000002E-2</v>
          </cell>
        </row>
        <row r="2313">
          <cell r="F2313">
            <v>6.6500000000000004E-2</v>
          </cell>
        </row>
        <row r="2314">
          <cell r="F2314">
            <v>7.2900000000000006E-2</v>
          </cell>
        </row>
        <row r="2315">
          <cell r="F2315">
            <v>6.7199999999999996E-2</v>
          </cell>
        </row>
        <row r="2316">
          <cell r="F2316">
            <v>7.4399999999999994E-2</v>
          </cell>
        </row>
        <row r="2317">
          <cell r="F2317">
            <v>7.5800000000000006E-2</v>
          </cell>
        </row>
        <row r="2318">
          <cell r="F2318">
            <v>7.4399999999999994E-2</v>
          </cell>
        </row>
        <row r="2319">
          <cell r="F2319">
            <v>7.6499999999999999E-2</v>
          </cell>
        </row>
        <row r="2320">
          <cell r="F2320">
            <v>5.5E-2</v>
          </cell>
        </row>
        <row r="2321">
          <cell r="F2321">
            <v>0</v>
          </cell>
        </row>
        <row r="2322">
          <cell r="F2322">
            <v>0</v>
          </cell>
        </row>
        <row r="2323">
          <cell r="F2323">
            <v>0</v>
          </cell>
        </row>
        <row r="2324">
          <cell r="F2324">
            <v>0</v>
          </cell>
        </row>
        <row r="2325">
          <cell r="F2325">
            <v>0.01</v>
          </cell>
        </row>
        <row r="2326">
          <cell r="F2326">
            <v>0</v>
          </cell>
        </row>
        <row r="2327">
          <cell r="F2327">
            <v>1E-4</v>
          </cell>
        </row>
        <row r="2328">
          <cell r="F2328">
            <v>1E-4</v>
          </cell>
        </row>
        <row r="2329">
          <cell r="F2329">
            <v>1E-4</v>
          </cell>
        </row>
        <row r="2330">
          <cell r="F2330">
            <v>1.41E-2</v>
          </cell>
        </row>
        <row r="2331">
          <cell r="F2331">
            <v>5.7200000000000001E-2</v>
          </cell>
        </row>
        <row r="2332">
          <cell r="F2332">
            <v>7.6499999999999999E-2</v>
          </cell>
        </row>
        <row r="2333">
          <cell r="F2333">
            <v>5.3600000000000002E-2</v>
          </cell>
        </row>
        <row r="2334">
          <cell r="F2334">
            <v>5.4399999999999997E-2</v>
          </cell>
        </row>
        <row r="2335">
          <cell r="F2335">
            <v>5.8700000000000002E-2</v>
          </cell>
        </row>
        <row r="2336">
          <cell r="F2336">
            <v>6.4299999999999996E-2</v>
          </cell>
        </row>
        <row r="2337">
          <cell r="F2337">
            <v>6.5799999999999997E-2</v>
          </cell>
        </row>
        <row r="2338">
          <cell r="F2338">
            <v>7.0099999999999996E-2</v>
          </cell>
        </row>
        <row r="2339">
          <cell r="F2339">
            <v>8.0100000000000005E-2</v>
          </cell>
        </row>
        <row r="2340">
          <cell r="F2340">
            <v>7.7200000000000005E-2</v>
          </cell>
        </row>
        <row r="2341">
          <cell r="F2341">
            <v>7.7200000000000005E-2</v>
          </cell>
        </row>
        <row r="2342">
          <cell r="F2342">
            <v>7.22E-2</v>
          </cell>
        </row>
        <row r="2343">
          <cell r="F2343">
            <v>6.5000000000000002E-2</v>
          </cell>
        </row>
        <row r="2344">
          <cell r="F2344">
            <v>6.4299999999999996E-2</v>
          </cell>
        </row>
        <row r="2345">
          <cell r="F2345">
            <v>6.8999999999999999E-3</v>
          </cell>
        </row>
        <row r="2346">
          <cell r="F2346">
            <v>6.8999999999999999E-3</v>
          </cell>
        </row>
        <row r="2347">
          <cell r="F2347">
            <v>9.7999999999999997E-3</v>
          </cell>
        </row>
        <row r="2348">
          <cell r="F2348">
            <v>1.6299999999999999E-2</v>
          </cell>
        </row>
        <row r="2349">
          <cell r="F2349">
            <v>2.7799999999999998E-2</v>
          </cell>
        </row>
        <row r="2350">
          <cell r="F2350">
            <v>0</v>
          </cell>
        </row>
        <row r="2351">
          <cell r="F2351">
            <v>0</v>
          </cell>
        </row>
        <row r="2352">
          <cell r="F2352">
            <v>0</v>
          </cell>
        </row>
        <row r="2353">
          <cell r="F2353">
            <v>0</v>
          </cell>
        </row>
        <row r="2354">
          <cell r="F2354">
            <v>1.3899999999999999E-2</v>
          </cell>
        </row>
        <row r="2355">
          <cell r="F2355">
            <v>7.0800000000000002E-2</v>
          </cell>
        </row>
        <row r="2356">
          <cell r="F2356">
            <v>7.5800000000000006E-2</v>
          </cell>
        </row>
        <row r="2357">
          <cell r="F2357">
            <v>7.1499999999999994E-2</v>
          </cell>
        </row>
        <row r="2358">
          <cell r="F2358">
            <v>7.3700000000000002E-2</v>
          </cell>
        </row>
        <row r="2359">
          <cell r="F2359">
            <v>7.51E-2</v>
          </cell>
        </row>
        <row r="2360">
          <cell r="F2360">
            <v>8.1600000000000006E-2</v>
          </cell>
        </row>
        <row r="2361">
          <cell r="F2361">
            <v>7.6499999999999999E-2</v>
          </cell>
        </row>
        <row r="2362">
          <cell r="F2362">
            <v>8.0199999999999994E-2</v>
          </cell>
        </row>
        <row r="2363">
          <cell r="F2363">
            <v>8.9499999999999996E-2</v>
          </cell>
        </row>
        <row r="2364">
          <cell r="F2364">
            <v>7.8E-2</v>
          </cell>
        </row>
        <row r="2365">
          <cell r="F2365">
            <v>8.7300000000000003E-2</v>
          </cell>
        </row>
        <row r="2366">
          <cell r="F2366">
            <v>8.1600000000000006E-2</v>
          </cell>
        </row>
        <row r="2367">
          <cell r="F2367">
            <v>7.9399999999999998E-2</v>
          </cell>
        </row>
        <row r="2368">
          <cell r="F2368">
            <v>7.7299999999999994E-2</v>
          </cell>
        </row>
        <row r="2369">
          <cell r="F2369">
            <v>1.41E-2</v>
          </cell>
        </row>
        <row r="2370">
          <cell r="F2370">
            <v>7.0000000000000001E-3</v>
          </cell>
        </row>
        <row r="2371">
          <cell r="F2371">
            <v>9.7999999999999997E-3</v>
          </cell>
        </row>
        <row r="2372">
          <cell r="F2372">
            <v>6.8999999999999999E-3</v>
          </cell>
        </row>
        <row r="2373">
          <cell r="F2373">
            <v>9.7999999999999997E-3</v>
          </cell>
        </row>
        <row r="2374">
          <cell r="F2374">
            <v>1.9300000000000001E-2</v>
          </cell>
        </row>
        <row r="2375">
          <cell r="F2375">
            <v>0</v>
          </cell>
        </row>
        <row r="2376">
          <cell r="F2376">
            <v>0</v>
          </cell>
        </row>
        <row r="2377">
          <cell r="F2377">
            <v>0</v>
          </cell>
        </row>
        <row r="2378">
          <cell r="F2378">
            <v>0</v>
          </cell>
        </row>
        <row r="2379">
          <cell r="F2379">
            <v>8.7999999999999995E-2</v>
          </cell>
        </row>
        <row r="2380">
          <cell r="F2380">
            <v>7.6600000000000001E-2</v>
          </cell>
        </row>
        <row r="2381">
          <cell r="F2381">
            <v>7.8700000000000006E-2</v>
          </cell>
        </row>
        <row r="2382">
          <cell r="F2382">
            <v>6.7299999999999999E-2</v>
          </cell>
        </row>
        <row r="2383">
          <cell r="F2383">
            <v>6.3700000000000007E-2</v>
          </cell>
        </row>
        <row r="2384">
          <cell r="F2384">
            <v>7.8E-2</v>
          </cell>
        </row>
        <row r="2385">
          <cell r="F2385">
            <v>8.5099999999999995E-2</v>
          </cell>
        </row>
        <row r="2386">
          <cell r="F2386">
            <v>7.2900000000000006E-2</v>
          </cell>
        </row>
        <row r="2387">
          <cell r="F2387">
            <v>9.1600000000000001E-2</v>
          </cell>
        </row>
        <row r="2388">
          <cell r="F2388">
            <v>9.1600000000000001E-2</v>
          </cell>
        </row>
        <row r="2389">
          <cell r="F2389">
            <v>8.0100000000000005E-2</v>
          </cell>
        </row>
        <row r="2390">
          <cell r="F2390">
            <v>7.4499999999999997E-2</v>
          </cell>
        </row>
        <row r="2391">
          <cell r="F2391">
            <v>7.6600000000000001E-2</v>
          </cell>
        </row>
        <row r="2392">
          <cell r="F2392">
            <v>7.3700000000000002E-2</v>
          </cell>
        </row>
        <row r="2393">
          <cell r="F2393">
            <v>1.41E-2</v>
          </cell>
        </row>
        <row r="2394">
          <cell r="F2394">
            <v>6.8999999999999999E-3</v>
          </cell>
        </row>
        <row r="2395">
          <cell r="F2395">
            <v>6.8999999999999999E-3</v>
          </cell>
        </row>
        <row r="2396">
          <cell r="F2396">
            <v>6.8999999999999999E-3</v>
          </cell>
        </row>
        <row r="2397">
          <cell r="F2397">
            <v>1.1599999999999999E-2</v>
          </cell>
        </row>
        <row r="2398">
          <cell r="F2398">
            <v>0</v>
          </cell>
        </row>
        <row r="2399">
          <cell r="F2399">
            <v>0</v>
          </cell>
        </row>
        <row r="2400">
          <cell r="F2400">
            <v>0</v>
          </cell>
        </row>
        <row r="2401">
          <cell r="F2401">
            <v>0</v>
          </cell>
        </row>
        <row r="2402">
          <cell r="F2402">
            <v>1.06E-2</v>
          </cell>
        </row>
        <row r="2403">
          <cell r="F2403">
            <v>8.7999999999999995E-2</v>
          </cell>
        </row>
        <row r="2404">
          <cell r="F2404">
            <v>9.5899999999999999E-2</v>
          </cell>
        </row>
        <row r="2405">
          <cell r="F2405">
            <v>9.9500000000000005E-2</v>
          </cell>
        </row>
        <row r="2406">
          <cell r="F2406">
            <v>7.8E-2</v>
          </cell>
        </row>
        <row r="2407">
          <cell r="F2407">
            <v>7.3700000000000002E-2</v>
          </cell>
        </row>
        <row r="2408">
          <cell r="F2408">
            <v>8.0799999999999997E-2</v>
          </cell>
        </row>
        <row r="2409">
          <cell r="F2409">
            <v>7.9399999999999998E-2</v>
          </cell>
        </row>
        <row r="2410">
          <cell r="F2410">
            <v>8.4400000000000003E-2</v>
          </cell>
        </row>
        <row r="2411">
          <cell r="F2411">
            <v>8.9399999999999993E-2</v>
          </cell>
        </row>
        <row r="2412">
          <cell r="F2412">
            <v>8.5900000000000004E-2</v>
          </cell>
        </row>
        <row r="2413">
          <cell r="F2413">
            <v>8.8700000000000001E-2</v>
          </cell>
        </row>
        <row r="2414">
          <cell r="F2414">
            <v>0.1434</v>
          </cell>
        </row>
        <row r="2415">
          <cell r="F2415">
            <v>6.3600000000000004E-2</v>
          </cell>
        </row>
        <row r="2416">
          <cell r="F2416">
            <v>6.4299999999999996E-2</v>
          </cell>
        </row>
        <row r="2417">
          <cell r="F2417">
            <v>3.2099999999999997E-2</v>
          </cell>
        </row>
        <row r="2418">
          <cell r="F2418">
            <v>6.8999999999999999E-3</v>
          </cell>
        </row>
        <row r="2419">
          <cell r="F2419">
            <v>6.8999999999999999E-3</v>
          </cell>
        </row>
        <row r="2420">
          <cell r="F2420">
            <v>6.8999999999999999E-3</v>
          </cell>
        </row>
        <row r="2421">
          <cell r="F2421">
            <v>2.4E-2</v>
          </cell>
        </row>
        <row r="2422">
          <cell r="F2422">
            <v>1.6299999999999999E-2</v>
          </cell>
        </row>
        <row r="2423">
          <cell r="F2423">
            <v>0</v>
          </cell>
        </row>
        <row r="2424">
          <cell r="F2424">
            <v>0</v>
          </cell>
        </row>
        <row r="2425">
          <cell r="F2425">
            <v>0</v>
          </cell>
        </row>
        <row r="2426">
          <cell r="F2426">
            <v>1.6500000000000001E-2</v>
          </cell>
        </row>
        <row r="2427">
          <cell r="F2427">
            <v>8.9399999999999993E-2</v>
          </cell>
        </row>
        <row r="2428">
          <cell r="F2428">
            <v>0.1024</v>
          </cell>
        </row>
        <row r="2429">
          <cell r="F2429">
            <v>7.8E-2</v>
          </cell>
        </row>
        <row r="2430">
          <cell r="F2430">
            <v>7.1900000000000006E-2</v>
          </cell>
        </row>
        <row r="2431">
          <cell r="F2431">
            <v>8.2299999999999998E-2</v>
          </cell>
        </row>
        <row r="2432">
          <cell r="F2432">
            <v>8.2299999999999998E-2</v>
          </cell>
        </row>
        <row r="2433">
          <cell r="F2433">
            <v>8.0100000000000005E-2</v>
          </cell>
        </row>
        <row r="2434">
          <cell r="F2434">
            <v>7.8E-2</v>
          </cell>
        </row>
        <row r="2435">
          <cell r="F2435">
            <v>8.1600000000000006E-2</v>
          </cell>
        </row>
        <row r="2436">
          <cell r="F2436">
            <v>8.0799999999999997E-2</v>
          </cell>
        </row>
        <row r="2437">
          <cell r="F2437">
            <v>7.7200000000000005E-2</v>
          </cell>
        </row>
        <row r="2438">
          <cell r="F2438">
            <v>7.4399999999999994E-2</v>
          </cell>
        </row>
        <row r="2439">
          <cell r="F2439">
            <v>7.22E-2</v>
          </cell>
        </row>
        <row r="2440">
          <cell r="F2440">
            <v>6.5100000000000005E-2</v>
          </cell>
        </row>
        <row r="2441">
          <cell r="F2441">
            <v>7.0000000000000001E-3</v>
          </cell>
        </row>
        <row r="2442">
          <cell r="F2442">
            <v>7.0000000000000001E-3</v>
          </cell>
        </row>
        <row r="2443">
          <cell r="F2443">
            <v>7.0000000000000001E-3</v>
          </cell>
        </row>
        <row r="2444">
          <cell r="F2444">
            <v>2.2499999999999999E-2</v>
          </cell>
        </row>
        <row r="2445">
          <cell r="F2445">
            <v>9.7999999999999997E-3</v>
          </cell>
        </row>
        <row r="2446">
          <cell r="F2446">
            <v>5.0000000000000001E-3</v>
          </cell>
        </row>
        <row r="2447">
          <cell r="F2447">
            <v>0</v>
          </cell>
        </row>
        <row r="2448">
          <cell r="F2448">
            <v>0</v>
          </cell>
        </row>
        <row r="2449">
          <cell r="F2449">
            <v>0</v>
          </cell>
        </row>
        <row r="2450">
          <cell r="F2450">
            <v>0</v>
          </cell>
        </row>
        <row r="2451">
          <cell r="F2451">
            <v>8.4400000000000003E-2</v>
          </cell>
        </row>
        <row r="2452">
          <cell r="F2452">
            <v>8.0100000000000005E-2</v>
          </cell>
        </row>
        <row r="2453">
          <cell r="F2453">
            <v>7.8700000000000006E-2</v>
          </cell>
        </row>
        <row r="2454">
          <cell r="F2454">
            <v>7.9500000000000001E-2</v>
          </cell>
        </row>
        <row r="2455">
          <cell r="F2455">
            <v>8.0199999999999994E-2</v>
          </cell>
        </row>
        <row r="2456">
          <cell r="F2456">
            <v>6.6500000000000004E-2</v>
          </cell>
        </row>
        <row r="2457">
          <cell r="F2457">
            <v>6.8599999999999994E-2</v>
          </cell>
        </row>
        <row r="2458">
          <cell r="F2458">
            <v>7.22E-2</v>
          </cell>
        </row>
        <row r="2459">
          <cell r="F2459">
            <v>7.0800000000000002E-2</v>
          </cell>
        </row>
        <row r="2460">
          <cell r="F2460">
            <v>7.1499999999999994E-2</v>
          </cell>
        </row>
        <row r="2461">
          <cell r="F2461">
            <v>7.8700000000000006E-2</v>
          </cell>
        </row>
        <row r="2462">
          <cell r="F2462">
            <v>7.0800000000000002E-2</v>
          </cell>
        </row>
        <row r="2463">
          <cell r="F2463">
            <v>8.2299999999999998E-2</v>
          </cell>
        </row>
        <row r="2464">
          <cell r="F2464">
            <v>6.5000000000000002E-2</v>
          </cell>
        </row>
        <row r="2465">
          <cell r="F2465">
            <v>6.8999999999999999E-3</v>
          </cell>
        </row>
        <row r="2466">
          <cell r="F2466">
            <v>6.8999999999999999E-3</v>
          </cell>
        </row>
        <row r="2467">
          <cell r="F2467">
            <v>6.8999999999999999E-3</v>
          </cell>
        </row>
        <row r="2468">
          <cell r="F2468">
            <v>6.8999999999999999E-3</v>
          </cell>
        </row>
        <row r="2469">
          <cell r="F2469">
            <v>1.1599999999999999E-2</v>
          </cell>
        </row>
        <row r="2470">
          <cell r="F2470">
            <v>0</v>
          </cell>
        </row>
        <row r="2471">
          <cell r="F2471">
            <v>0</v>
          </cell>
        </row>
        <row r="2472">
          <cell r="F2472">
            <v>0</v>
          </cell>
        </row>
        <row r="2473">
          <cell r="F2473">
            <v>0</v>
          </cell>
        </row>
        <row r="2474">
          <cell r="F2474">
            <v>0</v>
          </cell>
        </row>
        <row r="2475">
          <cell r="F2475">
            <v>8.1500000000000003E-2</v>
          </cell>
        </row>
        <row r="2476">
          <cell r="F2476">
            <v>8.0600000000000005E-2</v>
          </cell>
        </row>
        <row r="2477">
          <cell r="F2477">
            <v>7.4200000000000002E-2</v>
          </cell>
        </row>
        <row r="2478">
          <cell r="F2478">
            <v>7.3499999999999996E-2</v>
          </cell>
        </row>
        <row r="2479">
          <cell r="F2479">
            <v>6.4299999999999996E-2</v>
          </cell>
        </row>
        <row r="2480">
          <cell r="F2480">
            <v>0.06</v>
          </cell>
        </row>
        <row r="2481">
          <cell r="F2481">
            <v>5.6399999999999999E-2</v>
          </cell>
        </row>
        <row r="2482">
          <cell r="F2482">
            <v>5.7200000000000001E-2</v>
          </cell>
        </row>
        <row r="2483">
          <cell r="F2483">
            <v>8.1000000000000003E-2</v>
          </cell>
        </row>
        <row r="2484">
          <cell r="F2484">
            <v>8.5900000000000004E-2</v>
          </cell>
        </row>
        <row r="2485">
          <cell r="F2485">
            <v>6.9099999999999995E-2</v>
          </cell>
        </row>
        <row r="2486">
          <cell r="F2486">
            <v>7.7700000000000005E-2</v>
          </cell>
        </row>
        <row r="2487">
          <cell r="F2487">
            <v>6.9099999999999995E-2</v>
          </cell>
        </row>
        <row r="2488">
          <cell r="F2488">
            <v>6.2799999999999995E-2</v>
          </cell>
        </row>
        <row r="2489">
          <cell r="F2489">
            <v>3.0999999999999999E-3</v>
          </cell>
        </row>
        <row r="2490">
          <cell r="F2490">
            <v>0</v>
          </cell>
        </row>
        <row r="2491">
          <cell r="F2491">
            <v>0</v>
          </cell>
        </row>
        <row r="2492">
          <cell r="F2492">
            <v>4.4000000000000003E-3</v>
          </cell>
        </row>
        <row r="2493">
          <cell r="F2493">
            <v>0</v>
          </cell>
        </row>
        <row r="2494">
          <cell r="F2494">
            <v>0</v>
          </cell>
        </row>
        <row r="2495">
          <cell r="F2495">
            <v>0</v>
          </cell>
        </row>
        <row r="2496">
          <cell r="F2496">
            <v>0</v>
          </cell>
        </row>
        <row r="2497">
          <cell r="F2497">
            <v>0</v>
          </cell>
        </row>
        <row r="2498">
          <cell r="F2498">
            <v>0</v>
          </cell>
        </row>
        <row r="2499">
          <cell r="F2499">
            <v>7.7200000000000005E-2</v>
          </cell>
        </row>
        <row r="2500">
          <cell r="F2500">
            <v>8.1600000000000006E-2</v>
          </cell>
        </row>
        <row r="2501">
          <cell r="F2501">
            <v>6.7199999999999996E-2</v>
          </cell>
        </row>
        <row r="2502">
          <cell r="F2502">
            <v>5.9299999999999999E-2</v>
          </cell>
        </row>
        <row r="2503">
          <cell r="F2503">
            <v>6.08E-2</v>
          </cell>
        </row>
        <row r="2504">
          <cell r="F2504">
            <v>6.7199999999999996E-2</v>
          </cell>
        </row>
        <row r="2505">
          <cell r="F2505">
            <v>6.9400000000000003E-2</v>
          </cell>
        </row>
        <row r="2506">
          <cell r="F2506">
            <v>6.7199999999999996E-2</v>
          </cell>
        </row>
        <row r="2507">
          <cell r="F2507">
            <v>8.14E-2</v>
          </cell>
        </row>
        <row r="2508">
          <cell r="F2508">
            <v>9.8799999999999999E-2</v>
          </cell>
        </row>
        <row r="2509">
          <cell r="F2509">
            <v>9.8100000000000007E-2</v>
          </cell>
        </row>
        <row r="2510">
          <cell r="F2510">
            <v>9.6600000000000005E-2</v>
          </cell>
        </row>
        <row r="2511">
          <cell r="F2511">
            <v>7.2900000000000006E-2</v>
          </cell>
        </row>
        <row r="2512">
          <cell r="F2512">
            <v>5.1400000000000001E-2</v>
          </cell>
        </row>
        <row r="2513">
          <cell r="F2513">
            <v>0</v>
          </cell>
        </row>
        <row r="2514">
          <cell r="F2514">
            <v>0</v>
          </cell>
        </row>
        <row r="2515">
          <cell r="F2515">
            <v>0</v>
          </cell>
        </row>
        <row r="2516">
          <cell r="F2516">
            <v>1.3299999999999999E-2</v>
          </cell>
        </row>
        <row r="2517">
          <cell r="F2517">
            <v>9.1000000000000004E-3</v>
          </cell>
        </row>
        <row r="2518">
          <cell r="F2518">
            <v>0</v>
          </cell>
        </row>
        <row r="2519">
          <cell r="F2519">
            <v>0</v>
          </cell>
        </row>
        <row r="2520">
          <cell r="F2520">
            <v>0</v>
          </cell>
        </row>
        <row r="2521">
          <cell r="F2521">
            <v>0</v>
          </cell>
        </row>
        <row r="2522">
          <cell r="F2522">
            <v>6.1999999999999998E-3</v>
          </cell>
        </row>
        <row r="2523">
          <cell r="F2523">
            <v>8.4400000000000003E-2</v>
          </cell>
        </row>
        <row r="2524">
          <cell r="F2524">
            <v>8.2299999999999998E-2</v>
          </cell>
        </row>
        <row r="2525">
          <cell r="F2525">
            <v>7.7799999999999994E-2</v>
          </cell>
        </row>
        <row r="2526">
          <cell r="F2526">
            <v>8.14E-2</v>
          </cell>
        </row>
        <row r="2527">
          <cell r="F2527">
            <v>6.9000000000000006E-2</v>
          </cell>
        </row>
        <row r="2528">
          <cell r="F2528">
            <v>7.3300000000000004E-2</v>
          </cell>
        </row>
        <row r="2529">
          <cell r="F2529">
            <v>8.43E-2</v>
          </cell>
        </row>
        <row r="2530">
          <cell r="F2530">
            <v>6.83E-2</v>
          </cell>
        </row>
        <row r="2531">
          <cell r="F2531">
            <v>0.1016</v>
          </cell>
        </row>
        <row r="2532">
          <cell r="F2532">
            <v>9.8799999999999999E-2</v>
          </cell>
        </row>
        <row r="2533">
          <cell r="F2533">
            <v>8.6499999999999994E-2</v>
          </cell>
        </row>
        <row r="2534">
          <cell r="F2534">
            <v>7.3800000000000004E-2</v>
          </cell>
        </row>
        <row r="2535">
          <cell r="F2535">
            <v>6.4399999999999999E-2</v>
          </cell>
        </row>
        <row r="2536">
          <cell r="F2536">
            <v>6.6500000000000004E-2</v>
          </cell>
        </row>
        <row r="2537">
          <cell r="F2537">
            <v>7.0000000000000001E-3</v>
          </cell>
        </row>
        <row r="2538">
          <cell r="F2538">
            <v>2.5999999999999999E-3</v>
          </cell>
        </row>
        <row r="2539">
          <cell r="F2539">
            <v>2.5999999999999999E-3</v>
          </cell>
        </row>
        <row r="2540">
          <cell r="F2540">
            <v>1.1999999999999999E-3</v>
          </cell>
        </row>
        <row r="2541">
          <cell r="F2541">
            <v>1.3899999999999999E-2</v>
          </cell>
        </row>
        <row r="2542">
          <cell r="F2542">
            <v>1.8599999999999998E-2</v>
          </cell>
        </row>
        <row r="2543">
          <cell r="F2543">
            <v>0</v>
          </cell>
        </row>
        <row r="2544">
          <cell r="F2544">
            <v>0</v>
          </cell>
        </row>
        <row r="2545">
          <cell r="F2545">
            <v>9.1000000000000004E-3</v>
          </cell>
        </row>
        <row r="2546">
          <cell r="F2546">
            <v>0.05</v>
          </cell>
        </row>
        <row r="2547">
          <cell r="F2547">
            <v>5.79E-2</v>
          </cell>
        </row>
        <row r="2548">
          <cell r="F2548">
            <v>9.0200000000000002E-2</v>
          </cell>
        </row>
        <row r="2549">
          <cell r="F2549">
            <v>9.0300000000000005E-2</v>
          </cell>
        </row>
        <row r="2550">
          <cell r="F2550">
            <v>8.9499999999999996E-2</v>
          </cell>
        </row>
        <row r="2551">
          <cell r="F2551">
            <v>8.9499999999999996E-2</v>
          </cell>
        </row>
        <row r="2552">
          <cell r="F2552">
            <v>9.0200000000000002E-2</v>
          </cell>
        </row>
        <row r="2553">
          <cell r="F2553">
            <v>9.0200000000000002E-2</v>
          </cell>
        </row>
        <row r="2554">
          <cell r="F2554">
            <v>9.2299999999999993E-2</v>
          </cell>
        </row>
        <row r="2555">
          <cell r="F2555">
            <v>9.2299999999999993E-2</v>
          </cell>
        </row>
        <row r="2556">
          <cell r="F2556">
            <v>9.0200000000000002E-2</v>
          </cell>
        </row>
        <row r="2557">
          <cell r="F2557">
            <v>8.6599999999999996E-2</v>
          </cell>
        </row>
        <row r="2558">
          <cell r="F2558">
            <v>8.8700000000000001E-2</v>
          </cell>
        </row>
        <row r="2559">
          <cell r="F2559">
            <v>8.6400000000000005E-2</v>
          </cell>
        </row>
        <row r="2560">
          <cell r="F2560">
            <v>7.3800000000000004E-2</v>
          </cell>
        </row>
        <row r="2561">
          <cell r="F2561">
            <v>2.1999999999999999E-2</v>
          </cell>
        </row>
        <row r="2562">
          <cell r="F2562">
            <v>0</v>
          </cell>
        </row>
        <row r="2563">
          <cell r="F2563">
            <v>2.7000000000000001E-3</v>
          </cell>
        </row>
        <row r="2564">
          <cell r="F2564">
            <v>2.7000000000000001E-3</v>
          </cell>
        </row>
        <row r="2565">
          <cell r="F2565">
            <v>0</v>
          </cell>
        </row>
        <row r="2566">
          <cell r="F2566">
            <v>0</v>
          </cell>
        </row>
        <row r="2567">
          <cell r="F2567">
            <v>0</v>
          </cell>
        </row>
        <row r="2568">
          <cell r="F2568">
            <v>0</v>
          </cell>
        </row>
        <row r="2569">
          <cell r="F2569">
            <v>0</v>
          </cell>
        </row>
        <row r="2570">
          <cell r="F2570">
            <v>6.1999999999999998E-3</v>
          </cell>
        </row>
        <row r="2571">
          <cell r="F2571">
            <v>9.0899999999999995E-2</v>
          </cell>
        </row>
        <row r="2572">
          <cell r="F2572">
            <v>8.2299999999999998E-2</v>
          </cell>
        </row>
        <row r="2573">
          <cell r="F2573">
            <v>8.3000000000000004E-2</v>
          </cell>
        </row>
        <row r="2574">
          <cell r="F2574">
            <v>7.0300000000000001E-2</v>
          </cell>
        </row>
        <row r="2575">
          <cell r="F2575">
            <v>7.5999999999999998E-2</v>
          </cell>
        </row>
        <row r="2576">
          <cell r="F2576">
            <v>8.7999999999999995E-2</v>
          </cell>
        </row>
        <row r="2577">
          <cell r="F2577">
            <v>8.4400000000000003E-2</v>
          </cell>
        </row>
        <row r="2578">
          <cell r="F2578">
            <v>7.5800000000000006E-2</v>
          </cell>
        </row>
        <row r="2579">
          <cell r="F2579">
            <v>7.4399999999999994E-2</v>
          </cell>
        </row>
        <row r="2580">
          <cell r="F2580">
            <v>7.5800000000000006E-2</v>
          </cell>
        </row>
        <row r="2581">
          <cell r="F2581">
            <v>7.0099999999999996E-2</v>
          </cell>
        </row>
        <row r="2582">
          <cell r="F2582">
            <v>8.3000000000000004E-2</v>
          </cell>
        </row>
        <row r="2583">
          <cell r="F2583">
            <v>7.51E-2</v>
          </cell>
        </row>
        <row r="2584">
          <cell r="F2584">
            <v>7.1499999999999994E-2</v>
          </cell>
        </row>
        <row r="2585">
          <cell r="F2585">
            <v>5.7200000000000001E-2</v>
          </cell>
        </row>
        <row r="2586">
          <cell r="F2586">
            <v>1.55E-2</v>
          </cell>
        </row>
        <row r="2587">
          <cell r="F2587">
            <v>1.7000000000000001E-2</v>
          </cell>
        </row>
        <row r="2588">
          <cell r="F2588">
            <v>8.5000000000000006E-3</v>
          </cell>
        </row>
        <row r="2589">
          <cell r="F2589">
            <v>1.0699999999999999E-2</v>
          </cell>
        </row>
        <row r="2590">
          <cell r="F2590">
            <v>0</v>
          </cell>
        </row>
        <row r="2591">
          <cell r="F2591">
            <v>0</v>
          </cell>
        </row>
        <row r="2592">
          <cell r="F2592">
            <v>0</v>
          </cell>
        </row>
        <row r="2593">
          <cell r="F2593">
            <v>0</v>
          </cell>
        </row>
        <row r="2594">
          <cell r="F2594">
            <v>0.01</v>
          </cell>
        </row>
        <row r="2595">
          <cell r="F2595">
            <v>7.9899999999999999E-2</v>
          </cell>
        </row>
        <row r="2596">
          <cell r="F2596">
            <v>7.4899999999999994E-2</v>
          </cell>
        </row>
        <row r="2597">
          <cell r="F2597">
            <v>5.9900000000000002E-2</v>
          </cell>
        </row>
        <row r="2598">
          <cell r="F2598">
            <v>5.9499999999999997E-2</v>
          </cell>
        </row>
        <row r="2599">
          <cell r="F2599">
            <v>7.1499999999999994E-2</v>
          </cell>
        </row>
        <row r="2600">
          <cell r="F2600">
            <v>7.7200000000000005E-2</v>
          </cell>
        </row>
        <row r="2601">
          <cell r="F2601">
            <v>7.9299999999999995E-2</v>
          </cell>
        </row>
        <row r="2602">
          <cell r="F2602">
            <v>6.59E-2</v>
          </cell>
        </row>
        <row r="2603">
          <cell r="F2603">
            <v>6.0199999999999997E-2</v>
          </cell>
        </row>
        <row r="2604">
          <cell r="F2604">
            <v>6.7400000000000002E-2</v>
          </cell>
        </row>
        <row r="2605">
          <cell r="F2605">
            <v>6.7400000000000002E-2</v>
          </cell>
        </row>
        <row r="2606">
          <cell r="F2606">
            <v>7.2900000000000006E-2</v>
          </cell>
        </row>
        <row r="2607">
          <cell r="F2607">
            <v>7.2900000000000006E-2</v>
          </cell>
        </row>
        <row r="2608">
          <cell r="F2608">
            <v>6.6500000000000004E-2</v>
          </cell>
        </row>
        <row r="2609">
          <cell r="F2609">
            <v>0</v>
          </cell>
        </row>
        <row r="2610">
          <cell r="F2610">
            <v>0</v>
          </cell>
        </row>
        <row r="2611">
          <cell r="F2611">
            <v>0</v>
          </cell>
        </row>
        <row r="2612">
          <cell r="F2612">
            <v>3.5000000000000001E-3</v>
          </cell>
        </row>
        <row r="2613">
          <cell r="F2613">
            <v>2.0999999999999999E-3</v>
          </cell>
        </row>
        <row r="2614">
          <cell r="F2614">
            <v>0</v>
          </cell>
        </row>
        <row r="2615">
          <cell r="F2615">
            <v>1.89E-2</v>
          </cell>
        </row>
        <row r="2616">
          <cell r="F2616">
            <v>0</v>
          </cell>
        </row>
        <row r="2617">
          <cell r="F2617">
            <v>0</v>
          </cell>
        </row>
        <row r="2618">
          <cell r="F2618">
            <v>0.01</v>
          </cell>
        </row>
        <row r="2619">
          <cell r="F2619">
            <v>7.3800000000000004E-2</v>
          </cell>
        </row>
        <row r="2620">
          <cell r="F2620">
            <v>7.3300000000000004E-2</v>
          </cell>
        </row>
        <row r="2621">
          <cell r="F2621">
            <v>7.1800000000000003E-2</v>
          </cell>
        </row>
        <row r="2622">
          <cell r="F2622">
            <v>7.8E-2</v>
          </cell>
        </row>
        <row r="2623">
          <cell r="F2623">
            <v>7.9399999999999998E-2</v>
          </cell>
        </row>
        <row r="2624">
          <cell r="F2624">
            <v>7.3800000000000004E-2</v>
          </cell>
        </row>
        <row r="2625">
          <cell r="F2625">
            <v>7.1999999999999995E-2</v>
          </cell>
        </row>
        <row r="2626">
          <cell r="F2626">
            <v>6.9800000000000001E-2</v>
          </cell>
        </row>
        <row r="2627">
          <cell r="F2627">
            <v>7.0599999999999996E-2</v>
          </cell>
        </row>
        <row r="2628">
          <cell r="F2628">
            <v>7.1999999999999995E-2</v>
          </cell>
        </row>
        <row r="2629">
          <cell r="F2629">
            <v>6.7000000000000004E-2</v>
          </cell>
        </row>
        <row r="2630">
          <cell r="F2630">
            <v>6.3E-2</v>
          </cell>
        </row>
        <row r="2631">
          <cell r="F2631">
            <v>7.1599999999999997E-2</v>
          </cell>
        </row>
        <row r="2632">
          <cell r="F2632">
            <v>5.3699999999999998E-2</v>
          </cell>
        </row>
        <row r="2633">
          <cell r="F2633">
            <v>0</v>
          </cell>
        </row>
        <row r="2634">
          <cell r="F2634">
            <v>1E-4</v>
          </cell>
        </row>
        <row r="2635">
          <cell r="F2635">
            <v>2.8E-3</v>
          </cell>
        </row>
        <row r="2636">
          <cell r="F2636">
            <v>3.0000000000000001E-3</v>
          </cell>
        </row>
        <row r="2637">
          <cell r="F2637">
            <v>1.6999999999999999E-3</v>
          </cell>
        </row>
        <row r="2638">
          <cell r="F2638">
            <v>1.8E-3</v>
          </cell>
        </row>
        <row r="2639">
          <cell r="F2639">
            <v>7.6E-3</v>
          </cell>
        </row>
        <row r="2640">
          <cell r="F2640">
            <v>6.9999999999999999E-4</v>
          </cell>
        </row>
        <row r="2641">
          <cell r="F2641">
            <v>8.0000000000000004E-4</v>
          </cell>
        </row>
        <row r="2642">
          <cell r="F2642">
            <v>6.9999999999999999E-4</v>
          </cell>
        </row>
        <row r="2643">
          <cell r="F2643">
            <v>7.3499999999999996E-2</v>
          </cell>
        </row>
        <row r="2644">
          <cell r="F2644">
            <v>6.6000000000000003E-2</v>
          </cell>
        </row>
        <row r="2645">
          <cell r="F2645">
            <v>6.5199999999999994E-2</v>
          </cell>
        </row>
        <row r="2646">
          <cell r="F2646">
            <v>6.5299999999999997E-2</v>
          </cell>
        </row>
        <row r="2647">
          <cell r="F2647">
            <v>6.6600000000000006E-2</v>
          </cell>
        </row>
        <row r="2648">
          <cell r="F2648">
            <v>0.06</v>
          </cell>
        </row>
        <row r="2649">
          <cell r="F2649">
            <v>5.7200000000000001E-2</v>
          </cell>
        </row>
        <row r="2650">
          <cell r="F2650">
            <v>5.8599999999999999E-2</v>
          </cell>
        </row>
        <row r="2651">
          <cell r="F2651">
            <v>5.7200000000000001E-2</v>
          </cell>
        </row>
        <row r="2652">
          <cell r="F2652">
            <v>5.79E-2</v>
          </cell>
        </row>
        <row r="2653">
          <cell r="F2653">
            <v>6.5000000000000002E-2</v>
          </cell>
        </row>
        <row r="2654">
          <cell r="F2654">
            <v>7.8700000000000006E-2</v>
          </cell>
        </row>
        <row r="2655">
          <cell r="F2655">
            <v>6.6500000000000004E-2</v>
          </cell>
        </row>
        <row r="2656">
          <cell r="F2656">
            <v>5.8599999999999999E-2</v>
          </cell>
        </row>
        <row r="2657">
          <cell r="F2657">
            <v>6.8999999999999999E-3</v>
          </cell>
        </row>
        <row r="2658">
          <cell r="F2658">
            <v>6.8999999999999999E-3</v>
          </cell>
        </row>
        <row r="2659">
          <cell r="F2659">
            <v>7.0000000000000001E-3</v>
          </cell>
        </row>
        <row r="2660">
          <cell r="F2660">
            <v>7.0000000000000001E-3</v>
          </cell>
        </row>
        <row r="2661">
          <cell r="F2661">
            <v>7.0000000000000001E-3</v>
          </cell>
        </row>
        <row r="2662">
          <cell r="F2662">
            <v>1.6400000000000001E-2</v>
          </cell>
        </row>
        <row r="2663">
          <cell r="F2663">
            <v>1E-4</v>
          </cell>
        </row>
        <row r="2664">
          <cell r="F2664">
            <v>1E-4</v>
          </cell>
        </row>
        <row r="2665">
          <cell r="F2665">
            <v>1E-4</v>
          </cell>
        </row>
        <row r="2666">
          <cell r="F2666">
            <v>0</v>
          </cell>
        </row>
        <row r="2667">
          <cell r="F2667">
            <v>6.4299999999999996E-2</v>
          </cell>
        </row>
        <row r="2668">
          <cell r="F2668">
            <v>9.2999999999999999E-2</v>
          </cell>
        </row>
        <row r="2669">
          <cell r="F2669">
            <v>6.9400000000000003E-2</v>
          </cell>
        </row>
        <row r="2670">
          <cell r="F2670">
            <v>6.9500000000000006E-2</v>
          </cell>
        </row>
        <row r="2671">
          <cell r="F2671">
            <v>6.8699999999999997E-2</v>
          </cell>
        </row>
        <row r="2672">
          <cell r="F2672">
            <v>6.13E-2</v>
          </cell>
        </row>
        <row r="2673">
          <cell r="F2673">
            <v>6.4199999999999993E-2</v>
          </cell>
        </row>
        <row r="2674">
          <cell r="F2674">
            <v>6.4899999999999999E-2</v>
          </cell>
        </row>
        <row r="2675">
          <cell r="F2675">
            <v>6.3600000000000004E-2</v>
          </cell>
        </row>
        <row r="2676">
          <cell r="F2676">
            <v>7.1499999999999994E-2</v>
          </cell>
        </row>
        <row r="2677">
          <cell r="F2677">
            <v>6.4299999999999996E-2</v>
          </cell>
        </row>
        <row r="2678">
          <cell r="F2678">
            <v>6.4299999999999996E-2</v>
          </cell>
        </row>
        <row r="2679">
          <cell r="F2679">
            <v>6.4299999999999996E-2</v>
          </cell>
        </row>
        <row r="2680">
          <cell r="F2680">
            <v>6.8999999999999999E-3</v>
          </cell>
        </row>
        <row r="2681">
          <cell r="F2681">
            <v>6.8999999999999999E-3</v>
          </cell>
        </row>
        <row r="2682">
          <cell r="F2682">
            <v>6.8999999999999999E-3</v>
          </cell>
        </row>
        <row r="2683">
          <cell r="F2683">
            <v>8.3999999999999995E-3</v>
          </cell>
        </row>
        <row r="2684">
          <cell r="F2684">
            <v>6.8999999999999999E-3</v>
          </cell>
        </row>
        <row r="2685">
          <cell r="F2685">
            <v>6.8999999999999999E-3</v>
          </cell>
        </row>
        <row r="2686">
          <cell r="F2686">
            <v>1.0999999999999999E-2</v>
          </cell>
        </row>
        <row r="2687">
          <cell r="F2687">
            <v>0</v>
          </cell>
        </row>
        <row r="2688">
          <cell r="F2688">
            <v>0</v>
          </cell>
        </row>
        <row r="2689">
          <cell r="F2689">
            <v>0</v>
          </cell>
        </row>
        <row r="2690">
          <cell r="F2690">
            <v>0</v>
          </cell>
        </row>
        <row r="2691">
          <cell r="F2691">
            <v>8.0799999999999997E-2</v>
          </cell>
        </row>
        <row r="2692">
          <cell r="F2692">
            <v>7.51E-2</v>
          </cell>
        </row>
        <row r="2693">
          <cell r="F2693">
            <v>7.2999999999999995E-2</v>
          </cell>
        </row>
        <row r="2694">
          <cell r="F2694">
            <v>7.1599999999999997E-2</v>
          </cell>
        </row>
        <row r="2695">
          <cell r="F2695">
            <v>6.7000000000000004E-2</v>
          </cell>
        </row>
        <row r="2696">
          <cell r="F2696">
            <v>7.7299999999999994E-2</v>
          </cell>
        </row>
        <row r="2697">
          <cell r="F2697">
            <v>8.5900000000000004E-2</v>
          </cell>
        </row>
        <row r="2698">
          <cell r="F2698">
            <v>8.3699999999999997E-2</v>
          </cell>
        </row>
        <row r="2699">
          <cell r="F2699">
            <v>7.2900000000000006E-2</v>
          </cell>
        </row>
        <row r="2700">
          <cell r="F2700">
            <v>6.7900000000000002E-2</v>
          </cell>
        </row>
        <row r="2701">
          <cell r="F2701">
            <v>7.0099999999999996E-2</v>
          </cell>
        </row>
        <row r="2702">
          <cell r="F2702">
            <v>7.0099999999999996E-2</v>
          </cell>
        </row>
        <row r="2703">
          <cell r="F2703">
            <v>6.6500000000000004E-2</v>
          </cell>
        </row>
        <row r="2704">
          <cell r="F2704">
            <v>5.79E-2</v>
          </cell>
        </row>
        <row r="2705">
          <cell r="F2705">
            <v>0</v>
          </cell>
        </row>
        <row r="2706">
          <cell r="F2706">
            <v>4.0000000000000002E-4</v>
          </cell>
        </row>
        <row r="2707">
          <cell r="F2707">
            <v>1.4E-3</v>
          </cell>
        </row>
        <row r="2708">
          <cell r="F2708">
            <v>1.1999999999999999E-3</v>
          </cell>
        </row>
        <row r="2709">
          <cell r="F2709">
            <v>1.2200000000000001E-2</v>
          </cell>
        </row>
        <row r="2710">
          <cell r="F2710">
            <v>1.14E-2</v>
          </cell>
        </row>
        <row r="2711">
          <cell r="F2711">
            <v>0</v>
          </cell>
        </row>
        <row r="2712">
          <cell r="F2712">
            <v>0</v>
          </cell>
        </row>
        <row r="2713">
          <cell r="F2713">
            <v>0</v>
          </cell>
        </row>
        <row r="2714">
          <cell r="F2714">
            <v>0</v>
          </cell>
        </row>
        <row r="2715">
          <cell r="F2715">
            <v>7.8700000000000006E-2</v>
          </cell>
        </row>
        <row r="2716">
          <cell r="F2716">
            <v>7.7200000000000005E-2</v>
          </cell>
        </row>
        <row r="2717">
          <cell r="F2717">
            <v>7.6499999999999999E-2</v>
          </cell>
        </row>
        <row r="2718">
          <cell r="F2718">
            <v>7.6600000000000001E-2</v>
          </cell>
        </row>
        <row r="2719">
          <cell r="F2719">
            <v>6.5100000000000005E-2</v>
          </cell>
        </row>
        <row r="2720">
          <cell r="F2720">
            <v>6.7900000000000002E-2</v>
          </cell>
        </row>
        <row r="2721">
          <cell r="F2721">
            <v>6.7900000000000002E-2</v>
          </cell>
        </row>
        <row r="2722">
          <cell r="F2722">
            <v>6.7900000000000002E-2</v>
          </cell>
        </row>
        <row r="2723">
          <cell r="F2723">
            <v>7.9399999999999998E-2</v>
          </cell>
        </row>
        <row r="2724">
          <cell r="F2724">
            <v>7.8E-2</v>
          </cell>
        </row>
        <row r="2725">
          <cell r="F2725">
            <v>6.6500000000000004E-2</v>
          </cell>
        </row>
        <row r="2726">
          <cell r="F2726">
            <v>6.5000000000000002E-2</v>
          </cell>
        </row>
        <row r="2727">
          <cell r="F2727">
            <v>6.6500000000000004E-2</v>
          </cell>
        </row>
        <row r="2728">
          <cell r="F2728">
            <v>7.2900000000000006E-2</v>
          </cell>
        </row>
        <row r="2729">
          <cell r="F2729">
            <v>1.41E-2</v>
          </cell>
        </row>
        <row r="2730">
          <cell r="F2730">
            <v>7.0000000000000001E-3</v>
          </cell>
        </row>
        <row r="2731">
          <cell r="F2731">
            <v>9.7999999999999997E-3</v>
          </cell>
        </row>
        <row r="2732">
          <cell r="F2732">
            <v>7.0000000000000001E-3</v>
          </cell>
        </row>
        <row r="2733">
          <cell r="F2733">
            <v>7.0000000000000001E-3</v>
          </cell>
        </row>
        <row r="2734">
          <cell r="F2734">
            <v>1E-4</v>
          </cell>
        </row>
        <row r="2735">
          <cell r="F2735">
            <v>1E-4</v>
          </cell>
        </row>
        <row r="2736">
          <cell r="F2736">
            <v>1E-4</v>
          </cell>
        </row>
        <row r="2737">
          <cell r="F2737">
            <v>0</v>
          </cell>
        </row>
        <row r="2738">
          <cell r="F2738">
            <v>0</v>
          </cell>
        </row>
        <row r="2739">
          <cell r="F2739">
            <v>6.3600000000000004E-2</v>
          </cell>
        </row>
        <row r="2740">
          <cell r="F2740">
            <v>6.3600000000000004E-2</v>
          </cell>
        </row>
        <row r="2741">
          <cell r="F2741">
            <v>6.5100000000000005E-2</v>
          </cell>
        </row>
        <row r="2742">
          <cell r="F2742">
            <v>6.7299999999999999E-2</v>
          </cell>
        </row>
        <row r="2743">
          <cell r="F2743">
            <v>6.1600000000000002E-2</v>
          </cell>
        </row>
        <row r="2744">
          <cell r="F2744">
            <v>8.9499999999999996E-2</v>
          </cell>
        </row>
        <row r="2745">
          <cell r="F2745">
            <v>7.8E-2</v>
          </cell>
        </row>
        <row r="2746">
          <cell r="F2746">
            <v>6.8599999999999994E-2</v>
          </cell>
        </row>
        <row r="2747">
          <cell r="F2747">
            <v>7.0800000000000002E-2</v>
          </cell>
        </row>
        <row r="2748">
          <cell r="F2748">
            <v>7.0099999999999996E-2</v>
          </cell>
        </row>
        <row r="2749">
          <cell r="F2749">
            <v>6.2899999999999998E-2</v>
          </cell>
        </row>
        <row r="2750">
          <cell r="F2750">
            <v>6.2899999999999998E-2</v>
          </cell>
        </row>
        <row r="2751">
          <cell r="F2751">
            <v>6.5799999999999997E-2</v>
          </cell>
        </row>
        <row r="2752">
          <cell r="F2752">
            <v>6.4299999999999996E-2</v>
          </cell>
        </row>
        <row r="2753">
          <cell r="F2753">
            <v>6.8999999999999999E-3</v>
          </cell>
        </row>
        <row r="2754">
          <cell r="F2754">
            <v>6.8999999999999999E-3</v>
          </cell>
        </row>
        <row r="2755">
          <cell r="F2755">
            <v>6.8999999999999999E-3</v>
          </cell>
        </row>
        <row r="2756">
          <cell r="F2756">
            <v>7.0000000000000001E-3</v>
          </cell>
        </row>
        <row r="2757">
          <cell r="F2757">
            <v>7.0000000000000001E-3</v>
          </cell>
        </row>
        <row r="2758">
          <cell r="F2758">
            <v>7.0000000000000001E-3</v>
          </cell>
        </row>
        <row r="2759">
          <cell r="F2759">
            <v>1E-4</v>
          </cell>
        </row>
        <row r="2760">
          <cell r="F2760">
            <v>1E-4</v>
          </cell>
        </row>
        <row r="2761">
          <cell r="F2761">
            <v>1E-4</v>
          </cell>
        </row>
        <row r="2762">
          <cell r="F2762">
            <v>1E-4</v>
          </cell>
        </row>
        <row r="2763">
          <cell r="F2763">
            <v>7.0099999999999996E-2</v>
          </cell>
        </row>
        <row r="2764">
          <cell r="F2764">
            <v>6.7900000000000002E-2</v>
          </cell>
        </row>
        <row r="2765">
          <cell r="F2765">
            <v>6.1499999999999999E-2</v>
          </cell>
        </row>
        <row r="2766">
          <cell r="F2766">
            <v>6.1600000000000002E-2</v>
          </cell>
        </row>
        <row r="2767">
          <cell r="F2767">
            <v>7.1599999999999997E-2</v>
          </cell>
        </row>
        <row r="2768">
          <cell r="F2768">
            <v>7.51E-2</v>
          </cell>
        </row>
        <row r="2769">
          <cell r="F2769">
            <v>7.3700000000000002E-2</v>
          </cell>
        </row>
        <row r="2770">
          <cell r="F2770">
            <v>7.9399999999999998E-2</v>
          </cell>
        </row>
        <row r="2771">
          <cell r="F2771">
            <v>8.1500000000000003E-2</v>
          </cell>
        </row>
        <row r="2772">
          <cell r="F2772">
            <v>7.6499999999999999E-2</v>
          </cell>
        </row>
        <row r="2773">
          <cell r="F2773">
            <v>8.1500000000000003E-2</v>
          </cell>
        </row>
        <row r="2774">
          <cell r="F2774">
            <v>8.3699999999999997E-2</v>
          </cell>
        </row>
        <row r="2775">
          <cell r="F2775">
            <v>6.5000000000000002E-2</v>
          </cell>
        </row>
        <row r="2776">
          <cell r="F2776">
            <v>3.0599999999999999E-2</v>
          </cell>
        </row>
        <row r="2777">
          <cell r="F2777">
            <v>0</v>
          </cell>
        </row>
        <row r="2778">
          <cell r="F2778">
            <v>0</v>
          </cell>
        </row>
        <row r="2779">
          <cell r="F2779">
            <v>0</v>
          </cell>
        </row>
        <row r="2780">
          <cell r="F2780">
            <v>0</v>
          </cell>
        </row>
        <row r="2781">
          <cell r="F2781">
            <v>0</v>
          </cell>
        </row>
        <row r="2782">
          <cell r="F2782">
            <v>0</v>
          </cell>
        </row>
        <row r="2783">
          <cell r="F2783">
            <v>0</v>
          </cell>
        </row>
        <row r="2784">
          <cell r="F2784">
            <v>0</v>
          </cell>
        </row>
        <row r="2785">
          <cell r="F2785">
            <v>0</v>
          </cell>
        </row>
        <row r="2786">
          <cell r="F2786">
            <v>0</v>
          </cell>
        </row>
        <row r="2787">
          <cell r="F2787">
            <v>5.0700000000000002E-2</v>
          </cell>
        </row>
        <row r="2788">
          <cell r="F2788">
            <v>7.9399999999999998E-2</v>
          </cell>
        </row>
        <row r="2789">
          <cell r="F2789">
            <v>6.7199999999999996E-2</v>
          </cell>
        </row>
        <row r="2790">
          <cell r="F2790">
            <v>7.0099999999999996E-2</v>
          </cell>
        </row>
        <row r="2791">
          <cell r="F2791">
            <v>6.8599999999999994E-2</v>
          </cell>
        </row>
        <row r="2792">
          <cell r="F2792">
            <v>7.0099999999999996E-2</v>
          </cell>
        </row>
        <row r="2793">
          <cell r="F2793">
            <v>6.9400000000000003E-2</v>
          </cell>
        </row>
        <row r="2794">
          <cell r="F2794">
            <v>6.7900000000000002E-2</v>
          </cell>
        </row>
        <row r="2795">
          <cell r="F2795">
            <v>9.0899999999999995E-2</v>
          </cell>
        </row>
        <row r="2796">
          <cell r="F2796">
            <v>9.0200000000000002E-2</v>
          </cell>
        </row>
        <row r="2797">
          <cell r="F2797">
            <v>8.7999999999999995E-2</v>
          </cell>
        </row>
        <row r="2798">
          <cell r="F2798">
            <v>7.8E-2</v>
          </cell>
        </row>
        <row r="2799">
          <cell r="F2799">
            <v>5.8599999999999999E-2</v>
          </cell>
        </row>
        <row r="2800">
          <cell r="F2800">
            <v>2.63E-2</v>
          </cell>
        </row>
        <row r="2801">
          <cell r="F2801">
            <v>0</v>
          </cell>
        </row>
        <row r="2802">
          <cell r="F2802">
            <v>2.5999999999999999E-3</v>
          </cell>
        </row>
        <row r="2803">
          <cell r="F2803">
            <v>2.8000000000000001E-2</v>
          </cell>
        </row>
        <row r="2804">
          <cell r="F2804">
            <v>2.1299999999999999E-2</v>
          </cell>
        </row>
        <row r="2805">
          <cell r="F2805">
            <v>1.6799999999999999E-2</v>
          </cell>
        </row>
        <row r="2806">
          <cell r="F2806">
            <v>0</v>
          </cell>
        </row>
        <row r="2807">
          <cell r="F2807">
            <v>0</v>
          </cell>
        </row>
        <row r="2808">
          <cell r="F2808">
            <v>0</v>
          </cell>
        </row>
        <row r="2809">
          <cell r="F2809">
            <v>0</v>
          </cell>
        </row>
        <row r="2810">
          <cell r="F2810">
            <v>0</v>
          </cell>
        </row>
        <row r="2811">
          <cell r="F2811">
            <v>7.8700000000000006E-2</v>
          </cell>
        </row>
        <row r="2812">
          <cell r="F2812">
            <v>9.3799999999999994E-2</v>
          </cell>
        </row>
        <row r="2813">
          <cell r="F2813">
            <v>7.51E-2</v>
          </cell>
        </row>
        <row r="2814">
          <cell r="F2814">
            <v>7.6600000000000001E-2</v>
          </cell>
        </row>
        <row r="2815">
          <cell r="F2815">
            <v>6.8000000000000005E-2</v>
          </cell>
        </row>
        <row r="2816">
          <cell r="F2816">
            <v>6.9400000000000003E-2</v>
          </cell>
        </row>
        <row r="2817">
          <cell r="F2817">
            <v>6.8599999999999994E-2</v>
          </cell>
        </row>
        <row r="2818">
          <cell r="F2818">
            <v>7.51E-2</v>
          </cell>
        </row>
        <row r="2819">
          <cell r="F2819">
            <v>6.3600000000000004E-2</v>
          </cell>
        </row>
        <row r="2820">
          <cell r="F2820">
            <v>6.5000000000000002E-2</v>
          </cell>
        </row>
        <row r="2821">
          <cell r="F2821">
            <v>6.5000000000000002E-2</v>
          </cell>
        </row>
        <row r="2822">
          <cell r="F2822">
            <v>6.6500000000000004E-2</v>
          </cell>
        </row>
        <row r="2823">
          <cell r="F2823">
            <v>6.4299999999999996E-2</v>
          </cell>
        </row>
        <row r="2824">
          <cell r="F2824">
            <v>6.4299999999999996E-2</v>
          </cell>
        </row>
        <row r="2825">
          <cell r="F2825">
            <v>6.8999999999999999E-3</v>
          </cell>
        </row>
        <row r="2826">
          <cell r="F2826">
            <v>7.0000000000000001E-3</v>
          </cell>
        </row>
        <row r="2827">
          <cell r="F2827">
            <v>7.0000000000000001E-3</v>
          </cell>
        </row>
        <row r="2828">
          <cell r="F2828">
            <v>2.1100000000000001E-2</v>
          </cell>
        </row>
        <row r="2829">
          <cell r="F2829">
            <v>0</v>
          </cell>
        </row>
        <row r="2830">
          <cell r="F2830">
            <v>0</v>
          </cell>
        </row>
        <row r="2831">
          <cell r="F2831">
            <v>0</v>
          </cell>
        </row>
        <row r="2832">
          <cell r="F2832">
            <v>0</v>
          </cell>
        </row>
        <row r="2833">
          <cell r="F2833">
            <v>0</v>
          </cell>
        </row>
        <row r="2834">
          <cell r="F2834">
            <v>0</v>
          </cell>
        </row>
        <row r="2835">
          <cell r="F2835">
            <v>7.3700000000000002E-2</v>
          </cell>
        </row>
        <row r="2836">
          <cell r="F2836">
            <v>6.7900000000000002E-2</v>
          </cell>
        </row>
        <row r="2837">
          <cell r="F2837">
            <v>7.2999999999999995E-2</v>
          </cell>
        </row>
        <row r="2838">
          <cell r="F2838">
            <v>6.9500000000000006E-2</v>
          </cell>
        </row>
        <row r="2839">
          <cell r="F2839">
            <v>7.0199999999999999E-2</v>
          </cell>
        </row>
        <row r="2840">
          <cell r="F2840">
            <v>7.22E-2</v>
          </cell>
        </row>
        <row r="2841">
          <cell r="F2841">
            <v>7.3700000000000002E-2</v>
          </cell>
        </row>
        <row r="2842">
          <cell r="F2842">
            <v>7.5800000000000006E-2</v>
          </cell>
        </row>
        <row r="2843">
          <cell r="F2843">
            <v>7.1499999999999994E-2</v>
          </cell>
        </row>
        <row r="2844">
          <cell r="F2844">
            <v>7.4399999999999994E-2</v>
          </cell>
        </row>
        <row r="2845">
          <cell r="F2845">
            <v>7.3700000000000002E-2</v>
          </cell>
        </row>
        <row r="2846">
          <cell r="F2846">
            <v>6.4299999999999996E-2</v>
          </cell>
        </row>
        <row r="2847">
          <cell r="F2847">
            <v>6.4299999999999996E-2</v>
          </cell>
        </row>
        <row r="2848">
          <cell r="F2848">
            <v>6.8999999999999999E-3</v>
          </cell>
        </row>
        <row r="2849">
          <cell r="F2849">
            <v>6.8999999999999999E-3</v>
          </cell>
        </row>
        <row r="2850">
          <cell r="F2850">
            <v>1.7100000000000001E-2</v>
          </cell>
        </row>
        <row r="2851">
          <cell r="F2851">
            <v>2.3199999999999998E-2</v>
          </cell>
        </row>
        <row r="2852">
          <cell r="F2852">
            <v>0</v>
          </cell>
        </row>
        <row r="2853">
          <cell r="F2853">
            <v>0</v>
          </cell>
        </row>
        <row r="2854">
          <cell r="F2854">
            <v>0</v>
          </cell>
        </row>
        <row r="2855">
          <cell r="F2855">
            <v>0</v>
          </cell>
        </row>
        <row r="2856">
          <cell r="F2856">
            <v>0</v>
          </cell>
        </row>
        <row r="2857">
          <cell r="F2857">
            <v>0</v>
          </cell>
        </row>
        <row r="2858">
          <cell r="F2858">
            <v>0</v>
          </cell>
        </row>
        <row r="2859">
          <cell r="F2859">
            <v>6.2899999999999998E-2</v>
          </cell>
        </row>
        <row r="2860">
          <cell r="F2860">
            <v>7.9399999999999998E-2</v>
          </cell>
        </row>
        <row r="2861">
          <cell r="F2861">
            <v>6.3600000000000004E-2</v>
          </cell>
        </row>
        <row r="2862">
          <cell r="F2862">
            <v>6.7900000000000002E-2</v>
          </cell>
        </row>
        <row r="2863">
          <cell r="F2863">
            <v>6.5799999999999997E-2</v>
          </cell>
        </row>
        <row r="2864">
          <cell r="F2864">
            <v>6.4299999999999996E-2</v>
          </cell>
        </row>
        <row r="2865">
          <cell r="F2865">
            <v>6.6500000000000004E-2</v>
          </cell>
        </row>
        <row r="2866">
          <cell r="F2866">
            <v>7.3700000000000002E-2</v>
          </cell>
        </row>
        <row r="2867">
          <cell r="F2867">
            <v>7.2900000000000006E-2</v>
          </cell>
        </row>
        <row r="2868">
          <cell r="F2868">
            <v>7.0800000000000002E-2</v>
          </cell>
        </row>
        <row r="2869">
          <cell r="F2869">
            <v>6.6500000000000004E-2</v>
          </cell>
        </row>
        <row r="2870">
          <cell r="F2870">
            <v>8.0799999999999997E-2</v>
          </cell>
        </row>
        <row r="2871">
          <cell r="F2871">
            <v>7.0099999999999996E-2</v>
          </cell>
        </row>
        <row r="2872">
          <cell r="F2872">
            <v>8.3999999999999995E-3</v>
          </cell>
        </row>
        <row r="2873">
          <cell r="F2873">
            <v>6.8999999999999999E-3</v>
          </cell>
        </row>
        <row r="2874">
          <cell r="F2874">
            <v>6.8999999999999999E-3</v>
          </cell>
        </row>
        <row r="2875">
          <cell r="F2875">
            <v>6.8999999999999999E-3</v>
          </cell>
        </row>
        <row r="2876">
          <cell r="F2876">
            <v>6.8999999999999999E-3</v>
          </cell>
        </row>
        <row r="2877">
          <cell r="F2877">
            <v>6.8999999999999999E-3</v>
          </cell>
        </row>
        <row r="2878">
          <cell r="F2878">
            <v>0</v>
          </cell>
        </row>
        <row r="2879">
          <cell r="F2879">
            <v>0</v>
          </cell>
        </row>
        <row r="2880">
          <cell r="F2880">
            <v>0</v>
          </cell>
        </row>
        <row r="2881">
          <cell r="F2881">
            <v>0</v>
          </cell>
        </row>
        <row r="2882">
          <cell r="F2882">
            <v>0</v>
          </cell>
        </row>
        <row r="2883">
          <cell r="F2883">
            <v>8.0100000000000005E-2</v>
          </cell>
        </row>
        <row r="2884">
          <cell r="F2884">
            <v>7.2900000000000006E-2</v>
          </cell>
        </row>
        <row r="2885">
          <cell r="F2885">
            <v>7.8700000000000006E-2</v>
          </cell>
        </row>
        <row r="2886">
          <cell r="F2886">
            <v>7.5800000000000006E-2</v>
          </cell>
        </row>
        <row r="2887">
          <cell r="F2887">
            <v>7.2999999999999995E-2</v>
          </cell>
        </row>
        <row r="2888">
          <cell r="F2888">
            <v>7.7200000000000005E-2</v>
          </cell>
        </row>
        <row r="2889">
          <cell r="F2889">
            <v>7.8E-2</v>
          </cell>
        </row>
        <row r="2890">
          <cell r="F2890">
            <v>7.7700000000000005E-2</v>
          </cell>
        </row>
        <row r="2891">
          <cell r="F2891">
            <v>8.9099999999999999E-2</v>
          </cell>
        </row>
        <row r="2892">
          <cell r="F2892">
            <v>9.2499999999999999E-2</v>
          </cell>
        </row>
        <row r="2893">
          <cell r="F2893">
            <v>9.2499999999999999E-2</v>
          </cell>
        </row>
        <row r="2894">
          <cell r="F2894">
            <v>8.6099999999999996E-2</v>
          </cell>
        </row>
        <row r="2895">
          <cell r="F2895">
            <v>7.2599999999999998E-2</v>
          </cell>
        </row>
        <row r="2896">
          <cell r="F2896">
            <v>6.6100000000000006E-2</v>
          </cell>
        </row>
        <row r="2897">
          <cell r="F2897">
            <v>6.8999999999999999E-3</v>
          </cell>
        </row>
        <row r="2898">
          <cell r="F2898">
            <v>9.7999999999999997E-3</v>
          </cell>
        </row>
        <row r="2899">
          <cell r="F2899">
            <v>9.7999999999999997E-3</v>
          </cell>
        </row>
        <row r="2900">
          <cell r="F2900">
            <v>6.8999999999999999E-3</v>
          </cell>
        </row>
        <row r="2901">
          <cell r="F2901">
            <v>0.03</v>
          </cell>
        </row>
        <row r="2902">
          <cell r="F2902">
            <v>1.6199999999999999E-2</v>
          </cell>
        </row>
        <row r="2903">
          <cell r="F2903">
            <v>0</v>
          </cell>
        </row>
        <row r="2904">
          <cell r="F2904">
            <v>0</v>
          </cell>
        </row>
        <row r="2905">
          <cell r="F2905">
            <v>2.1700000000000001E-2</v>
          </cell>
        </row>
        <row r="2906">
          <cell r="F2906">
            <v>5.6899999999999999E-2</v>
          </cell>
        </row>
        <row r="2907">
          <cell r="F2907">
            <v>8.4199999999999997E-2</v>
          </cell>
        </row>
        <row r="2908">
          <cell r="F2908">
            <v>7.1900000000000006E-2</v>
          </cell>
        </row>
        <row r="2909">
          <cell r="F2909">
            <v>7.8899999999999998E-2</v>
          </cell>
        </row>
        <row r="2910">
          <cell r="F2910">
            <v>7.8700000000000006E-2</v>
          </cell>
        </row>
        <row r="2911">
          <cell r="F2911">
            <v>8.2299999999999998E-2</v>
          </cell>
        </row>
        <row r="2912">
          <cell r="F2912">
            <v>8.43E-2</v>
          </cell>
        </row>
        <row r="2913">
          <cell r="F2913">
            <v>8.8599999999999998E-2</v>
          </cell>
        </row>
        <row r="2914">
          <cell r="F2914">
            <v>7.9000000000000001E-2</v>
          </cell>
        </row>
        <row r="2915">
          <cell r="F2915">
            <v>6.54E-2</v>
          </cell>
        </row>
        <row r="2916">
          <cell r="F2916">
            <v>7.4700000000000003E-2</v>
          </cell>
        </row>
        <row r="2917">
          <cell r="F2917">
            <v>7.4700000000000003E-2</v>
          </cell>
        </row>
        <row r="2918">
          <cell r="F2918">
            <v>6.4699999999999994E-2</v>
          </cell>
        </row>
        <row r="2919">
          <cell r="F2919">
            <v>7.5399999999999995E-2</v>
          </cell>
        </row>
        <row r="2920">
          <cell r="F2920">
            <v>6.54E-2</v>
          </cell>
        </row>
        <row r="2921">
          <cell r="F2921">
            <v>6.0400000000000002E-2</v>
          </cell>
        </row>
        <row r="2922">
          <cell r="F2922">
            <v>3.2599999999999997E-2</v>
          </cell>
        </row>
        <row r="2923">
          <cell r="F2923">
            <v>2.2599999999999999E-2</v>
          </cell>
        </row>
        <row r="2924">
          <cell r="F2924">
            <v>9.7999999999999997E-3</v>
          </cell>
        </row>
        <row r="2925">
          <cell r="F2925">
            <v>9.7999999999999997E-3</v>
          </cell>
        </row>
        <row r="2926">
          <cell r="F2926">
            <v>9.7999999999999997E-3</v>
          </cell>
        </row>
        <row r="2927">
          <cell r="F2927">
            <v>2.07E-2</v>
          </cell>
        </row>
        <row r="2928">
          <cell r="F2928">
            <v>1.6199999999999999E-2</v>
          </cell>
        </row>
        <row r="2929">
          <cell r="F2929">
            <v>9.7999999999999997E-3</v>
          </cell>
        </row>
        <row r="2930">
          <cell r="F2930">
            <v>6.1899999999999997E-2</v>
          </cell>
        </row>
        <row r="2931">
          <cell r="F2931">
            <v>9.2600000000000002E-2</v>
          </cell>
        </row>
        <row r="2932">
          <cell r="F2932">
            <v>0.1047</v>
          </cell>
        </row>
        <row r="2933">
          <cell r="F2933">
            <v>7.6200000000000004E-2</v>
          </cell>
        </row>
        <row r="2934">
          <cell r="F2934">
            <v>7.1900000000000006E-2</v>
          </cell>
        </row>
        <row r="2935">
          <cell r="F2935">
            <v>7.4300000000000005E-2</v>
          </cell>
        </row>
        <row r="2936">
          <cell r="F2936">
            <v>8.14E-2</v>
          </cell>
        </row>
        <row r="2937">
          <cell r="F2937">
            <v>8.2799999999999999E-2</v>
          </cell>
        </row>
        <row r="2938">
          <cell r="F2938">
            <v>8.14E-2</v>
          </cell>
        </row>
        <row r="2939">
          <cell r="F2939">
            <v>7.0699999999999999E-2</v>
          </cell>
        </row>
        <row r="2940">
          <cell r="F2940">
            <v>7.2800000000000004E-2</v>
          </cell>
        </row>
        <row r="2941">
          <cell r="F2941">
            <v>7.1099999999999997E-2</v>
          </cell>
        </row>
        <row r="2942">
          <cell r="F2942">
            <v>8.5400000000000004E-2</v>
          </cell>
        </row>
        <row r="2943">
          <cell r="F2943">
            <v>8.1100000000000005E-2</v>
          </cell>
        </row>
        <row r="2944">
          <cell r="F2944">
            <v>6.4699999999999994E-2</v>
          </cell>
        </row>
        <row r="2945">
          <cell r="F2945">
            <v>9.7999999999999997E-3</v>
          </cell>
        </row>
        <row r="2946">
          <cell r="F2946">
            <v>9.7999999999999997E-3</v>
          </cell>
        </row>
        <row r="2947">
          <cell r="F2947">
            <v>9.7999999999999997E-3</v>
          </cell>
        </row>
        <row r="2948">
          <cell r="F2948">
            <v>9.7999999999999997E-3</v>
          </cell>
        </row>
        <row r="2949">
          <cell r="F2949">
            <v>9.7999999999999997E-3</v>
          </cell>
        </row>
        <row r="2950">
          <cell r="F2950">
            <v>6.8999999999999999E-3</v>
          </cell>
        </row>
        <row r="2951">
          <cell r="F2951">
            <v>1.15E-2</v>
          </cell>
        </row>
        <row r="2952">
          <cell r="F2952">
            <v>1.6199999999999999E-2</v>
          </cell>
        </row>
        <row r="2953">
          <cell r="F2953">
            <v>2.07E-2</v>
          </cell>
        </row>
        <row r="2954">
          <cell r="F2954">
            <v>6.4699999999999994E-2</v>
          </cell>
        </row>
        <row r="2955">
          <cell r="F2955">
            <v>9.7500000000000003E-2</v>
          </cell>
        </row>
        <row r="2956">
          <cell r="F2956">
            <v>8.5800000000000001E-2</v>
          </cell>
        </row>
        <row r="2957">
          <cell r="F2957">
            <v>8.5800000000000001E-2</v>
          </cell>
        </row>
        <row r="2958">
          <cell r="F2958">
            <v>7.6300000000000007E-2</v>
          </cell>
        </row>
        <row r="2959">
          <cell r="F2959">
            <v>7.8299999999999995E-2</v>
          </cell>
        </row>
        <row r="2960">
          <cell r="F2960">
            <v>0.1033</v>
          </cell>
        </row>
        <row r="2961">
          <cell r="F2961">
            <v>9.6100000000000005E-2</v>
          </cell>
        </row>
        <row r="2962">
          <cell r="F2962">
            <v>7.6100000000000001E-2</v>
          </cell>
        </row>
        <row r="2963">
          <cell r="F2963">
            <v>6.54E-2</v>
          </cell>
        </row>
        <row r="2964">
          <cell r="F2964">
            <v>6.54E-2</v>
          </cell>
        </row>
        <row r="2965">
          <cell r="F2965">
            <v>6.54E-2</v>
          </cell>
        </row>
        <row r="2966">
          <cell r="F2966">
            <v>6.6900000000000001E-2</v>
          </cell>
        </row>
        <row r="2967">
          <cell r="F2967">
            <v>7.3300000000000004E-2</v>
          </cell>
        </row>
        <row r="2968">
          <cell r="F2968">
            <v>6.9699999999999998E-2</v>
          </cell>
        </row>
        <row r="2969">
          <cell r="F2969">
            <v>5.5399999999999998E-2</v>
          </cell>
        </row>
        <row r="2970">
          <cell r="F2970">
            <v>3.1199999999999999E-2</v>
          </cell>
        </row>
        <row r="2971">
          <cell r="F2971">
            <v>3.0499999999999999E-2</v>
          </cell>
        </row>
        <row r="2972">
          <cell r="F2972">
            <v>9.7999999999999997E-3</v>
          </cell>
        </row>
        <row r="2973">
          <cell r="F2973">
            <v>9.7999999999999997E-3</v>
          </cell>
        </row>
        <row r="2974">
          <cell r="F2974">
            <v>9.7999999999999997E-3</v>
          </cell>
        </row>
        <row r="2975">
          <cell r="F2975">
            <v>1.95E-2</v>
          </cell>
        </row>
        <row r="2976">
          <cell r="F2976">
            <v>2.0799999999999999E-2</v>
          </cell>
        </row>
        <row r="2977">
          <cell r="F2977">
            <v>1.8700000000000001E-2</v>
          </cell>
        </row>
        <row r="2978">
          <cell r="F2978">
            <v>6.4699999999999994E-2</v>
          </cell>
        </row>
        <row r="2979">
          <cell r="F2979">
            <v>9.7500000000000003E-2</v>
          </cell>
        </row>
        <row r="2980">
          <cell r="F2980">
            <v>0.1033</v>
          </cell>
        </row>
        <row r="2981">
          <cell r="F2981">
            <v>8.2600000000000007E-2</v>
          </cell>
        </row>
        <row r="2982">
          <cell r="F2982">
            <v>8.1900000000000001E-2</v>
          </cell>
        </row>
        <row r="2983">
          <cell r="F2983">
            <v>7.1900000000000006E-2</v>
          </cell>
        </row>
        <row r="2984">
          <cell r="F2984">
            <v>7.1900000000000006E-2</v>
          </cell>
        </row>
        <row r="2985">
          <cell r="F2985">
            <v>7.1800000000000003E-2</v>
          </cell>
        </row>
        <row r="2986">
          <cell r="F2986">
            <v>7.0400000000000004E-2</v>
          </cell>
        </row>
        <row r="2987">
          <cell r="F2987">
            <v>7.4499999999999997E-2</v>
          </cell>
        </row>
        <row r="2988">
          <cell r="F2988">
            <v>7.1599999999999997E-2</v>
          </cell>
        </row>
        <row r="2989">
          <cell r="F2989">
            <v>7.3099999999999998E-2</v>
          </cell>
        </row>
        <row r="2990">
          <cell r="F2990">
            <v>7.1599999999999997E-2</v>
          </cell>
        </row>
        <row r="2991">
          <cell r="F2991">
            <v>7.3800000000000004E-2</v>
          </cell>
        </row>
        <row r="2992">
          <cell r="F2992">
            <v>8.1100000000000005E-2</v>
          </cell>
        </row>
        <row r="2993">
          <cell r="F2993">
            <v>0</v>
          </cell>
        </row>
        <row r="2994">
          <cell r="F2994">
            <v>0</v>
          </cell>
        </row>
        <row r="2995">
          <cell r="F2995">
            <v>2.5999999999999999E-3</v>
          </cell>
        </row>
        <row r="2996">
          <cell r="F2996">
            <v>2.5999999999999999E-3</v>
          </cell>
        </row>
        <row r="2997">
          <cell r="F2997">
            <v>1.38E-2</v>
          </cell>
        </row>
        <row r="2998">
          <cell r="F2998">
            <v>2.53E-2</v>
          </cell>
        </row>
        <row r="2999">
          <cell r="F2999">
            <v>9.1000000000000004E-3</v>
          </cell>
        </row>
        <row r="3000">
          <cell r="F3000">
            <v>0</v>
          </cell>
        </row>
        <row r="3001">
          <cell r="F3001">
            <v>0</v>
          </cell>
        </row>
        <row r="3002">
          <cell r="F3002">
            <v>7.1999999999999998E-3</v>
          </cell>
        </row>
        <row r="3003">
          <cell r="F3003">
            <v>7.9699999999999993E-2</v>
          </cell>
        </row>
        <row r="3004">
          <cell r="F3004">
            <v>8.4000000000000005E-2</v>
          </cell>
        </row>
        <row r="3005">
          <cell r="F3005">
            <v>7.9699999999999993E-2</v>
          </cell>
        </row>
        <row r="3006">
          <cell r="F3006">
            <v>8.1900000000000001E-2</v>
          </cell>
        </row>
        <row r="3007">
          <cell r="F3007">
            <v>7.3700000000000002E-2</v>
          </cell>
        </row>
        <row r="3008">
          <cell r="F3008">
            <v>8.6800000000000002E-2</v>
          </cell>
        </row>
        <row r="3009">
          <cell r="F3009">
            <v>7.3999999999999996E-2</v>
          </cell>
        </row>
        <row r="3010">
          <cell r="F3010">
            <v>8.1900000000000001E-2</v>
          </cell>
        </row>
        <row r="3011">
          <cell r="F3011">
            <v>8.3299999999999999E-2</v>
          </cell>
        </row>
        <row r="3012">
          <cell r="F3012">
            <v>8.5400000000000004E-2</v>
          </cell>
        </row>
        <row r="3013">
          <cell r="F3013">
            <v>8.1799999999999998E-2</v>
          </cell>
        </row>
        <row r="3014">
          <cell r="F3014">
            <v>8.1100000000000005E-2</v>
          </cell>
        </row>
        <row r="3015">
          <cell r="F3015">
            <v>8.8999999999999996E-2</v>
          </cell>
        </row>
        <row r="3016">
          <cell r="F3016">
            <v>8.4000000000000005E-2</v>
          </cell>
        </row>
        <row r="3017">
          <cell r="F3017">
            <v>6.8999999999999999E-3</v>
          </cell>
        </row>
        <row r="3018">
          <cell r="F3018">
            <v>9.7999999999999997E-3</v>
          </cell>
        </row>
        <row r="3019">
          <cell r="F3019">
            <v>9.7999999999999997E-3</v>
          </cell>
        </row>
        <row r="3020">
          <cell r="F3020">
            <v>8.3000000000000001E-3</v>
          </cell>
        </row>
        <row r="3021">
          <cell r="F3021">
            <v>9.7999999999999997E-3</v>
          </cell>
        </row>
        <row r="3022">
          <cell r="F3022">
            <v>3.2500000000000001E-2</v>
          </cell>
        </row>
        <row r="3023">
          <cell r="F3023">
            <v>0</v>
          </cell>
        </row>
        <row r="3024">
          <cell r="F3024">
            <v>0</v>
          </cell>
        </row>
        <row r="3025">
          <cell r="F3025">
            <v>1.6199999999999999E-2</v>
          </cell>
        </row>
        <row r="3026">
          <cell r="F3026">
            <v>1.6199999999999999E-2</v>
          </cell>
        </row>
        <row r="3027">
          <cell r="F3027">
            <v>9.8299999999999998E-2</v>
          </cell>
        </row>
        <row r="3028">
          <cell r="F3028">
            <v>7.6899999999999996E-2</v>
          </cell>
        </row>
        <row r="3029">
          <cell r="F3029">
            <v>7.6200000000000004E-2</v>
          </cell>
        </row>
        <row r="3030">
          <cell r="F3030">
            <v>6.9199999999999998E-2</v>
          </cell>
        </row>
        <row r="3031">
          <cell r="F3031">
            <v>6.7000000000000004E-2</v>
          </cell>
        </row>
        <row r="3032">
          <cell r="F3032">
            <v>6.8400000000000002E-2</v>
          </cell>
        </row>
        <row r="3033">
          <cell r="F3033">
            <v>8.9700000000000002E-2</v>
          </cell>
        </row>
        <row r="3034">
          <cell r="F3034">
            <v>7.3300000000000004E-2</v>
          </cell>
        </row>
        <row r="3035">
          <cell r="F3035">
            <v>6.4000000000000001E-2</v>
          </cell>
        </row>
        <row r="3036">
          <cell r="F3036">
            <v>6.4699999999999994E-2</v>
          </cell>
        </row>
        <row r="3037">
          <cell r="F3037">
            <v>6.54E-2</v>
          </cell>
        </row>
        <row r="3038">
          <cell r="F3038">
            <v>6.4000000000000001E-2</v>
          </cell>
        </row>
        <row r="3039">
          <cell r="F3039">
            <v>6.0400000000000002E-2</v>
          </cell>
        </row>
        <row r="3040">
          <cell r="F3040">
            <v>7.9699999999999993E-2</v>
          </cell>
        </row>
        <row r="3041">
          <cell r="F3041">
            <v>6.54E-2</v>
          </cell>
        </row>
        <row r="3042">
          <cell r="F3042">
            <v>4.0500000000000001E-2</v>
          </cell>
        </row>
        <row r="3043">
          <cell r="F3043">
            <v>6.4000000000000001E-2</v>
          </cell>
        </row>
        <row r="3044">
          <cell r="F3044">
            <v>4.48E-2</v>
          </cell>
        </row>
        <row r="3045">
          <cell r="F3045">
            <v>9.7999999999999997E-3</v>
          </cell>
        </row>
        <row r="3046">
          <cell r="F3046">
            <v>5.62E-2</v>
          </cell>
        </row>
        <row r="3047">
          <cell r="F3047">
            <v>3.1300000000000001E-2</v>
          </cell>
        </row>
        <row r="3048">
          <cell r="F3048">
            <v>9.7999999999999997E-3</v>
          </cell>
        </row>
        <row r="3049">
          <cell r="F3049">
            <v>3.0599999999999999E-2</v>
          </cell>
        </row>
        <row r="3050">
          <cell r="F3050">
            <v>2.5100000000000001E-2</v>
          </cell>
        </row>
        <row r="3051">
          <cell r="F3051">
            <v>9.0499999999999997E-2</v>
          </cell>
        </row>
        <row r="3052">
          <cell r="F3052">
            <v>9.6199999999999994E-2</v>
          </cell>
        </row>
        <row r="3053">
          <cell r="F3053">
            <v>7.5499999999999998E-2</v>
          </cell>
        </row>
        <row r="3054">
          <cell r="F3054">
            <v>7.8399999999999997E-2</v>
          </cell>
        </row>
        <row r="3055">
          <cell r="F3055">
            <v>8.0500000000000002E-2</v>
          </cell>
        </row>
        <row r="3056">
          <cell r="F3056">
            <v>8.1100000000000005E-2</v>
          </cell>
        </row>
        <row r="3057">
          <cell r="F3057">
            <v>7.0400000000000004E-2</v>
          </cell>
        </row>
        <row r="3058">
          <cell r="F3058">
            <v>7.3999999999999996E-2</v>
          </cell>
        </row>
        <row r="3059">
          <cell r="F3059">
            <v>7.1099999999999997E-2</v>
          </cell>
        </row>
        <row r="3060">
          <cell r="F3060">
            <v>0.10249999999999999</v>
          </cell>
        </row>
        <row r="3061">
          <cell r="F3061">
            <v>9.4700000000000006E-2</v>
          </cell>
        </row>
        <row r="3062">
          <cell r="F3062">
            <v>7.2599999999999998E-2</v>
          </cell>
        </row>
        <row r="3063">
          <cell r="F3063">
            <v>6.54E-2</v>
          </cell>
        </row>
        <row r="3064">
          <cell r="F3064">
            <v>6.54E-2</v>
          </cell>
        </row>
        <row r="3065">
          <cell r="F3065">
            <v>6.8999999999999999E-3</v>
          </cell>
        </row>
        <row r="3066">
          <cell r="F3066">
            <v>7.0000000000000001E-3</v>
          </cell>
        </row>
        <row r="3067">
          <cell r="F3067">
            <v>7.0000000000000001E-3</v>
          </cell>
        </row>
        <row r="3068">
          <cell r="F3068">
            <v>1.35E-2</v>
          </cell>
        </row>
        <row r="3069">
          <cell r="F3069">
            <v>2.0000000000000001E-4</v>
          </cell>
        </row>
        <row r="3070">
          <cell r="F3070">
            <v>1.6400000000000001E-2</v>
          </cell>
        </row>
        <row r="3071">
          <cell r="F3071">
            <v>2.9999999999999997E-4</v>
          </cell>
        </row>
        <row r="3072">
          <cell r="F3072">
            <v>2.9999999999999997E-4</v>
          </cell>
        </row>
        <row r="3073">
          <cell r="F3073">
            <v>1.23E-2</v>
          </cell>
        </row>
        <row r="3074">
          <cell r="F3074">
            <v>6.0100000000000001E-2</v>
          </cell>
        </row>
        <row r="3075">
          <cell r="F3075">
            <v>9.64E-2</v>
          </cell>
        </row>
        <row r="3076">
          <cell r="F3076">
            <v>8.3400000000000002E-2</v>
          </cell>
        </row>
        <row r="3077">
          <cell r="F3077">
            <v>7.4999999999999997E-2</v>
          </cell>
        </row>
        <row r="3078">
          <cell r="F3078">
            <v>7.9299999999999995E-2</v>
          </cell>
        </row>
        <row r="3079">
          <cell r="F3079">
            <v>8.0699999999999994E-2</v>
          </cell>
        </row>
        <row r="3080">
          <cell r="F3080">
            <v>8.0600000000000005E-2</v>
          </cell>
        </row>
        <row r="3081">
          <cell r="F3081">
            <v>8.7599999999999997E-2</v>
          </cell>
        </row>
        <row r="3082">
          <cell r="F3082">
            <v>7.3300000000000004E-2</v>
          </cell>
        </row>
        <row r="3083">
          <cell r="F3083">
            <v>8.2600000000000007E-2</v>
          </cell>
        </row>
        <row r="3084">
          <cell r="F3084">
            <v>9.1800000000000007E-2</v>
          </cell>
        </row>
        <row r="3085">
          <cell r="F3085">
            <v>9.1800000000000007E-2</v>
          </cell>
        </row>
        <row r="3086">
          <cell r="F3086">
            <v>7.3300000000000004E-2</v>
          </cell>
        </row>
        <row r="3087">
          <cell r="F3087">
            <v>7.1099999999999997E-2</v>
          </cell>
        </row>
        <row r="3088">
          <cell r="F3088">
            <v>8.4000000000000005E-2</v>
          </cell>
        </row>
        <row r="3089">
          <cell r="F3089">
            <v>5.4100000000000002E-2</v>
          </cell>
        </row>
        <row r="3090">
          <cell r="F3090">
            <v>2.8400000000000002E-2</v>
          </cell>
        </row>
        <row r="3091">
          <cell r="F3091">
            <v>2.7E-2</v>
          </cell>
        </row>
        <row r="3092">
          <cell r="F3092">
            <v>3.8300000000000001E-2</v>
          </cell>
        </row>
        <row r="3093">
          <cell r="F3093">
            <v>9.7999999999999997E-3</v>
          </cell>
        </row>
        <row r="3094">
          <cell r="F3094">
            <v>3.2599999999999997E-2</v>
          </cell>
        </row>
        <row r="3095">
          <cell r="F3095">
            <v>9.7999999999999997E-3</v>
          </cell>
        </row>
        <row r="3096">
          <cell r="F3096">
            <v>2.4799999999999999E-2</v>
          </cell>
        </row>
        <row r="3097">
          <cell r="F3097">
            <v>3.6200000000000003E-2</v>
          </cell>
        </row>
        <row r="3098">
          <cell r="F3098">
            <v>6.5500000000000003E-2</v>
          </cell>
        </row>
        <row r="3099">
          <cell r="F3099">
            <v>8.6099999999999996E-2</v>
          </cell>
        </row>
        <row r="3100">
          <cell r="F3100">
            <v>9.6799999999999997E-2</v>
          </cell>
        </row>
        <row r="3101">
          <cell r="F3101">
            <v>8.4000000000000005E-2</v>
          </cell>
        </row>
        <row r="3102">
          <cell r="F3102">
            <v>7.4899999999999994E-2</v>
          </cell>
        </row>
        <row r="3103">
          <cell r="F3103">
            <v>8.48E-2</v>
          </cell>
        </row>
        <row r="3104">
          <cell r="F3104">
            <v>8.6800000000000002E-2</v>
          </cell>
        </row>
        <row r="3105">
          <cell r="F3105">
            <v>8.8999999999999996E-2</v>
          </cell>
        </row>
        <row r="3106">
          <cell r="F3106">
            <v>7.22E-2</v>
          </cell>
        </row>
        <row r="3107">
          <cell r="F3107">
            <v>7.22E-2</v>
          </cell>
        </row>
        <row r="3108">
          <cell r="F3108">
            <v>9.2499999999999999E-2</v>
          </cell>
        </row>
        <row r="3109">
          <cell r="F3109">
            <v>9.3299999999999994E-2</v>
          </cell>
        </row>
        <row r="3110">
          <cell r="F3110">
            <v>7.1400000000000005E-2</v>
          </cell>
        </row>
        <row r="3111">
          <cell r="F3111">
            <v>7.1400000000000005E-2</v>
          </cell>
        </row>
        <row r="3112">
          <cell r="F3112">
            <v>8.3900000000000002E-2</v>
          </cell>
        </row>
        <row r="3113">
          <cell r="F3113">
            <v>5.6899999999999999E-2</v>
          </cell>
        </row>
        <row r="3114">
          <cell r="F3114">
            <v>1.1999999999999999E-3</v>
          </cell>
        </row>
        <row r="3115">
          <cell r="F3115">
            <v>2.5999999999999999E-3</v>
          </cell>
        </row>
        <row r="3116">
          <cell r="F3116">
            <v>2.5999999999999999E-3</v>
          </cell>
        </row>
        <row r="3117">
          <cell r="F3117">
            <v>2.7300000000000001E-2</v>
          </cell>
        </row>
        <row r="3118">
          <cell r="F3118">
            <v>2.0500000000000001E-2</v>
          </cell>
        </row>
        <row r="3119">
          <cell r="F3119">
            <v>9.1000000000000004E-3</v>
          </cell>
        </row>
        <row r="3120">
          <cell r="F3120">
            <v>0</v>
          </cell>
        </row>
        <row r="3121">
          <cell r="F3121">
            <v>0</v>
          </cell>
        </row>
        <row r="3122">
          <cell r="F3122">
            <v>6.1999999999999998E-3</v>
          </cell>
        </row>
        <row r="3123">
          <cell r="F3123">
            <v>8.9700000000000002E-2</v>
          </cell>
        </row>
        <row r="3124">
          <cell r="F3124">
            <v>9.7500000000000003E-2</v>
          </cell>
        </row>
        <row r="3125">
          <cell r="F3125">
            <v>7.3999999999999996E-2</v>
          </cell>
        </row>
        <row r="3126">
          <cell r="F3126">
            <v>7.5499999999999998E-2</v>
          </cell>
        </row>
        <row r="3127">
          <cell r="F3127">
            <v>7.3300000000000004E-2</v>
          </cell>
        </row>
        <row r="3128">
          <cell r="F3128">
            <v>7.2599999999999998E-2</v>
          </cell>
        </row>
        <row r="3129">
          <cell r="F3129">
            <v>7.1099999999999997E-2</v>
          </cell>
        </row>
        <row r="3130">
          <cell r="F3130">
            <v>9.4500000000000001E-2</v>
          </cell>
        </row>
        <row r="3131">
          <cell r="F3131">
            <v>8.3000000000000004E-2</v>
          </cell>
        </row>
        <row r="3132">
          <cell r="F3132">
            <v>8.7499999999999994E-2</v>
          </cell>
        </row>
        <row r="3133">
          <cell r="F3133">
            <v>9.8199999999999996E-2</v>
          </cell>
        </row>
        <row r="3134">
          <cell r="F3134">
            <v>8.4699999999999998E-2</v>
          </cell>
        </row>
        <row r="3135">
          <cell r="F3135">
            <v>5.8299999999999998E-2</v>
          </cell>
        </row>
        <row r="3136">
          <cell r="F3136">
            <v>6.0400000000000002E-2</v>
          </cell>
        </row>
        <row r="3137">
          <cell r="F3137">
            <v>0</v>
          </cell>
        </row>
        <row r="3138">
          <cell r="F3138">
            <v>0</v>
          </cell>
        </row>
        <row r="3139">
          <cell r="F3139">
            <v>2.5999999999999999E-3</v>
          </cell>
        </row>
        <row r="3140">
          <cell r="F3140">
            <v>2.5999999999999999E-3</v>
          </cell>
        </row>
        <row r="3141">
          <cell r="F3141">
            <v>2.0500000000000001E-2</v>
          </cell>
        </row>
        <row r="3142">
          <cell r="F3142">
            <v>7.1999999999999998E-3</v>
          </cell>
        </row>
        <row r="3143">
          <cell r="F3143">
            <v>0</v>
          </cell>
        </row>
        <row r="3144">
          <cell r="F3144">
            <v>0</v>
          </cell>
        </row>
        <row r="3145">
          <cell r="F3145">
            <v>0</v>
          </cell>
        </row>
        <row r="3146">
          <cell r="F3146">
            <v>0</v>
          </cell>
        </row>
        <row r="3147">
          <cell r="F3147">
            <v>6.7599999999999993E-2</v>
          </cell>
        </row>
        <row r="3148">
          <cell r="F3148">
            <v>9.8299999999999998E-2</v>
          </cell>
        </row>
        <row r="3149">
          <cell r="F3149">
            <v>8.4699999999999998E-2</v>
          </cell>
        </row>
        <row r="3150">
          <cell r="F3150">
            <v>7.2599999999999998E-2</v>
          </cell>
        </row>
        <row r="3151">
          <cell r="F3151">
            <v>7.7600000000000002E-2</v>
          </cell>
        </row>
        <row r="3152">
          <cell r="F3152">
            <v>6.83E-2</v>
          </cell>
        </row>
        <row r="3153">
          <cell r="F3153">
            <v>7.3999999999999996E-2</v>
          </cell>
        </row>
        <row r="3154">
          <cell r="F3154">
            <v>7.8299999999999995E-2</v>
          </cell>
        </row>
        <row r="3155">
          <cell r="F3155">
            <v>6.6900000000000001E-2</v>
          </cell>
        </row>
        <row r="3156">
          <cell r="F3156">
            <v>5.7599999999999998E-2</v>
          </cell>
        </row>
        <row r="3157">
          <cell r="F3157">
            <v>6.0400000000000002E-2</v>
          </cell>
        </row>
        <row r="3158">
          <cell r="F3158">
            <v>6.6900000000000001E-2</v>
          </cell>
        </row>
        <row r="3159">
          <cell r="F3159">
            <v>6.9000000000000006E-2</v>
          </cell>
        </row>
        <row r="3160">
          <cell r="F3160">
            <v>6.7599999999999993E-2</v>
          </cell>
        </row>
        <row r="3161">
          <cell r="F3161">
            <v>0</v>
          </cell>
        </row>
        <row r="3162">
          <cell r="F3162">
            <v>0</v>
          </cell>
        </row>
        <row r="3163">
          <cell r="F3163">
            <v>0</v>
          </cell>
        </row>
        <row r="3164">
          <cell r="F3164">
            <v>1.1999999999999999E-3</v>
          </cell>
        </row>
        <row r="3165">
          <cell r="F3165">
            <v>6.8999999999999999E-3</v>
          </cell>
        </row>
        <row r="3166">
          <cell r="F3166">
            <v>6.8999999999999999E-3</v>
          </cell>
        </row>
        <row r="3167">
          <cell r="F3167">
            <v>1.1599999999999999E-2</v>
          </cell>
        </row>
        <row r="3168">
          <cell r="F3168">
            <v>0</v>
          </cell>
        </row>
        <row r="3169">
          <cell r="F3169">
            <v>0</v>
          </cell>
        </row>
        <row r="3170">
          <cell r="F3170">
            <v>0</v>
          </cell>
        </row>
        <row r="3171">
          <cell r="F3171">
            <v>2.0400000000000001E-2</v>
          </cell>
        </row>
        <row r="3172">
          <cell r="F3172">
            <v>9.1800000000000007E-2</v>
          </cell>
        </row>
        <row r="3173">
          <cell r="F3173">
            <v>7.9699999999999993E-2</v>
          </cell>
        </row>
        <row r="3174">
          <cell r="F3174">
            <v>7.9000000000000001E-2</v>
          </cell>
        </row>
        <row r="3175">
          <cell r="F3175">
            <v>8.1100000000000005E-2</v>
          </cell>
        </row>
        <row r="3176">
          <cell r="F3176">
            <v>7.4999999999999997E-2</v>
          </cell>
        </row>
        <row r="3177">
          <cell r="F3177">
            <v>8.0699999999999994E-2</v>
          </cell>
        </row>
        <row r="3178">
          <cell r="F3178">
            <v>8.1100000000000005E-2</v>
          </cell>
        </row>
        <row r="3179">
          <cell r="F3179">
            <v>7.3999999999999996E-2</v>
          </cell>
        </row>
        <row r="3180">
          <cell r="F3180">
            <v>7.4700000000000003E-2</v>
          </cell>
        </row>
        <row r="3181">
          <cell r="F3181">
            <v>8.1799999999999998E-2</v>
          </cell>
        </row>
        <row r="3182">
          <cell r="F3182">
            <v>7.2599999999999998E-2</v>
          </cell>
        </row>
        <row r="3183">
          <cell r="F3183">
            <v>7.3300000000000004E-2</v>
          </cell>
        </row>
        <row r="3184">
          <cell r="F3184">
            <v>6.8999999999999999E-3</v>
          </cell>
        </row>
        <row r="3185">
          <cell r="F3185">
            <v>6.8999999999999999E-3</v>
          </cell>
        </row>
        <row r="3186">
          <cell r="F3186">
            <v>2.0400000000000001E-2</v>
          </cell>
        </row>
        <row r="3187">
          <cell r="F3187">
            <v>2.5600000000000001E-2</v>
          </cell>
        </row>
        <row r="3188">
          <cell r="F3188">
            <v>0</v>
          </cell>
        </row>
        <row r="3189">
          <cell r="F3189">
            <v>0</v>
          </cell>
        </row>
        <row r="3190">
          <cell r="F3190">
            <v>0</v>
          </cell>
        </row>
        <row r="3191">
          <cell r="F3191">
            <v>0</v>
          </cell>
        </row>
        <row r="3192">
          <cell r="F3192">
            <v>0</v>
          </cell>
        </row>
        <row r="3193">
          <cell r="F3193">
            <v>0</v>
          </cell>
        </row>
        <row r="3194">
          <cell r="F3194">
            <v>0</v>
          </cell>
        </row>
        <row r="3195">
          <cell r="F3195">
            <v>1.6199999999999999E-2</v>
          </cell>
        </row>
        <row r="3196">
          <cell r="F3196">
            <v>9.1899999999999996E-2</v>
          </cell>
        </row>
        <row r="3197">
          <cell r="F3197">
            <v>7.6899999999999996E-2</v>
          </cell>
        </row>
        <row r="3198">
          <cell r="F3198">
            <v>7.9799999999999996E-2</v>
          </cell>
        </row>
        <row r="3199">
          <cell r="F3199">
            <v>8.4699999999999998E-2</v>
          </cell>
        </row>
        <row r="3200">
          <cell r="F3200">
            <v>7.9000000000000001E-2</v>
          </cell>
        </row>
        <row r="3201">
          <cell r="F3201">
            <v>7.6100000000000001E-2</v>
          </cell>
        </row>
        <row r="3202">
          <cell r="F3202">
            <v>8.1799999999999998E-2</v>
          </cell>
        </row>
        <row r="3203">
          <cell r="F3203">
            <v>7.6799999999999993E-2</v>
          </cell>
        </row>
        <row r="3204">
          <cell r="F3204">
            <v>8.1100000000000005E-2</v>
          </cell>
        </row>
        <row r="3205">
          <cell r="F3205">
            <v>6.9000000000000006E-2</v>
          </cell>
        </row>
        <row r="3206">
          <cell r="F3206">
            <v>6.6100000000000006E-2</v>
          </cell>
        </row>
        <row r="3207">
          <cell r="F3207">
            <v>8.0399999999999999E-2</v>
          </cell>
        </row>
        <row r="3208">
          <cell r="F3208">
            <v>6.54E-2</v>
          </cell>
        </row>
        <row r="3209">
          <cell r="F3209">
            <v>7.0000000000000001E-3</v>
          </cell>
        </row>
        <row r="3210">
          <cell r="F3210">
            <v>6.8999999999999999E-3</v>
          </cell>
        </row>
        <row r="3211">
          <cell r="F3211">
            <v>8.3000000000000001E-3</v>
          </cell>
        </row>
        <row r="3212">
          <cell r="F3212">
            <v>1.38E-2</v>
          </cell>
        </row>
        <row r="3213">
          <cell r="F3213">
            <v>4.4000000000000003E-3</v>
          </cell>
        </row>
        <row r="3214">
          <cell r="F3214">
            <v>0</v>
          </cell>
        </row>
        <row r="3215">
          <cell r="F3215">
            <v>0</v>
          </cell>
        </row>
        <row r="3216">
          <cell r="F3216">
            <v>0</v>
          </cell>
        </row>
        <row r="3217">
          <cell r="F3217">
            <v>0</v>
          </cell>
        </row>
        <row r="3218">
          <cell r="F3218">
            <v>0</v>
          </cell>
        </row>
        <row r="3219">
          <cell r="F3219">
            <v>7.9000000000000001E-2</v>
          </cell>
        </row>
        <row r="3220">
          <cell r="F3220">
            <v>9.2499999999999999E-2</v>
          </cell>
        </row>
        <row r="3221">
          <cell r="F3221">
            <v>7.9699999999999993E-2</v>
          </cell>
        </row>
        <row r="3222">
          <cell r="F3222">
            <v>7.8299999999999995E-2</v>
          </cell>
        </row>
        <row r="3223">
          <cell r="F3223">
            <v>8.48E-2</v>
          </cell>
        </row>
        <row r="3224">
          <cell r="F3224">
            <v>8.1799999999999998E-2</v>
          </cell>
        </row>
        <row r="3225">
          <cell r="F3225">
            <v>8.1000000000000003E-2</v>
          </cell>
        </row>
        <row r="3226">
          <cell r="F3226">
            <v>6.9699999999999998E-2</v>
          </cell>
        </row>
        <row r="3227">
          <cell r="F3227">
            <v>6.6100000000000006E-2</v>
          </cell>
        </row>
        <row r="3228">
          <cell r="F3228">
            <v>6.7599999999999993E-2</v>
          </cell>
        </row>
        <row r="3229">
          <cell r="F3229">
            <v>6.6100000000000006E-2</v>
          </cell>
        </row>
        <row r="3230">
          <cell r="F3230">
            <v>7.6799999999999993E-2</v>
          </cell>
        </row>
        <row r="3231">
          <cell r="F3231">
            <v>7.3300000000000004E-2</v>
          </cell>
        </row>
        <row r="3232">
          <cell r="F3232">
            <v>5.4699999999999999E-2</v>
          </cell>
        </row>
        <row r="3233">
          <cell r="F3233">
            <v>0</v>
          </cell>
        </row>
        <row r="3234">
          <cell r="F3234">
            <v>0</v>
          </cell>
        </row>
        <row r="3235">
          <cell r="F3235">
            <v>0</v>
          </cell>
        </row>
        <row r="3236">
          <cell r="F3236">
            <v>1.21E-2</v>
          </cell>
        </row>
        <row r="3237">
          <cell r="F3237">
            <v>1.1299999999999999E-2</v>
          </cell>
        </row>
        <row r="3238">
          <cell r="F3238">
            <v>0</v>
          </cell>
        </row>
        <row r="3239">
          <cell r="F3239">
            <v>0</v>
          </cell>
        </row>
        <row r="3240">
          <cell r="F3240">
            <v>0</v>
          </cell>
        </row>
        <row r="3241">
          <cell r="F3241">
            <v>0</v>
          </cell>
        </row>
        <row r="3242">
          <cell r="F3242">
            <v>0</v>
          </cell>
        </row>
        <row r="3243">
          <cell r="F3243">
            <v>6.4000000000000001E-2</v>
          </cell>
        </row>
        <row r="3244">
          <cell r="F3244">
            <v>9.1800000000000007E-2</v>
          </cell>
        </row>
        <row r="3245">
          <cell r="F3245">
            <v>7.1800000000000003E-2</v>
          </cell>
        </row>
        <row r="3246">
          <cell r="F3246">
            <v>7.2599999999999998E-2</v>
          </cell>
        </row>
        <row r="3247">
          <cell r="F3247">
            <v>7.2599999999999998E-2</v>
          </cell>
        </row>
        <row r="3248">
          <cell r="F3248">
            <v>6.9400000000000003E-2</v>
          </cell>
        </row>
        <row r="3249">
          <cell r="F3249">
            <v>6.8699999999999997E-2</v>
          </cell>
        </row>
        <row r="3250">
          <cell r="F3250">
            <v>6.1899999999999997E-2</v>
          </cell>
        </row>
        <row r="3251">
          <cell r="F3251">
            <v>5.9700000000000003E-2</v>
          </cell>
        </row>
        <row r="3252">
          <cell r="F3252">
            <v>6.6100000000000006E-2</v>
          </cell>
        </row>
        <row r="3253">
          <cell r="F3253">
            <v>6.3299999999999995E-2</v>
          </cell>
        </row>
        <row r="3254">
          <cell r="F3254">
            <v>6.0400000000000002E-2</v>
          </cell>
        </row>
        <row r="3255">
          <cell r="F3255">
            <v>6.83E-2</v>
          </cell>
        </row>
        <row r="3256">
          <cell r="F3256">
            <v>5.6099999999999997E-2</v>
          </cell>
        </row>
        <row r="3257">
          <cell r="F3257">
            <v>0</v>
          </cell>
        </row>
        <row r="3258">
          <cell r="F3258">
            <v>1.1999999999999999E-3</v>
          </cell>
        </row>
        <row r="3259">
          <cell r="F3259">
            <v>2.5999999999999999E-3</v>
          </cell>
        </row>
        <row r="3260">
          <cell r="F3260">
            <v>0</v>
          </cell>
        </row>
        <row r="3261">
          <cell r="F3261">
            <v>6.7000000000000002E-3</v>
          </cell>
        </row>
        <row r="3262">
          <cell r="F3262">
            <v>1.21E-2</v>
          </cell>
        </row>
        <row r="3263">
          <cell r="F3263">
            <v>1.14E-2</v>
          </cell>
        </row>
        <row r="3264">
          <cell r="F3264">
            <v>0</v>
          </cell>
        </row>
        <row r="3265">
          <cell r="F3265">
            <v>0</v>
          </cell>
        </row>
        <row r="3266">
          <cell r="F3266">
            <v>0</v>
          </cell>
        </row>
        <row r="3267">
          <cell r="F3267">
            <v>5.4699999999999999E-2</v>
          </cell>
        </row>
        <row r="3268">
          <cell r="F3268">
            <v>9.1800000000000007E-2</v>
          </cell>
        </row>
        <row r="3269">
          <cell r="F3269">
            <v>7.1199999999999999E-2</v>
          </cell>
        </row>
        <row r="3270">
          <cell r="F3270">
            <v>7.2599999999999998E-2</v>
          </cell>
        </row>
        <row r="3271">
          <cell r="F3271">
            <v>7.1900000000000006E-2</v>
          </cell>
        </row>
        <row r="3272">
          <cell r="F3272">
            <v>6.7699999999999996E-2</v>
          </cell>
        </row>
        <row r="3273">
          <cell r="F3273">
            <v>6.9900000000000004E-2</v>
          </cell>
        </row>
        <row r="3274">
          <cell r="F3274">
            <v>6.1100000000000002E-2</v>
          </cell>
        </row>
        <row r="3275">
          <cell r="F3275">
            <v>5.9700000000000003E-2</v>
          </cell>
        </row>
        <row r="3276">
          <cell r="F3276">
            <v>7.1800000000000003E-2</v>
          </cell>
        </row>
        <row r="3277">
          <cell r="F3277">
            <v>7.5499999999999998E-2</v>
          </cell>
        </row>
        <row r="3278">
          <cell r="F3278">
            <v>7.1900000000000006E-2</v>
          </cell>
        </row>
        <row r="3279">
          <cell r="F3279">
            <v>8.0399999999999999E-2</v>
          </cell>
        </row>
        <row r="3280">
          <cell r="F3280">
            <v>6.1899999999999997E-2</v>
          </cell>
        </row>
        <row r="3281">
          <cell r="F3281">
            <v>0</v>
          </cell>
        </row>
        <row r="3282">
          <cell r="F3282">
            <v>0</v>
          </cell>
        </row>
        <row r="3283">
          <cell r="F3283">
            <v>2.5999999999999999E-3</v>
          </cell>
        </row>
        <row r="3284">
          <cell r="F3284">
            <v>0</v>
          </cell>
        </row>
        <row r="3285">
          <cell r="F3285">
            <v>2.5999999999999999E-3</v>
          </cell>
        </row>
        <row r="3286">
          <cell r="F3286">
            <v>0</v>
          </cell>
        </row>
        <row r="3287">
          <cell r="F3287">
            <v>9.1000000000000004E-3</v>
          </cell>
        </row>
        <row r="3288">
          <cell r="F3288">
            <v>0</v>
          </cell>
        </row>
        <row r="3289">
          <cell r="F3289">
            <v>0</v>
          </cell>
        </row>
        <row r="3290">
          <cell r="F3290">
            <v>0</v>
          </cell>
        </row>
        <row r="3291">
          <cell r="F3291">
            <v>5.2600000000000001E-2</v>
          </cell>
        </row>
        <row r="3292">
          <cell r="F3292">
            <v>8.6800000000000002E-2</v>
          </cell>
        </row>
        <row r="3293">
          <cell r="F3293">
            <v>5.8299999999999998E-2</v>
          </cell>
        </row>
        <row r="3294">
          <cell r="F3294">
            <v>6.4699999999999994E-2</v>
          </cell>
        </row>
        <row r="3295">
          <cell r="F3295">
            <v>6.9000000000000006E-2</v>
          </cell>
        </row>
        <row r="3296">
          <cell r="F3296">
            <v>6.9699999999999998E-2</v>
          </cell>
        </row>
        <row r="3297">
          <cell r="F3297">
            <v>6.83E-2</v>
          </cell>
        </row>
        <row r="3298">
          <cell r="F3298">
            <v>7.7499999999999999E-2</v>
          </cell>
        </row>
        <row r="3299">
          <cell r="F3299">
            <v>7.9000000000000001E-2</v>
          </cell>
        </row>
        <row r="3300">
          <cell r="F3300">
            <v>7.6799999999999993E-2</v>
          </cell>
        </row>
        <row r="3301">
          <cell r="F3301">
            <v>7.6799999999999993E-2</v>
          </cell>
        </row>
        <row r="3302">
          <cell r="F3302">
            <v>8.4699999999999998E-2</v>
          </cell>
        </row>
        <row r="3303">
          <cell r="F3303">
            <v>7.0400000000000004E-2</v>
          </cell>
        </row>
        <row r="3304">
          <cell r="F3304">
            <v>5.6099999999999997E-2</v>
          </cell>
        </row>
        <row r="3305">
          <cell r="F3305">
            <v>6.8999999999999999E-3</v>
          </cell>
        </row>
        <row r="3306">
          <cell r="F3306">
            <v>2.5999999999999999E-3</v>
          </cell>
        </row>
        <row r="3307">
          <cell r="F3307">
            <v>0</v>
          </cell>
        </row>
        <row r="3308">
          <cell r="F3308">
            <v>1.1299999999999999E-2</v>
          </cell>
        </row>
        <row r="3309">
          <cell r="F3309">
            <v>9.1000000000000004E-3</v>
          </cell>
        </row>
        <row r="3310">
          <cell r="F3310">
            <v>0</v>
          </cell>
        </row>
        <row r="3311">
          <cell r="F3311">
            <v>0</v>
          </cell>
        </row>
        <row r="3312">
          <cell r="F3312">
            <v>0</v>
          </cell>
        </row>
        <row r="3313">
          <cell r="F3313">
            <v>0</v>
          </cell>
        </row>
        <row r="3314">
          <cell r="F3314">
            <v>7.1999999999999998E-3</v>
          </cell>
        </row>
        <row r="3315">
          <cell r="F3315">
            <v>7.9699999999999993E-2</v>
          </cell>
        </row>
        <row r="3316">
          <cell r="F3316">
            <v>8.7499999999999994E-2</v>
          </cell>
        </row>
        <row r="3317">
          <cell r="F3317">
            <v>9.1800000000000007E-2</v>
          </cell>
        </row>
        <row r="3318">
          <cell r="F3318">
            <v>7.4700000000000003E-2</v>
          </cell>
        </row>
        <row r="3319">
          <cell r="F3319">
            <v>6.9000000000000006E-2</v>
          </cell>
        </row>
        <row r="3320">
          <cell r="F3320">
            <v>6.4000000000000001E-2</v>
          </cell>
        </row>
        <row r="3321">
          <cell r="F3321">
            <v>5.8999999999999997E-2</v>
          </cell>
        </row>
        <row r="3322">
          <cell r="F3322">
            <v>6.6900000000000001E-2</v>
          </cell>
        </row>
        <row r="3323">
          <cell r="F3323">
            <v>7.1800000000000003E-2</v>
          </cell>
        </row>
        <row r="3324">
          <cell r="F3324">
            <v>8.1100000000000005E-2</v>
          </cell>
        </row>
        <row r="3325">
          <cell r="F3325">
            <v>6.83E-2</v>
          </cell>
        </row>
        <row r="3326">
          <cell r="F3326">
            <v>6.1899999999999997E-2</v>
          </cell>
        </row>
        <row r="3327">
          <cell r="F3327">
            <v>7.3300000000000004E-2</v>
          </cell>
        </row>
        <row r="3328">
          <cell r="F3328">
            <v>6.8999999999999999E-3</v>
          </cell>
        </row>
        <row r="3329">
          <cell r="F3329">
            <v>6.8999999999999999E-3</v>
          </cell>
        </row>
        <row r="3330">
          <cell r="F3330">
            <v>1.41E-2</v>
          </cell>
        </row>
        <row r="3331">
          <cell r="F3331">
            <v>0</v>
          </cell>
        </row>
        <row r="3332">
          <cell r="F3332">
            <v>0</v>
          </cell>
        </row>
        <row r="3333">
          <cell r="F3333">
            <v>0</v>
          </cell>
        </row>
        <row r="3334">
          <cell r="F3334">
            <v>0</v>
          </cell>
        </row>
        <row r="3335">
          <cell r="F3335">
            <v>0</v>
          </cell>
        </row>
        <row r="3336">
          <cell r="F3336">
            <v>0</v>
          </cell>
        </row>
        <row r="3337">
          <cell r="F3337">
            <v>0</v>
          </cell>
        </row>
        <row r="3338">
          <cell r="F3338">
            <v>6.1999999999999998E-3</v>
          </cell>
        </row>
        <row r="3339">
          <cell r="F3339">
            <v>8.5699999999999998E-2</v>
          </cell>
        </row>
        <row r="3340">
          <cell r="F3340">
            <v>6.8599999999999994E-2</v>
          </cell>
        </row>
        <row r="3341">
          <cell r="F3341">
            <v>7.0999999999999994E-2</v>
          </cell>
        </row>
        <row r="3342">
          <cell r="F3342">
            <v>6.5000000000000002E-2</v>
          </cell>
        </row>
        <row r="3343">
          <cell r="F3343">
            <v>7.0199999999999999E-2</v>
          </cell>
        </row>
        <row r="3344">
          <cell r="F3344">
            <v>8.3599999999999994E-2</v>
          </cell>
        </row>
        <row r="3345">
          <cell r="F3345">
            <v>7.9699999999999993E-2</v>
          </cell>
        </row>
        <row r="3346">
          <cell r="F3346">
            <v>7.3300000000000004E-2</v>
          </cell>
        </row>
        <row r="3347">
          <cell r="F3347">
            <v>8.0399999999999999E-2</v>
          </cell>
        </row>
        <row r="3348">
          <cell r="F3348">
            <v>7.6799999999999993E-2</v>
          </cell>
        </row>
        <row r="3349">
          <cell r="F3349">
            <v>6.6100000000000006E-2</v>
          </cell>
        </row>
        <row r="3350">
          <cell r="F3350">
            <v>7.3999999999999996E-2</v>
          </cell>
        </row>
        <row r="3351">
          <cell r="F3351">
            <v>6.4000000000000001E-2</v>
          </cell>
        </row>
        <row r="3352">
          <cell r="F3352">
            <v>8.3000000000000001E-3</v>
          </cell>
        </row>
        <row r="3353">
          <cell r="F3353">
            <v>8.3000000000000001E-3</v>
          </cell>
        </row>
        <row r="3354">
          <cell r="F3354">
            <v>9.7999999999999997E-3</v>
          </cell>
        </row>
        <row r="3355">
          <cell r="F3355">
            <v>9.7999999999999997E-3</v>
          </cell>
        </row>
        <row r="3356">
          <cell r="F3356">
            <v>1.8499999999999999E-2</v>
          </cell>
        </row>
        <row r="3357">
          <cell r="F3357">
            <v>1.8499999999999999E-2</v>
          </cell>
        </row>
        <row r="3358">
          <cell r="F3358">
            <v>0</v>
          </cell>
        </row>
        <row r="3359">
          <cell r="F3359">
            <v>0</v>
          </cell>
        </row>
        <row r="3360">
          <cell r="F3360">
            <v>0</v>
          </cell>
        </row>
        <row r="3361">
          <cell r="F3361">
            <v>1.44E-2</v>
          </cell>
        </row>
        <row r="3362">
          <cell r="F3362">
            <v>8.3000000000000001E-3</v>
          </cell>
        </row>
        <row r="3363">
          <cell r="F3363">
            <v>7.1499999999999994E-2</v>
          </cell>
        </row>
        <row r="3364">
          <cell r="F3364">
            <v>9.8299999999999998E-2</v>
          </cell>
        </row>
        <row r="3365">
          <cell r="F3365">
            <v>8.8900000000000007E-2</v>
          </cell>
        </row>
        <row r="3366">
          <cell r="F3366">
            <v>9.2399999999999996E-2</v>
          </cell>
        </row>
        <row r="3367">
          <cell r="F3367">
            <v>8.6199999999999999E-2</v>
          </cell>
        </row>
        <row r="3368">
          <cell r="F3368">
            <v>8.6099999999999996E-2</v>
          </cell>
        </row>
        <row r="3369">
          <cell r="F3369">
            <v>8.5400000000000004E-2</v>
          </cell>
        </row>
        <row r="3370">
          <cell r="F3370">
            <v>7.9100000000000004E-2</v>
          </cell>
        </row>
        <row r="3371">
          <cell r="F3371">
            <v>9.1800000000000007E-2</v>
          </cell>
        </row>
        <row r="3372">
          <cell r="F3372">
            <v>8.8300000000000003E-2</v>
          </cell>
        </row>
        <row r="3373">
          <cell r="F3373">
            <v>9.11E-2</v>
          </cell>
        </row>
        <row r="3374">
          <cell r="F3374">
            <v>9.1800000000000007E-2</v>
          </cell>
        </row>
        <row r="3375">
          <cell r="F3375">
            <v>7.8299999999999995E-2</v>
          </cell>
        </row>
        <row r="3376">
          <cell r="F3376">
            <v>6.6100000000000006E-2</v>
          </cell>
        </row>
        <row r="3377">
          <cell r="F3377">
            <v>5.6899999999999999E-2</v>
          </cell>
        </row>
        <row r="3378">
          <cell r="F3378">
            <v>2.76E-2</v>
          </cell>
        </row>
        <row r="3379">
          <cell r="F3379">
            <v>4.1200000000000001E-2</v>
          </cell>
        </row>
        <row r="3380">
          <cell r="F3380">
            <v>9.7999999999999997E-3</v>
          </cell>
        </row>
        <row r="3381">
          <cell r="F3381">
            <v>9.7999999999999997E-3</v>
          </cell>
        </row>
        <row r="3382">
          <cell r="F3382">
            <v>2.47E-2</v>
          </cell>
        </row>
        <row r="3383">
          <cell r="F3383">
            <v>5.33E-2</v>
          </cell>
        </row>
        <row r="3384">
          <cell r="F3384">
            <v>6.2600000000000003E-2</v>
          </cell>
        </row>
        <row r="3385">
          <cell r="F3385">
            <v>6.4000000000000001E-2</v>
          </cell>
        </row>
        <row r="3386">
          <cell r="F3386">
            <v>8.0399999999999999E-2</v>
          </cell>
        </row>
        <row r="3387">
          <cell r="F3387">
            <v>9.6100000000000005E-2</v>
          </cell>
        </row>
        <row r="3388">
          <cell r="F3388">
            <v>7.9699999999999993E-2</v>
          </cell>
        </row>
        <row r="3389">
          <cell r="F3389">
            <v>8.0100000000000005E-2</v>
          </cell>
        </row>
        <row r="3390">
          <cell r="F3390">
            <v>7.8299999999999995E-2</v>
          </cell>
        </row>
        <row r="3391">
          <cell r="F3391">
            <v>7.3099999999999998E-2</v>
          </cell>
        </row>
        <row r="3392">
          <cell r="F3392">
            <v>8.2299999999999998E-2</v>
          </cell>
        </row>
        <row r="3393">
          <cell r="F3393">
            <v>8.1600000000000006E-2</v>
          </cell>
        </row>
        <row r="3394">
          <cell r="F3394">
            <v>6.9099999999999995E-2</v>
          </cell>
        </row>
        <row r="3395">
          <cell r="F3395">
            <v>9.11E-2</v>
          </cell>
        </row>
        <row r="3396">
          <cell r="F3396">
            <v>9.1800000000000007E-2</v>
          </cell>
        </row>
        <row r="3397">
          <cell r="F3397">
            <v>9.2499999999999999E-2</v>
          </cell>
        </row>
        <row r="3398">
          <cell r="F3398">
            <v>9.4700000000000006E-2</v>
          </cell>
        </row>
        <row r="3399">
          <cell r="F3399">
            <v>6.6100000000000006E-2</v>
          </cell>
        </row>
        <row r="3400">
          <cell r="F3400">
            <v>5.6899999999999999E-2</v>
          </cell>
        </row>
        <row r="3401">
          <cell r="F3401">
            <v>3.9E-2</v>
          </cell>
        </row>
        <row r="3402">
          <cell r="F3402">
            <v>1.6899999999999998E-2</v>
          </cell>
        </row>
        <row r="3403">
          <cell r="F3403">
            <v>1.6899999999999998E-2</v>
          </cell>
        </row>
        <row r="3404">
          <cell r="F3404">
            <v>1.6899999999999998E-2</v>
          </cell>
        </row>
        <row r="3405">
          <cell r="F3405">
            <v>1.6899999999999998E-2</v>
          </cell>
        </row>
        <row r="3406">
          <cell r="F3406">
            <v>2.7799999999999998E-2</v>
          </cell>
        </row>
        <row r="3407">
          <cell r="F3407">
            <v>5.5999999999999999E-3</v>
          </cell>
        </row>
        <row r="3408">
          <cell r="F3408">
            <v>1.8499999999999999E-2</v>
          </cell>
        </row>
        <row r="3409">
          <cell r="F3409">
            <v>0.03</v>
          </cell>
        </row>
        <row r="3410">
          <cell r="F3410">
            <v>5.6899999999999999E-2</v>
          </cell>
        </row>
        <row r="3411">
          <cell r="F3411">
            <v>9.7600000000000006E-2</v>
          </cell>
        </row>
        <row r="3412">
          <cell r="F3412">
            <v>7.4700000000000003E-2</v>
          </cell>
        </row>
        <row r="3413">
          <cell r="F3413">
            <v>7.9799999999999996E-2</v>
          </cell>
        </row>
        <row r="3414">
          <cell r="F3414">
            <v>7.4800000000000005E-2</v>
          </cell>
        </row>
        <row r="3415">
          <cell r="F3415">
            <v>6.6799999999999998E-2</v>
          </cell>
        </row>
        <row r="3416">
          <cell r="F3416">
            <v>6.8599999999999994E-2</v>
          </cell>
        </row>
        <row r="3417">
          <cell r="F3417">
            <v>8.1100000000000005E-2</v>
          </cell>
        </row>
        <row r="3418">
          <cell r="F3418">
            <v>7.5399999999999995E-2</v>
          </cell>
        </row>
        <row r="3419">
          <cell r="F3419">
            <v>7.2599999999999998E-2</v>
          </cell>
        </row>
        <row r="3420">
          <cell r="F3420">
            <v>7.9000000000000001E-2</v>
          </cell>
        </row>
        <row r="3421">
          <cell r="F3421">
            <v>9.2499999999999999E-2</v>
          </cell>
        </row>
        <row r="3422">
          <cell r="F3422">
            <v>8.6099999999999996E-2</v>
          </cell>
        </row>
        <row r="3423">
          <cell r="F3423">
            <v>7.6799999999999993E-2</v>
          </cell>
        </row>
        <row r="3424">
          <cell r="F3424">
            <v>5.6899999999999999E-2</v>
          </cell>
        </row>
        <row r="3425">
          <cell r="F3425">
            <v>4.8399999999999999E-2</v>
          </cell>
        </row>
        <row r="3426">
          <cell r="F3426">
            <v>2.7000000000000001E-3</v>
          </cell>
        </row>
        <row r="3427">
          <cell r="F3427">
            <v>2.7000000000000001E-3</v>
          </cell>
        </row>
        <row r="3428">
          <cell r="F3428">
            <v>2.7000000000000001E-3</v>
          </cell>
        </row>
        <row r="3429">
          <cell r="F3429">
            <v>1E-4</v>
          </cell>
        </row>
        <row r="3430">
          <cell r="F3430">
            <v>1.46E-2</v>
          </cell>
        </row>
        <row r="3431">
          <cell r="F3431">
            <v>6.7000000000000002E-3</v>
          </cell>
        </row>
        <row r="3432">
          <cell r="F3432">
            <v>7.0000000000000001E-3</v>
          </cell>
        </row>
        <row r="3433">
          <cell r="F3433">
            <v>9.1000000000000004E-3</v>
          </cell>
        </row>
        <row r="3434">
          <cell r="F3434">
            <v>5.1900000000000002E-2</v>
          </cell>
        </row>
        <row r="3435">
          <cell r="F3435">
            <v>8.8999999999999996E-2</v>
          </cell>
        </row>
        <row r="3436">
          <cell r="F3436">
            <v>7.4099999999999999E-2</v>
          </cell>
        </row>
        <row r="3437">
          <cell r="F3437">
            <v>6.6199999999999995E-2</v>
          </cell>
        </row>
        <row r="3438">
          <cell r="F3438">
            <v>5.9200000000000003E-2</v>
          </cell>
        </row>
        <row r="3439">
          <cell r="F3439">
            <v>7.7700000000000005E-2</v>
          </cell>
        </row>
        <row r="3440">
          <cell r="F3440">
            <v>8.8300000000000003E-2</v>
          </cell>
        </row>
        <row r="3441">
          <cell r="F3441">
            <v>7.9500000000000001E-2</v>
          </cell>
        </row>
        <row r="3442">
          <cell r="F3442">
            <v>7.4499999999999997E-2</v>
          </cell>
        </row>
        <row r="3443">
          <cell r="F3443">
            <v>7.2400000000000006E-2</v>
          </cell>
        </row>
        <row r="3444">
          <cell r="F3444">
            <v>7.17E-2</v>
          </cell>
        </row>
        <row r="3445">
          <cell r="F3445">
            <v>8.09E-2</v>
          </cell>
        </row>
        <row r="3446">
          <cell r="F3446">
            <v>7.7399999999999997E-2</v>
          </cell>
        </row>
        <row r="3447">
          <cell r="F3447">
            <v>7.2599999999999998E-2</v>
          </cell>
        </row>
        <row r="3448">
          <cell r="F3448">
            <v>5.8299999999999998E-2</v>
          </cell>
        </row>
        <row r="3449">
          <cell r="F3449">
            <v>0</v>
          </cell>
        </row>
        <row r="3450">
          <cell r="F3450">
            <v>5.9999999999999995E-4</v>
          </cell>
        </row>
        <row r="3451">
          <cell r="F3451">
            <v>3.2000000000000002E-3</v>
          </cell>
        </row>
        <row r="3452">
          <cell r="F3452">
            <v>1E-4</v>
          </cell>
        </row>
        <row r="3453">
          <cell r="F3453">
            <v>2.23E-2</v>
          </cell>
        </row>
        <row r="3454">
          <cell r="F3454">
            <v>1E-4</v>
          </cell>
        </row>
        <row r="3455">
          <cell r="F3455">
            <v>1E-4</v>
          </cell>
        </row>
        <row r="3456">
          <cell r="F3456">
            <v>1E-4</v>
          </cell>
        </row>
        <row r="3457">
          <cell r="F3457">
            <v>1.12E-2</v>
          </cell>
        </row>
        <row r="3458">
          <cell r="F3458">
            <v>1.8599999999999998E-2</v>
          </cell>
        </row>
        <row r="3459">
          <cell r="F3459">
            <v>9.98E-2</v>
          </cell>
        </row>
        <row r="3460">
          <cell r="F3460">
            <v>8.8300000000000003E-2</v>
          </cell>
        </row>
        <row r="3461">
          <cell r="F3461">
            <v>7.7600000000000002E-2</v>
          </cell>
        </row>
        <row r="3462">
          <cell r="F3462">
            <v>6.88E-2</v>
          </cell>
        </row>
        <row r="3463">
          <cell r="F3463">
            <v>6.8099999999999994E-2</v>
          </cell>
        </row>
        <row r="3464">
          <cell r="F3464">
            <v>7.5200000000000003E-2</v>
          </cell>
        </row>
        <row r="3465">
          <cell r="F3465">
            <v>7.2999999999999995E-2</v>
          </cell>
        </row>
        <row r="3466">
          <cell r="F3466">
            <v>7.3700000000000002E-2</v>
          </cell>
        </row>
        <row r="3467">
          <cell r="F3467">
            <v>7.9399999999999998E-2</v>
          </cell>
        </row>
        <row r="3468">
          <cell r="F3468">
            <v>7.0199999999999999E-2</v>
          </cell>
        </row>
        <row r="3469">
          <cell r="F3469">
            <v>7.2300000000000003E-2</v>
          </cell>
        </row>
        <row r="3470">
          <cell r="F3470">
            <v>7.2300000000000003E-2</v>
          </cell>
        </row>
        <row r="3471">
          <cell r="F3471">
            <v>6.6600000000000006E-2</v>
          </cell>
        </row>
        <row r="3472">
          <cell r="F3472">
            <v>5.8299999999999998E-2</v>
          </cell>
        </row>
        <row r="3473">
          <cell r="F3473">
            <v>0</v>
          </cell>
        </row>
        <row r="3474">
          <cell r="F3474">
            <v>1E-4</v>
          </cell>
        </row>
        <row r="3475">
          <cell r="F3475">
            <v>2.7000000000000001E-3</v>
          </cell>
        </row>
        <row r="3476">
          <cell r="F3476">
            <v>1.2999999999999999E-3</v>
          </cell>
        </row>
        <row r="3477">
          <cell r="F3477">
            <v>1.3899999999999999E-2</v>
          </cell>
        </row>
        <row r="3478">
          <cell r="F3478">
            <v>9.1999999999999998E-3</v>
          </cell>
        </row>
        <row r="3479">
          <cell r="F3479">
            <v>2.0000000000000001E-4</v>
          </cell>
        </row>
        <row r="3480">
          <cell r="F3480">
            <v>2.0000000000000001E-4</v>
          </cell>
        </row>
        <row r="3481">
          <cell r="F3481">
            <v>2.0000000000000001E-4</v>
          </cell>
        </row>
        <row r="3482">
          <cell r="F3482">
            <v>2.9999999999999997E-4</v>
          </cell>
        </row>
        <row r="3483">
          <cell r="F3483">
            <v>7.0599999999999996E-2</v>
          </cell>
        </row>
        <row r="3484">
          <cell r="F3484">
            <v>9.98E-2</v>
          </cell>
        </row>
        <row r="3485">
          <cell r="F3485">
            <v>7.3400000000000007E-2</v>
          </cell>
        </row>
        <row r="3486">
          <cell r="F3486">
            <v>5.9200000000000003E-2</v>
          </cell>
        </row>
        <row r="3487">
          <cell r="F3487">
            <v>5.8400000000000001E-2</v>
          </cell>
        </row>
        <row r="3488">
          <cell r="F3488">
            <v>5.9700000000000003E-2</v>
          </cell>
        </row>
        <row r="3489">
          <cell r="F3489">
            <v>5.8999999999999997E-2</v>
          </cell>
        </row>
        <row r="3490">
          <cell r="F3490">
            <v>6.83E-2</v>
          </cell>
        </row>
        <row r="3491">
          <cell r="F3491">
            <v>6.2600000000000003E-2</v>
          </cell>
        </row>
        <row r="3492">
          <cell r="F3492">
            <v>7.0400000000000004E-2</v>
          </cell>
        </row>
        <row r="3493">
          <cell r="F3493">
            <v>7.1099999999999997E-2</v>
          </cell>
        </row>
        <row r="3494">
          <cell r="F3494">
            <v>6.6900000000000001E-2</v>
          </cell>
        </row>
        <row r="3495">
          <cell r="F3495">
            <v>5.8299999999999998E-2</v>
          </cell>
        </row>
        <row r="3496">
          <cell r="F3496">
            <v>6.8999999999999999E-3</v>
          </cell>
        </row>
        <row r="3497">
          <cell r="F3497">
            <v>0</v>
          </cell>
        </row>
        <row r="3498">
          <cell r="F3498">
            <v>0</v>
          </cell>
        </row>
        <row r="3499">
          <cell r="F3499">
            <v>0</v>
          </cell>
        </row>
        <row r="3500">
          <cell r="F3500">
            <v>0</v>
          </cell>
        </row>
        <row r="3501">
          <cell r="F3501">
            <v>0</v>
          </cell>
        </row>
        <row r="3502">
          <cell r="F3502">
            <v>0</v>
          </cell>
        </row>
        <row r="3503">
          <cell r="F3503">
            <v>0</v>
          </cell>
        </row>
        <row r="3504">
          <cell r="F3504">
            <v>0</v>
          </cell>
        </row>
        <row r="3505">
          <cell r="F3505">
            <v>0</v>
          </cell>
        </row>
        <row r="3506">
          <cell r="F3506">
            <v>0</v>
          </cell>
        </row>
        <row r="3507">
          <cell r="F3507">
            <v>0</v>
          </cell>
        </row>
        <row r="3508">
          <cell r="F3508">
            <v>0.1004</v>
          </cell>
        </row>
        <row r="3509">
          <cell r="F3509">
            <v>5.6099999999999997E-2</v>
          </cell>
        </row>
        <row r="3510">
          <cell r="F3510">
            <v>5.4699999999999999E-2</v>
          </cell>
        </row>
        <row r="3511">
          <cell r="F3511">
            <v>5.5500000000000001E-2</v>
          </cell>
        </row>
        <row r="3512">
          <cell r="F3512">
            <v>5.4600000000000003E-2</v>
          </cell>
        </row>
        <row r="3513">
          <cell r="F3513">
            <v>5.2499999999999998E-2</v>
          </cell>
        </row>
        <row r="3514">
          <cell r="F3514">
            <v>5.0299999999999997E-2</v>
          </cell>
        </row>
        <row r="3515">
          <cell r="F3515">
            <v>9.6100000000000005E-2</v>
          </cell>
        </row>
        <row r="3516">
          <cell r="F3516">
            <v>9.8299999999999998E-2</v>
          </cell>
        </row>
        <row r="3517">
          <cell r="F3517">
            <v>9.6100000000000005E-2</v>
          </cell>
        </row>
        <row r="3518">
          <cell r="F3518">
            <v>5.5399999999999998E-2</v>
          </cell>
        </row>
        <row r="3519">
          <cell r="F3519">
            <v>5.8299999999999998E-2</v>
          </cell>
        </row>
        <row r="3520">
          <cell r="F3520">
            <v>0</v>
          </cell>
        </row>
        <row r="3521">
          <cell r="F3521">
            <v>0</v>
          </cell>
        </row>
        <row r="3522">
          <cell r="F3522">
            <v>0</v>
          </cell>
        </row>
        <row r="3523">
          <cell r="F3523">
            <v>0</v>
          </cell>
        </row>
        <row r="3524">
          <cell r="F3524">
            <v>9.1000000000000004E-3</v>
          </cell>
        </row>
        <row r="3525">
          <cell r="F3525">
            <v>0</v>
          </cell>
        </row>
        <row r="3526">
          <cell r="F3526">
            <v>0</v>
          </cell>
        </row>
        <row r="3527">
          <cell r="F3527">
            <v>0</v>
          </cell>
        </row>
        <row r="3528">
          <cell r="F3528">
            <v>0</v>
          </cell>
        </row>
        <row r="3529">
          <cell r="F3529">
            <v>0</v>
          </cell>
        </row>
        <row r="3530">
          <cell r="F3530">
            <v>0</v>
          </cell>
        </row>
        <row r="3531">
          <cell r="F3531">
            <v>0.10249999999999999</v>
          </cell>
        </row>
        <row r="3532">
          <cell r="F3532">
            <v>7.5399999999999995E-2</v>
          </cell>
        </row>
        <row r="3533">
          <cell r="F3533">
            <v>7.6200000000000004E-2</v>
          </cell>
        </row>
        <row r="3534">
          <cell r="F3534">
            <v>7.2599999999999998E-2</v>
          </cell>
        </row>
        <row r="3535">
          <cell r="F3535">
            <v>6.1899999999999997E-2</v>
          </cell>
        </row>
        <row r="3536">
          <cell r="F3536">
            <v>5.9700000000000003E-2</v>
          </cell>
        </row>
        <row r="3537">
          <cell r="F3537">
            <v>6.0400000000000002E-2</v>
          </cell>
        </row>
        <row r="3538">
          <cell r="F3538">
            <v>7.4700000000000003E-2</v>
          </cell>
        </row>
        <row r="3539">
          <cell r="F3539">
            <v>9.6100000000000005E-2</v>
          </cell>
        </row>
        <row r="3540">
          <cell r="F3540">
            <v>0.10249999999999999</v>
          </cell>
        </row>
        <row r="3541">
          <cell r="F3541">
            <v>9.11E-2</v>
          </cell>
        </row>
        <row r="3542">
          <cell r="F3542">
            <v>6.3299999999999995E-2</v>
          </cell>
        </row>
        <row r="3543">
          <cell r="F3543">
            <v>6.9000000000000006E-2</v>
          </cell>
        </row>
        <row r="3544">
          <cell r="F3544">
            <v>6.54E-2</v>
          </cell>
        </row>
        <row r="3545">
          <cell r="F3545">
            <v>0</v>
          </cell>
        </row>
        <row r="3546">
          <cell r="F3546">
            <v>2.5999999999999999E-3</v>
          </cell>
        </row>
        <row r="3547">
          <cell r="F3547">
            <v>2.5999999999999999E-3</v>
          </cell>
        </row>
        <row r="3548">
          <cell r="F3548">
            <v>1.38E-2</v>
          </cell>
        </row>
        <row r="3549">
          <cell r="F3549">
            <v>2.6100000000000002E-2</v>
          </cell>
        </row>
        <row r="3550">
          <cell r="F3550">
            <v>8.8000000000000005E-3</v>
          </cell>
        </row>
        <row r="3551">
          <cell r="F3551">
            <v>0</v>
          </cell>
        </row>
        <row r="3552">
          <cell r="F3552">
            <v>0</v>
          </cell>
        </row>
        <row r="3553">
          <cell r="F3553">
            <v>0</v>
          </cell>
        </row>
        <row r="3554">
          <cell r="F3554">
            <v>9.1000000000000004E-3</v>
          </cell>
        </row>
        <row r="3555">
          <cell r="F3555">
            <v>8.4699999999999998E-2</v>
          </cell>
        </row>
        <row r="3556">
          <cell r="F3556">
            <v>7.7600000000000002E-2</v>
          </cell>
        </row>
        <row r="3557">
          <cell r="F3557">
            <v>6.3299999999999995E-2</v>
          </cell>
        </row>
        <row r="3558">
          <cell r="F3558">
            <v>5.8999999999999997E-2</v>
          </cell>
        </row>
        <row r="3559">
          <cell r="F3559">
            <v>6.1899999999999997E-2</v>
          </cell>
        </row>
        <row r="3560">
          <cell r="F3560">
            <v>6.0400000000000002E-2</v>
          </cell>
        </row>
        <row r="3561">
          <cell r="F3561">
            <v>6.3299999999999995E-2</v>
          </cell>
        </row>
        <row r="3562">
          <cell r="F3562">
            <v>7.0400000000000004E-2</v>
          </cell>
        </row>
        <row r="3563">
          <cell r="F3563">
            <v>9.3299999999999994E-2</v>
          </cell>
        </row>
        <row r="3564">
          <cell r="F3564">
            <v>8.4000000000000005E-2</v>
          </cell>
        </row>
        <row r="3565">
          <cell r="F3565">
            <v>9.1800000000000007E-2</v>
          </cell>
        </row>
        <row r="3566">
          <cell r="F3566">
            <v>6.83E-2</v>
          </cell>
        </row>
        <row r="3567">
          <cell r="F3567">
            <v>6.0499999999999998E-2</v>
          </cell>
        </row>
        <row r="3568">
          <cell r="F3568">
            <v>5.91E-2</v>
          </cell>
        </row>
        <row r="3569">
          <cell r="F3569">
            <v>2.41E-2</v>
          </cell>
        </row>
        <row r="3570">
          <cell r="F3570">
            <v>2.3400000000000001E-2</v>
          </cell>
        </row>
        <row r="3571">
          <cell r="F3571">
            <v>2.3400000000000001E-2</v>
          </cell>
        </row>
        <row r="3572">
          <cell r="F3572">
            <v>2.5999999999999999E-3</v>
          </cell>
        </row>
        <row r="3573">
          <cell r="F3573">
            <v>2.5999999999999999E-3</v>
          </cell>
        </row>
        <row r="3574">
          <cell r="F3574">
            <v>2.5999999999999999E-3</v>
          </cell>
        </row>
        <row r="3575">
          <cell r="F3575">
            <v>2.5999999999999999E-3</v>
          </cell>
        </row>
        <row r="3576">
          <cell r="F3576">
            <v>5.8999999999999999E-3</v>
          </cell>
        </row>
        <row r="3577">
          <cell r="F3577">
            <v>1.1299999999999999E-2</v>
          </cell>
        </row>
        <row r="3578">
          <cell r="F3578">
            <v>5.62E-2</v>
          </cell>
        </row>
        <row r="3579">
          <cell r="F3579">
            <v>6.6100000000000006E-2</v>
          </cell>
        </row>
        <row r="3580">
          <cell r="F3580">
            <v>6.7599999999999993E-2</v>
          </cell>
        </row>
        <row r="3581">
          <cell r="F3581">
            <v>6.9000000000000006E-2</v>
          </cell>
        </row>
        <row r="3582">
          <cell r="F3582">
            <v>5.8999999999999997E-2</v>
          </cell>
        </row>
        <row r="3583">
          <cell r="F3583">
            <v>6.1199999999999997E-2</v>
          </cell>
        </row>
        <row r="3584">
          <cell r="F3584">
            <v>6.6900000000000001E-2</v>
          </cell>
        </row>
        <row r="3585">
          <cell r="F3585">
            <v>5.9700000000000003E-2</v>
          </cell>
        </row>
        <row r="3586">
          <cell r="F3586">
            <v>5.9700000000000003E-2</v>
          </cell>
        </row>
        <row r="3587">
          <cell r="F3587">
            <v>9.9699999999999997E-2</v>
          </cell>
        </row>
        <row r="3588">
          <cell r="F3588">
            <v>9.6100000000000005E-2</v>
          </cell>
        </row>
        <row r="3589">
          <cell r="F3589">
            <v>9.9699999999999997E-2</v>
          </cell>
        </row>
        <row r="3590">
          <cell r="F3590">
            <v>8.0399999999999999E-2</v>
          </cell>
        </row>
        <row r="3591">
          <cell r="F3591">
            <v>5.3999999999999999E-2</v>
          </cell>
        </row>
        <row r="3592">
          <cell r="F3592">
            <v>5.6899999999999999E-2</v>
          </cell>
        </row>
        <row r="3593">
          <cell r="F3593">
            <v>0</v>
          </cell>
        </row>
        <row r="3594">
          <cell r="F3594">
            <v>2.5999999999999999E-3</v>
          </cell>
        </row>
        <row r="3595">
          <cell r="F3595">
            <v>2.5999999999999999E-3</v>
          </cell>
        </row>
        <row r="3596">
          <cell r="F3596">
            <v>2.5999999999999999E-3</v>
          </cell>
        </row>
        <row r="3597">
          <cell r="F3597">
            <v>2.5999999999999999E-3</v>
          </cell>
        </row>
        <row r="3598">
          <cell r="F3598">
            <v>1.8499999999999999E-2</v>
          </cell>
        </row>
        <row r="3599">
          <cell r="F3599">
            <v>1.8100000000000002E-2</v>
          </cell>
        </row>
        <row r="3600">
          <cell r="F3600">
            <v>0</v>
          </cell>
        </row>
        <row r="3601">
          <cell r="F3601">
            <v>0</v>
          </cell>
        </row>
        <row r="3602">
          <cell r="F3602">
            <v>6.7999999999999996E-3</v>
          </cell>
        </row>
        <row r="3603">
          <cell r="F3603">
            <v>8.4699999999999998E-2</v>
          </cell>
        </row>
        <row r="3604">
          <cell r="F3604">
            <v>8.8300000000000003E-2</v>
          </cell>
        </row>
        <row r="3605">
          <cell r="F3605">
            <v>7.9000000000000001E-2</v>
          </cell>
        </row>
        <row r="3606">
          <cell r="F3606">
            <v>7.5999999999999998E-2</v>
          </cell>
        </row>
        <row r="3607">
          <cell r="F3607">
            <v>6.9900000000000004E-2</v>
          </cell>
        </row>
        <row r="3608">
          <cell r="F3608">
            <v>6.9800000000000001E-2</v>
          </cell>
        </row>
        <row r="3609">
          <cell r="F3609">
            <v>7.9699999999999993E-2</v>
          </cell>
        </row>
        <row r="3610">
          <cell r="F3610">
            <v>7.9699999999999993E-2</v>
          </cell>
        </row>
        <row r="3611">
          <cell r="F3611">
            <v>7.9000000000000001E-2</v>
          </cell>
        </row>
        <row r="3612">
          <cell r="F3612">
            <v>6.83E-2</v>
          </cell>
        </row>
        <row r="3613">
          <cell r="F3613">
            <v>6.9000000000000006E-2</v>
          </cell>
        </row>
        <row r="3614">
          <cell r="F3614">
            <v>6.6900000000000001E-2</v>
          </cell>
        </row>
        <row r="3615">
          <cell r="F3615">
            <v>6.0400000000000002E-2</v>
          </cell>
        </row>
        <row r="3616">
          <cell r="F3616">
            <v>6.6900000000000001E-2</v>
          </cell>
        </row>
        <row r="3617">
          <cell r="F3617">
            <v>6.54E-2</v>
          </cell>
        </row>
        <row r="3618">
          <cell r="F3618">
            <v>5.8299999999999998E-2</v>
          </cell>
        </row>
        <row r="3619">
          <cell r="F3619">
            <v>3.7600000000000001E-2</v>
          </cell>
        </row>
        <row r="3620">
          <cell r="F3620">
            <v>6.3299999999999995E-2</v>
          </cell>
        </row>
        <row r="3621">
          <cell r="F3621">
            <v>6.3299999999999995E-2</v>
          </cell>
        </row>
        <row r="3622">
          <cell r="F3622">
            <v>6.4000000000000001E-2</v>
          </cell>
        </row>
        <row r="3623">
          <cell r="F3623">
            <v>6.4000000000000001E-2</v>
          </cell>
        </row>
        <row r="3624">
          <cell r="F3624">
            <v>8.6900000000000005E-2</v>
          </cell>
        </row>
        <row r="3625">
          <cell r="F3625">
            <v>5.5399999999999998E-2</v>
          </cell>
        </row>
        <row r="3626">
          <cell r="F3626">
            <v>7.7600000000000002E-2</v>
          </cell>
        </row>
        <row r="3627">
          <cell r="F3627">
            <v>5.9700000000000003E-2</v>
          </cell>
        </row>
        <row r="3628">
          <cell r="F3628">
            <v>6.0400000000000002E-2</v>
          </cell>
        </row>
        <row r="3629">
          <cell r="F3629">
            <v>5.9799999999999999E-2</v>
          </cell>
        </row>
        <row r="3630">
          <cell r="F3630">
            <v>5.91E-2</v>
          </cell>
        </row>
        <row r="3631">
          <cell r="F3631">
            <v>6.0499999999999998E-2</v>
          </cell>
        </row>
        <row r="3632">
          <cell r="F3632">
            <v>6.1100000000000002E-2</v>
          </cell>
        </row>
        <row r="3633">
          <cell r="F3633">
            <v>8.0399999999999999E-2</v>
          </cell>
        </row>
        <row r="3634">
          <cell r="F3634">
            <v>7.0300000000000001E-2</v>
          </cell>
        </row>
        <row r="3635">
          <cell r="F3635">
            <v>6.4600000000000005E-2</v>
          </cell>
        </row>
        <row r="3636">
          <cell r="F3636">
            <v>6.3200000000000006E-2</v>
          </cell>
        </row>
        <row r="3637">
          <cell r="F3637">
            <v>7.0999999999999994E-2</v>
          </cell>
        </row>
        <row r="3638">
          <cell r="F3638">
            <v>7.0999999999999994E-2</v>
          </cell>
        </row>
        <row r="3639">
          <cell r="F3639">
            <v>7.7399999999999997E-2</v>
          </cell>
        </row>
        <row r="3640">
          <cell r="F3640">
            <v>6.0299999999999999E-2</v>
          </cell>
        </row>
        <row r="3641">
          <cell r="F3641">
            <v>5.3900000000000003E-2</v>
          </cell>
        </row>
        <row r="3642">
          <cell r="F3642">
            <v>5.11E-2</v>
          </cell>
        </row>
        <row r="3643">
          <cell r="F3643">
            <v>5.04E-2</v>
          </cell>
        </row>
        <row r="3644">
          <cell r="F3644">
            <v>4.8899999999999999E-2</v>
          </cell>
        </row>
        <row r="3645">
          <cell r="F3645">
            <v>4.82E-2</v>
          </cell>
        </row>
        <row r="3646">
          <cell r="F3646">
            <v>4.9700000000000001E-2</v>
          </cell>
        </row>
        <row r="3647">
          <cell r="F3647">
            <v>5.11E-2</v>
          </cell>
        </row>
        <row r="3648">
          <cell r="F3648">
            <v>5.1799999999999999E-2</v>
          </cell>
        </row>
        <row r="3649">
          <cell r="F3649">
            <v>5.6099999999999997E-2</v>
          </cell>
        </row>
        <row r="3650">
          <cell r="F3650">
            <v>7.17E-2</v>
          </cell>
        </row>
        <row r="3651">
          <cell r="F3651">
            <v>0.1052</v>
          </cell>
        </row>
        <row r="3652">
          <cell r="F3652">
            <v>9.2399999999999996E-2</v>
          </cell>
        </row>
        <row r="3653">
          <cell r="F3653">
            <v>7.9600000000000004E-2</v>
          </cell>
        </row>
        <row r="3654">
          <cell r="F3654">
            <v>7.1499999999999994E-2</v>
          </cell>
        </row>
        <row r="3655">
          <cell r="F3655">
            <v>7.9600000000000004E-2</v>
          </cell>
        </row>
        <row r="3656">
          <cell r="F3656">
            <v>5.4899999999999997E-2</v>
          </cell>
        </row>
        <row r="3657">
          <cell r="F3657">
            <v>5.96E-2</v>
          </cell>
        </row>
        <row r="3658">
          <cell r="F3658">
            <v>5.7500000000000002E-2</v>
          </cell>
        </row>
        <row r="3659">
          <cell r="F3659">
            <v>7.6700000000000004E-2</v>
          </cell>
        </row>
        <row r="3660">
          <cell r="F3660">
            <v>6.5299999999999997E-2</v>
          </cell>
        </row>
        <row r="3661">
          <cell r="F3661">
            <v>7.46E-2</v>
          </cell>
        </row>
        <row r="3662">
          <cell r="F3662">
            <v>8.0299999999999996E-2</v>
          </cell>
        </row>
        <row r="3663">
          <cell r="F3663">
            <v>7.46E-2</v>
          </cell>
        </row>
        <row r="3664">
          <cell r="F3664">
            <v>7.8200000000000006E-2</v>
          </cell>
        </row>
        <row r="3665">
          <cell r="F3665">
            <v>3.1099999999999999E-2</v>
          </cell>
        </row>
        <row r="3666">
          <cell r="F3666">
            <v>1.6899999999999998E-2</v>
          </cell>
        </row>
        <row r="3667">
          <cell r="F3667">
            <v>9.7999999999999997E-3</v>
          </cell>
        </row>
        <row r="3668">
          <cell r="F3668">
            <v>9.7999999999999997E-3</v>
          </cell>
        </row>
        <row r="3669">
          <cell r="F3669">
            <v>9.7999999999999997E-3</v>
          </cell>
        </row>
        <row r="3670">
          <cell r="F3670">
            <v>0.02</v>
          </cell>
        </row>
        <row r="3671">
          <cell r="F3671">
            <v>1E-4</v>
          </cell>
        </row>
        <row r="3672">
          <cell r="F3672">
            <v>6.7000000000000002E-3</v>
          </cell>
        </row>
        <row r="3673">
          <cell r="F3673">
            <v>2.3099999999999999E-2</v>
          </cell>
        </row>
        <row r="3674">
          <cell r="F3674">
            <v>1.1599999999999999E-2</v>
          </cell>
        </row>
        <row r="3675">
          <cell r="F3675">
            <v>7.5999999999999998E-2</v>
          </cell>
        </row>
        <row r="3676">
          <cell r="F3676">
            <v>0.10100000000000001</v>
          </cell>
        </row>
        <row r="3677">
          <cell r="F3677">
            <v>9.1700000000000004E-2</v>
          </cell>
        </row>
        <row r="3678">
          <cell r="F3678">
            <v>9.0300000000000005E-2</v>
          </cell>
        </row>
        <row r="3679">
          <cell r="F3679">
            <v>8.8300000000000003E-2</v>
          </cell>
        </row>
        <row r="3680">
          <cell r="F3680">
            <v>6.6799999999999998E-2</v>
          </cell>
        </row>
        <row r="3681">
          <cell r="F3681">
            <v>6.3200000000000006E-2</v>
          </cell>
        </row>
        <row r="3682">
          <cell r="F3682">
            <v>6.4600000000000005E-2</v>
          </cell>
        </row>
        <row r="3683">
          <cell r="F3683">
            <v>8.1699999999999995E-2</v>
          </cell>
        </row>
        <row r="3684">
          <cell r="F3684">
            <v>7.7399999999999997E-2</v>
          </cell>
        </row>
        <row r="3685">
          <cell r="F3685">
            <v>6.7500000000000004E-2</v>
          </cell>
        </row>
        <row r="3686">
          <cell r="F3686">
            <v>0.19450000000000001</v>
          </cell>
        </row>
        <row r="3687">
          <cell r="F3687">
            <v>7.3200000000000001E-2</v>
          </cell>
        </row>
        <row r="3688">
          <cell r="F3688">
            <v>3.8199999999999998E-2</v>
          </cell>
        </row>
        <row r="3689">
          <cell r="F3689">
            <v>6.8999999999999999E-3</v>
          </cell>
        </row>
        <row r="3690">
          <cell r="F3690">
            <v>8.3000000000000001E-3</v>
          </cell>
        </row>
        <row r="3691">
          <cell r="F3691">
            <v>9.7999999999999997E-3</v>
          </cell>
        </row>
        <row r="3692">
          <cell r="F3692">
            <v>6.8999999999999999E-3</v>
          </cell>
        </row>
        <row r="3693">
          <cell r="F3693">
            <v>2.0400000000000001E-2</v>
          </cell>
        </row>
        <row r="3694">
          <cell r="F3694">
            <v>1.6199999999999999E-2</v>
          </cell>
        </row>
        <row r="3695">
          <cell r="F3695">
            <v>0</v>
          </cell>
        </row>
        <row r="3696">
          <cell r="F3696">
            <v>0</v>
          </cell>
        </row>
        <row r="3697">
          <cell r="F3697">
            <v>0</v>
          </cell>
        </row>
        <row r="3698">
          <cell r="F3698">
            <v>2.3099999999999999E-2</v>
          </cell>
        </row>
        <row r="3699">
          <cell r="F3699">
            <v>6.7500000000000004E-2</v>
          </cell>
        </row>
        <row r="3700">
          <cell r="F3700">
            <v>0.1003</v>
          </cell>
        </row>
        <row r="3701">
          <cell r="F3701">
            <v>9.1700000000000004E-2</v>
          </cell>
        </row>
        <row r="3702">
          <cell r="F3702">
            <v>7.9699999999999993E-2</v>
          </cell>
        </row>
        <row r="3703">
          <cell r="F3703">
            <v>7.7499999999999999E-2</v>
          </cell>
        </row>
        <row r="3704">
          <cell r="F3704">
            <v>7.46E-2</v>
          </cell>
        </row>
        <row r="3705">
          <cell r="F3705">
            <v>7.17E-2</v>
          </cell>
        </row>
        <row r="3706">
          <cell r="F3706">
            <v>7.9600000000000004E-2</v>
          </cell>
        </row>
        <row r="3707">
          <cell r="F3707">
            <v>7.1800000000000003E-2</v>
          </cell>
        </row>
        <row r="3708">
          <cell r="F3708">
            <v>8.5999999999999993E-2</v>
          </cell>
        </row>
        <row r="3709">
          <cell r="F3709">
            <v>8.0699999999999994E-2</v>
          </cell>
        </row>
        <row r="3710">
          <cell r="F3710">
            <v>7.2800000000000004E-2</v>
          </cell>
        </row>
        <row r="3711">
          <cell r="F3711">
            <v>7.2099999999999997E-2</v>
          </cell>
        </row>
        <row r="3712">
          <cell r="F3712">
            <v>7.0699999999999999E-2</v>
          </cell>
        </row>
        <row r="3713">
          <cell r="F3713">
            <v>5.9400000000000001E-2</v>
          </cell>
        </row>
        <row r="3714">
          <cell r="F3714">
            <v>3.44E-2</v>
          </cell>
        </row>
        <row r="3715">
          <cell r="F3715">
            <v>3.09E-2</v>
          </cell>
        </row>
        <row r="3716">
          <cell r="F3716">
            <v>1.23E-2</v>
          </cell>
        </row>
        <row r="3717">
          <cell r="F3717">
            <v>1.23E-2</v>
          </cell>
        </row>
        <row r="3718">
          <cell r="F3718">
            <v>9.7999999999999997E-3</v>
          </cell>
        </row>
        <row r="3719">
          <cell r="F3719">
            <v>2.24E-2</v>
          </cell>
        </row>
        <row r="3720">
          <cell r="F3720">
            <v>1.9300000000000001E-2</v>
          </cell>
        </row>
        <row r="3721">
          <cell r="F3721">
            <v>2.4E-2</v>
          </cell>
        </row>
        <row r="3722">
          <cell r="F3722">
            <v>4.8099999999999997E-2</v>
          </cell>
        </row>
        <row r="3723">
          <cell r="F3723">
            <v>8.8900000000000007E-2</v>
          </cell>
        </row>
        <row r="3724">
          <cell r="F3724">
            <v>7.8200000000000006E-2</v>
          </cell>
        </row>
        <row r="3725">
          <cell r="F3725">
            <v>7.0400000000000004E-2</v>
          </cell>
        </row>
        <row r="3726">
          <cell r="F3726">
            <v>8.1100000000000005E-2</v>
          </cell>
        </row>
        <row r="3727">
          <cell r="F3727">
            <v>8.1100000000000005E-2</v>
          </cell>
        </row>
        <row r="3728">
          <cell r="F3728">
            <v>8.0299999999999996E-2</v>
          </cell>
        </row>
        <row r="3729">
          <cell r="F3729">
            <v>7.6700000000000004E-2</v>
          </cell>
        </row>
        <row r="3730">
          <cell r="F3730">
            <v>7.3899999999999993E-2</v>
          </cell>
        </row>
        <row r="3731">
          <cell r="F3731">
            <v>7.17E-2</v>
          </cell>
        </row>
        <row r="3732">
          <cell r="F3732">
            <v>8.6699999999999999E-2</v>
          </cell>
        </row>
        <row r="3733">
          <cell r="F3733">
            <v>7.3200000000000001E-2</v>
          </cell>
        </row>
        <row r="3734">
          <cell r="F3734">
            <v>7.2499999999999995E-2</v>
          </cell>
        </row>
        <row r="3735">
          <cell r="F3735">
            <v>6.8199999999999997E-2</v>
          </cell>
        </row>
        <row r="3736">
          <cell r="F3736">
            <v>7.0400000000000004E-2</v>
          </cell>
        </row>
        <row r="3737">
          <cell r="F3737">
            <v>5.9700000000000003E-2</v>
          </cell>
        </row>
        <row r="3738">
          <cell r="F3738">
            <v>5.6899999999999999E-2</v>
          </cell>
        </row>
        <row r="3739">
          <cell r="F3739">
            <v>5.7700000000000001E-2</v>
          </cell>
        </row>
        <row r="3740">
          <cell r="F3740">
            <v>0.01</v>
          </cell>
        </row>
        <row r="3741">
          <cell r="F3741">
            <v>9.9000000000000008E-3</v>
          </cell>
        </row>
        <row r="3742">
          <cell r="F3742">
            <v>9.9000000000000008E-3</v>
          </cell>
        </row>
        <row r="3743">
          <cell r="F3743">
            <v>5.7000000000000002E-2</v>
          </cell>
        </row>
        <row r="3744">
          <cell r="F3744">
            <v>2.2599999999999999E-2</v>
          </cell>
        </row>
        <row r="3745">
          <cell r="F3745">
            <v>2.0199999999999999E-2</v>
          </cell>
        </row>
        <row r="3746">
          <cell r="F3746">
            <v>5.74E-2</v>
          </cell>
        </row>
        <row r="3747">
          <cell r="F3747">
            <v>8.2400000000000001E-2</v>
          </cell>
        </row>
        <row r="3748">
          <cell r="F3748">
            <v>0.10730000000000001</v>
          </cell>
        </row>
        <row r="3749">
          <cell r="F3749">
            <v>8.8599999999999998E-2</v>
          </cell>
        </row>
        <row r="3750">
          <cell r="F3750">
            <v>8.14E-2</v>
          </cell>
        </row>
        <row r="3751">
          <cell r="F3751">
            <v>8.6900000000000005E-2</v>
          </cell>
        </row>
        <row r="3752">
          <cell r="F3752">
            <v>7.6799999999999993E-2</v>
          </cell>
        </row>
        <row r="3753">
          <cell r="F3753">
            <v>7.0300000000000001E-2</v>
          </cell>
        </row>
        <row r="3754">
          <cell r="F3754">
            <v>7.0999999999999994E-2</v>
          </cell>
        </row>
        <row r="3755">
          <cell r="F3755">
            <v>8.2400000000000001E-2</v>
          </cell>
        </row>
        <row r="3756">
          <cell r="F3756">
            <v>7.9600000000000004E-2</v>
          </cell>
        </row>
        <row r="3757">
          <cell r="F3757">
            <v>7.9600000000000004E-2</v>
          </cell>
        </row>
        <row r="3758">
          <cell r="F3758">
            <v>7.46E-2</v>
          </cell>
        </row>
        <row r="3759">
          <cell r="F3759">
            <v>6.6100000000000006E-2</v>
          </cell>
        </row>
        <row r="3760">
          <cell r="F3760">
            <v>7.5300000000000006E-2</v>
          </cell>
        </row>
        <row r="3761">
          <cell r="F3761">
            <v>6.6100000000000006E-2</v>
          </cell>
        </row>
        <row r="3762">
          <cell r="F3762">
            <v>6.54E-2</v>
          </cell>
        </row>
        <row r="3763">
          <cell r="F3763">
            <v>5.9799999999999999E-2</v>
          </cell>
        </row>
        <row r="3764">
          <cell r="F3764">
            <v>6.4799999999999996E-2</v>
          </cell>
        </row>
        <row r="3765">
          <cell r="F3765">
            <v>6.4100000000000004E-2</v>
          </cell>
        </row>
        <row r="3766">
          <cell r="F3766">
            <v>6.4199999999999993E-2</v>
          </cell>
        </row>
        <row r="3767">
          <cell r="F3767">
            <v>6.5000000000000002E-2</v>
          </cell>
        </row>
        <row r="3768">
          <cell r="F3768">
            <v>5.4600000000000003E-2</v>
          </cell>
        </row>
        <row r="3769">
          <cell r="F3769">
            <v>5.6599999999999998E-2</v>
          </cell>
        </row>
        <row r="3770">
          <cell r="F3770">
            <v>6.0999999999999999E-2</v>
          </cell>
        </row>
        <row r="3771">
          <cell r="F3771">
            <v>9.0700000000000003E-2</v>
          </cell>
        </row>
        <row r="3772">
          <cell r="F3772">
            <v>0.11</v>
          </cell>
        </row>
        <row r="3773">
          <cell r="F3773">
            <v>9.0399999999999994E-2</v>
          </cell>
        </row>
        <row r="3774">
          <cell r="F3774">
            <v>8.6800000000000002E-2</v>
          </cell>
        </row>
        <row r="3775">
          <cell r="F3775">
            <v>8.48E-2</v>
          </cell>
        </row>
        <row r="3776">
          <cell r="F3776">
            <v>8.2500000000000004E-2</v>
          </cell>
        </row>
        <row r="3777">
          <cell r="F3777">
            <v>8.1000000000000003E-2</v>
          </cell>
        </row>
        <row r="3778">
          <cell r="F3778">
            <v>7.3200000000000001E-2</v>
          </cell>
        </row>
        <row r="3779">
          <cell r="F3779">
            <v>6.6799999999999998E-2</v>
          </cell>
        </row>
        <row r="3780">
          <cell r="F3780">
            <v>7.8899999999999998E-2</v>
          </cell>
        </row>
        <row r="3781">
          <cell r="F3781">
            <v>8.0299999999999996E-2</v>
          </cell>
        </row>
        <row r="3782">
          <cell r="F3782">
            <v>7.3899999999999993E-2</v>
          </cell>
        </row>
        <row r="3783">
          <cell r="F3783">
            <v>6.8199999999999997E-2</v>
          </cell>
        </row>
        <row r="3784">
          <cell r="F3784">
            <v>7.7499999999999999E-2</v>
          </cell>
        </row>
        <row r="3785">
          <cell r="F3785">
            <v>3.4799999999999998E-2</v>
          </cell>
        </row>
        <row r="3786">
          <cell r="F3786">
            <v>6.4000000000000001E-2</v>
          </cell>
        </row>
        <row r="3787">
          <cell r="F3787">
            <v>6.5500000000000003E-2</v>
          </cell>
        </row>
        <row r="3788">
          <cell r="F3788">
            <v>5.9799999999999999E-2</v>
          </cell>
        </row>
        <row r="3789">
          <cell r="F3789">
            <v>6.5500000000000003E-2</v>
          </cell>
        </row>
        <row r="3790">
          <cell r="F3790">
            <v>5.7599999999999998E-2</v>
          </cell>
        </row>
        <row r="3791">
          <cell r="F3791">
            <v>5.62E-2</v>
          </cell>
        </row>
        <row r="3792">
          <cell r="F3792">
            <v>4.5600000000000002E-2</v>
          </cell>
        </row>
        <row r="3793">
          <cell r="F3793">
            <v>5.4899999999999997E-2</v>
          </cell>
        </row>
        <row r="3794">
          <cell r="F3794">
            <v>6.7000000000000004E-2</v>
          </cell>
        </row>
        <row r="3795">
          <cell r="F3795">
            <v>9.9900000000000003E-2</v>
          </cell>
        </row>
        <row r="3796">
          <cell r="F3796">
            <v>8.9099999999999999E-2</v>
          </cell>
        </row>
        <row r="3797">
          <cell r="F3797">
            <v>8.9800000000000005E-2</v>
          </cell>
        </row>
        <row r="3798">
          <cell r="F3798">
            <v>8.3900000000000002E-2</v>
          </cell>
        </row>
        <row r="3799">
          <cell r="F3799">
            <v>7.7700000000000005E-2</v>
          </cell>
        </row>
        <row r="3800">
          <cell r="F3800">
            <v>8.8900000000000007E-2</v>
          </cell>
        </row>
        <row r="3801">
          <cell r="F3801">
            <v>7.1800000000000003E-2</v>
          </cell>
        </row>
        <row r="3802">
          <cell r="F3802">
            <v>6.0299999999999999E-2</v>
          </cell>
        </row>
        <row r="3803">
          <cell r="F3803">
            <v>8.0299999999999996E-2</v>
          </cell>
        </row>
        <row r="3804">
          <cell r="F3804">
            <v>6.7500000000000004E-2</v>
          </cell>
        </row>
        <row r="3805">
          <cell r="F3805">
            <v>6.7500000000000004E-2</v>
          </cell>
        </row>
        <row r="3806">
          <cell r="F3806">
            <v>7.0300000000000001E-2</v>
          </cell>
        </row>
        <row r="3807">
          <cell r="F3807">
            <v>8.1000000000000003E-2</v>
          </cell>
        </row>
        <row r="3808">
          <cell r="F3808">
            <v>8.3900000000000002E-2</v>
          </cell>
        </row>
        <row r="3809">
          <cell r="F3809">
            <v>6.9599999999999995E-2</v>
          </cell>
        </row>
        <row r="3810">
          <cell r="F3810">
            <v>5.8299999999999998E-2</v>
          </cell>
        </row>
        <row r="3811">
          <cell r="F3811">
            <v>6.6799999999999998E-2</v>
          </cell>
        </row>
        <row r="3812">
          <cell r="F3812">
            <v>6.1100000000000002E-2</v>
          </cell>
        </row>
        <row r="3813">
          <cell r="F3813">
            <v>5.6099999999999997E-2</v>
          </cell>
        </row>
        <row r="3814">
          <cell r="F3814">
            <v>5.8299999999999998E-2</v>
          </cell>
        </row>
        <row r="3815">
          <cell r="F3815">
            <v>6.1100000000000002E-2</v>
          </cell>
        </row>
        <row r="3816">
          <cell r="F3816">
            <v>5.8299999999999998E-2</v>
          </cell>
        </row>
        <row r="3817">
          <cell r="F3817">
            <v>6.9000000000000006E-2</v>
          </cell>
        </row>
        <row r="3818">
          <cell r="F3818">
            <v>7.6200000000000004E-2</v>
          </cell>
        </row>
        <row r="3819">
          <cell r="F3819">
            <v>9.6199999999999994E-2</v>
          </cell>
        </row>
        <row r="3820">
          <cell r="F3820">
            <v>9.1899999999999996E-2</v>
          </cell>
        </row>
        <row r="3821">
          <cell r="F3821">
            <v>8.8999999999999996E-2</v>
          </cell>
        </row>
        <row r="3822">
          <cell r="F3822">
            <v>8.1199999999999994E-2</v>
          </cell>
        </row>
        <row r="3823">
          <cell r="F3823">
            <v>8.2500000000000004E-2</v>
          </cell>
        </row>
        <row r="3824">
          <cell r="F3824">
            <v>5.8400000000000001E-2</v>
          </cell>
        </row>
        <row r="3825">
          <cell r="F3825">
            <v>7.3899999999999993E-2</v>
          </cell>
        </row>
        <row r="3826">
          <cell r="F3826">
            <v>6.25E-2</v>
          </cell>
        </row>
        <row r="3827">
          <cell r="F3827">
            <v>5.8200000000000002E-2</v>
          </cell>
        </row>
        <row r="3828">
          <cell r="F3828">
            <v>8.5300000000000001E-2</v>
          </cell>
        </row>
        <row r="3829">
          <cell r="F3829">
            <v>5.96E-2</v>
          </cell>
        </row>
        <row r="3830">
          <cell r="F3830">
            <v>8.8099999999999998E-2</v>
          </cell>
        </row>
        <row r="3831">
          <cell r="F3831">
            <v>8.5300000000000001E-2</v>
          </cell>
        </row>
        <row r="3832">
          <cell r="F3832">
            <v>5.96E-2</v>
          </cell>
        </row>
        <row r="3833">
          <cell r="F3833">
            <v>5.1200000000000002E-2</v>
          </cell>
        </row>
        <row r="3834">
          <cell r="F3834">
            <v>2.7699999999999999E-2</v>
          </cell>
        </row>
        <row r="3835">
          <cell r="F3835">
            <v>4.9099999999999998E-2</v>
          </cell>
        </row>
        <row r="3836">
          <cell r="F3836">
            <v>2.8E-3</v>
          </cell>
        </row>
        <row r="3837">
          <cell r="F3837">
            <v>9.9000000000000008E-3</v>
          </cell>
        </row>
        <row r="3838">
          <cell r="F3838">
            <v>2.7000000000000001E-3</v>
          </cell>
        </row>
        <row r="3839">
          <cell r="F3839">
            <v>1.5299999999999999E-2</v>
          </cell>
        </row>
        <row r="3840">
          <cell r="F3840">
            <v>2.3400000000000001E-2</v>
          </cell>
        </row>
        <row r="3841">
          <cell r="F3841">
            <v>1.2200000000000001E-2</v>
          </cell>
        </row>
        <row r="3842">
          <cell r="F3842">
            <v>1.83E-2</v>
          </cell>
        </row>
        <row r="3843">
          <cell r="F3843">
            <v>6.9000000000000006E-2</v>
          </cell>
        </row>
        <row r="3844">
          <cell r="F3844">
            <v>0.1089</v>
          </cell>
        </row>
        <row r="3845">
          <cell r="F3845">
            <v>8.0399999999999999E-2</v>
          </cell>
        </row>
        <row r="3846">
          <cell r="F3846">
            <v>7.3599999999999999E-2</v>
          </cell>
        </row>
        <row r="3847">
          <cell r="F3847">
            <v>7.9699999999999993E-2</v>
          </cell>
        </row>
        <row r="3848">
          <cell r="F3848">
            <v>8.0299999999999996E-2</v>
          </cell>
        </row>
        <row r="3849">
          <cell r="F3849">
            <v>9.2399999999999996E-2</v>
          </cell>
        </row>
        <row r="3850">
          <cell r="F3850">
            <v>9.0300000000000005E-2</v>
          </cell>
        </row>
        <row r="3851">
          <cell r="F3851">
            <v>7.7399999999999997E-2</v>
          </cell>
        </row>
        <row r="3852">
          <cell r="F3852">
            <v>7.5999999999999998E-2</v>
          </cell>
        </row>
        <row r="3853">
          <cell r="F3853">
            <v>7.5999999999999998E-2</v>
          </cell>
        </row>
        <row r="3854">
          <cell r="F3854">
            <v>7.5999999999999998E-2</v>
          </cell>
        </row>
        <row r="3855">
          <cell r="F3855">
            <v>8.3099999999999993E-2</v>
          </cell>
        </row>
        <row r="3856">
          <cell r="F3856">
            <v>4.3999999999999997E-2</v>
          </cell>
        </row>
        <row r="3857">
          <cell r="F3857">
            <v>1.4E-2</v>
          </cell>
        </row>
        <row r="3858">
          <cell r="F3858">
            <v>1.41E-2</v>
          </cell>
        </row>
        <row r="3859">
          <cell r="F3859">
            <v>7.0000000000000001E-3</v>
          </cell>
        </row>
        <row r="3860">
          <cell r="F3860">
            <v>1E-4</v>
          </cell>
        </row>
        <row r="3861">
          <cell r="F3861">
            <v>1E-4</v>
          </cell>
        </row>
        <row r="3862">
          <cell r="F3862">
            <v>1.5900000000000001E-2</v>
          </cell>
        </row>
        <row r="3863">
          <cell r="F3863">
            <v>8.0000000000000004E-4</v>
          </cell>
        </row>
        <row r="3864">
          <cell r="F3864">
            <v>1.4E-3</v>
          </cell>
        </row>
        <row r="3865">
          <cell r="F3865">
            <v>2E-3</v>
          </cell>
        </row>
        <row r="3866">
          <cell r="F3866">
            <v>2.7000000000000001E-3</v>
          </cell>
        </row>
        <row r="3867">
          <cell r="F3867">
            <v>7.9299999999999995E-2</v>
          </cell>
        </row>
        <row r="3868">
          <cell r="F3868">
            <v>9.8299999999999998E-2</v>
          </cell>
        </row>
        <row r="3869">
          <cell r="F3869">
            <v>0.106</v>
          </cell>
        </row>
        <row r="3870">
          <cell r="F3870">
            <v>8.3299999999999999E-2</v>
          </cell>
        </row>
        <row r="3871">
          <cell r="F3871">
            <v>7.6600000000000001E-2</v>
          </cell>
        </row>
        <row r="3872">
          <cell r="F3872">
            <v>7.9000000000000001E-2</v>
          </cell>
        </row>
        <row r="3873">
          <cell r="F3873">
            <v>7.6799999999999993E-2</v>
          </cell>
        </row>
        <row r="3874">
          <cell r="F3874">
            <v>7.9200000000000007E-2</v>
          </cell>
        </row>
        <row r="3875">
          <cell r="F3875">
            <v>6.9900000000000004E-2</v>
          </cell>
        </row>
        <row r="3876">
          <cell r="F3876">
            <v>8.6699999999999999E-2</v>
          </cell>
        </row>
        <row r="3877">
          <cell r="F3877">
            <v>8.3099999999999993E-2</v>
          </cell>
        </row>
        <row r="3878">
          <cell r="F3878">
            <v>8.5300000000000001E-2</v>
          </cell>
        </row>
        <row r="3879">
          <cell r="F3879">
            <v>7.7100000000000002E-2</v>
          </cell>
        </row>
        <row r="3880">
          <cell r="F3880">
            <v>6.4299999999999996E-2</v>
          </cell>
        </row>
        <row r="3881">
          <cell r="F3881">
            <v>7.3999999999999996E-2</v>
          </cell>
        </row>
        <row r="3882">
          <cell r="F3882">
            <v>5.8299999999999998E-2</v>
          </cell>
        </row>
        <row r="3883">
          <cell r="F3883">
            <v>5.9799999999999999E-2</v>
          </cell>
        </row>
        <row r="3884">
          <cell r="F3884">
            <v>4.5600000000000002E-2</v>
          </cell>
        </row>
        <row r="3885">
          <cell r="F3885">
            <v>5.8500000000000003E-2</v>
          </cell>
        </row>
        <row r="3886">
          <cell r="F3886">
            <v>5.8500000000000003E-2</v>
          </cell>
        </row>
        <row r="3887">
          <cell r="F3887">
            <v>6.0100000000000001E-2</v>
          </cell>
        </row>
        <row r="3888">
          <cell r="F3888">
            <v>6.0600000000000001E-2</v>
          </cell>
        </row>
        <row r="3889">
          <cell r="F3889">
            <v>6.1400000000000003E-2</v>
          </cell>
        </row>
        <row r="3890">
          <cell r="F3890">
            <v>1.8868</v>
          </cell>
        </row>
        <row r="3891">
          <cell r="F3891">
            <v>1.9541999999999999</v>
          </cell>
        </row>
        <row r="3892">
          <cell r="F3892">
            <v>1.9095</v>
          </cell>
        </row>
        <row r="3893">
          <cell r="F3893">
            <v>9.2499999999999999E-2</v>
          </cell>
        </row>
        <row r="3894">
          <cell r="F3894">
            <v>9.0999999999999998E-2</v>
          </cell>
        </row>
        <row r="3895">
          <cell r="F3895">
            <v>8.7800000000000003E-2</v>
          </cell>
        </row>
        <row r="3896">
          <cell r="F3896">
            <v>4.2900000000000001E-2</v>
          </cell>
        </row>
        <row r="3897">
          <cell r="F3897">
            <v>7.9600000000000004E-2</v>
          </cell>
        </row>
        <row r="3898">
          <cell r="F3898">
            <v>8.5999999999999993E-2</v>
          </cell>
        </row>
        <row r="3899">
          <cell r="F3899">
            <v>7.5300000000000006E-2</v>
          </cell>
        </row>
        <row r="3900">
          <cell r="F3900">
            <v>7.5300000000000006E-2</v>
          </cell>
        </row>
        <row r="3901">
          <cell r="F3901">
            <v>7.46E-2</v>
          </cell>
        </row>
        <row r="3902">
          <cell r="F3902">
            <v>8.8900000000000007E-2</v>
          </cell>
        </row>
        <row r="3903">
          <cell r="F3903">
            <v>8.8200000000000001E-2</v>
          </cell>
        </row>
        <row r="3904">
          <cell r="F3904">
            <v>7.2599999999999998E-2</v>
          </cell>
        </row>
        <row r="3905">
          <cell r="F3905">
            <v>6.0499999999999998E-2</v>
          </cell>
        </row>
        <row r="3906">
          <cell r="F3906">
            <v>5.1400000000000001E-2</v>
          </cell>
        </row>
        <row r="3907">
          <cell r="F3907">
            <v>5.8599999999999999E-2</v>
          </cell>
        </row>
        <row r="3908">
          <cell r="F3908">
            <v>5.8000000000000003E-2</v>
          </cell>
        </row>
        <row r="3909">
          <cell r="F3909">
            <v>5.8900000000000001E-2</v>
          </cell>
        </row>
        <row r="3910">
          <cell r="F3910">
            <v>5.8299999999999998E-2</v>
          </cell>
        </row>
        <row r="3911">
          <cell r="F3911">
            <v>5.8999999999999997E-2</v>
          </cell>
        </row>
        <row r="3912">
          <cell r="F3912">
            <v>4.5699999999999998E-2</v>
          </cell>
        </row>
        <row r="3913">
          <cell r="F3913">
            <v>1.8789</v>
          </cell>
        </row>
        <row r="3914">
          <cell r="F3914">
            <v>1.9674</v>
          </cell>
        </row>
        <row r="3915">
          <cell r="F3915">
            <v>2.0459000000000001</v>
          </cell>
        </row>
        <row r="3916">
          <cell r="F3916">
            <v>2.0133999999999999</v>
          </cell>
        </row>
        <row r="3917">
          <cell r="F3917">
            <v>1.9403999999999999</v>
          </cell>
        </row>
        <row r="3918">
          <cell r="F3918">
            <v>8.6400000000000005E-2</v>
          </cell>
        </row>
        <row r="3919">
          <cell r="F3919">
            <v>8.43E-2</v>
          </cell>
        </row>
        <row r="3920">
          <cell r="F3920">
            <v>6.6900000000000001E-2</v>
          </cell>
        </row>
        <row r="3921">
          <cell r="F3921">
            <v>8.3199999999999996E-2</v>
          </cell>
        </row>
        <row r="3922">
          <cell r="F3922">
            <v>7.7399999999999997E-2</v>
          </cell>
        </row>
        <row r="3923">
          <cell r="F3923">
            <v>8.5999999999999993E-2</v>
          </cell>
        </row>
        <row r="3924">
          <cell r="F3924">
            <v>7.9600000000000004E-2</v>
          </cell>
        </row>
        <row r="3925">
          <cell r="F3925">
            <v>8.1699999999999995E-2</v>
          </cell>
        </row>
        <row r="3926">
          <cell r="F3926">
            <v>7.6700000000000004E-2</v>
          </cell>
        </row>
        <row r="3927">
          <cell r="F3927">
            <v>7.5300000000000006E-2</v>
          </cell>
        </row>
        <row r="3928">
          <cell r="F3928">
            <v>6.8199999999999997E-2</v>
          </cell>
        </row>
        <row r="3929">
          <cell r="F3929">
            <v>5.11E-2</v>
          </cell>
        </row>
        <row r="3930">
          <cell r="F3930">
            <v>2.7000000000000001E-3</v>
          </cell>
        </row>
        <row r="3931">
          <cell r="F3931">
            <v>1.7000000000000001E-2</v>
          </cell>
        </row>
        <row r="3932">
          <cell r="F3932">
            <v>2.8500000000000001E-2</v>
          </cell>
        </row>
        <row r="3933">
          <cell r="F3933">
            <v>1.7100000000000001E-2</v>
          </cell>
        </row>
        <row r="3934">
          <cell r="F3934">
            <v>8.6E-3</v>
          </cell>
        </row>
        <row r="3935">
          <cell r="F3935">
            <v>1.89E-2</v>
          </cell>
        </row>
        <row r="3936">
          <cell r="F3936">
            <v>5.0000000000000001E-3</v>
          </cell>
        </row>
        <row r="3937">
          <cell r="F3937">
            <v>1.03E-2</v>
          </cell>
        </row>
        <row r="3938">
          <cell r="F3938">
            <v>1.6500000000000001E-2</v>
          </cell>
        </row>
        <row r="3939">
          <cell r="F3939">
            <v>6.3200000000000006E-2</v>
          </cell>
        </row>
        <row r="3940">
          <cell r="F3940">
            <v>7.51E-2</v>
          </cell>
        </row>
        <row r="3941">
          <cell r="F3941">
            <v>8.4900000000000003E-2</v>
          </cell>
        </row>
        <row r="3942">
          <cell r="F3942">
            <v>7.9299999999999995E-2</v>
          </cell>
        </row>
        <row r="3943">
          <cell r="F3943">
            <v>7.0599999999999996E-2</v>
          </cell>
        </row>
        <row r="3944">
          <cell r="F3944">
            <v>8.0600000000000005E-2</v>
          </cell>
        </row>
        <row r="3945">
          <cell r="F3945">
            <v>8.6699999999999999E-2</v>
          </cell>
        </row>
        <row r="3946">
          <cell r="F3946">
            <v>8.3099999999999993E-2</v>
          </cell>
        </row>
        <row r="3947">
          <cell r="F3947">
            <v>7.2499999999999995E-2</v>
          </cell>
        </row>
        <row r="3948">
          <cell r="F3948">
            <v>7.2499999999999995E-2</v>
          </cell>
        </row>
        <row r="3949">
          <cell r="F3949">
            <v>7.17E-2</v>
          </cell>
        </row>
        <row r="3950">
          <cell r="F3950">
            <v>8.7400000000000005E-2</v>
          </cell>
        </row>
        <row r="3951">
          <cell r="F3951">
            <v>6.3899999999999998E-2</v>
          </cell>
        </row>
        <row r="3952">
          <cell r="F3952">
            <v>5.4600000000000003E-2</v>
          </cell>
        </row>
        <row r="3953">
          <cell r="F3953">
            <v>5.04E-2</v>
          </cell>
        </row>
        <row r="3954">
          <cell r="F3954">
            <v>4.3299999999999998E-2</v>
          </cell>
        </row>
        <row r="3955">
          <cell r="F3955">
            <v>4.9700000000000001E-2</v>
          </cell>
        </row>
        <row r="3956">
          <cell r="F3956">
            <v>3.5499999999999997E-2</v>
          </cell>
        </row>
        <row r="3957">
          <cell r="F3957">
            <v>2.7000000000000001E-3</v>
          </cell>
        </row>
        <row r="3958">
          <cell r="F3958">
            <v>2.7000000000000001E-3</v>
          </cell>
        </row>
        <row r="3959">
          <cell r="F3959">
            <v>1.7000000000000001E-2</v>
          </cell>
        </row>
        <row r="3960">
          <cell r="F3960">
            <v>2.8E-3</v>
          </cell>
        </row>
        <row r="3961">
          <cell r="F3961">
            <v>2.4899999999999999E-2</v>
          </cell>
        </row>
        <row r="3962">
          <cell r="F3962">
            <v>4.7600000000000003E-2</v>
          </cell>
        </row>
        <row r="3963">
          <cell r="F3963">
            <v>6.9699999999999998E-2</v>
          </cell>
        </row>
        <row r="3964">
          <cell r="F3964">
            <v>8.3900000000000002E-2</v>
          </cell>
        </row>
        <row r="3965">
          <cell r="F3965">
            <v>8.5300000000000001E-2</v>
          </cell>
        </row>
        <row r="3966">
          <cell r="F3966">
            <v>8.3299999999999999E-2</v>
          </cell>
        </row>
        <row r="3967">
          <cell r="F3967">
            <v>8.2500000000000004E-2</v>
          </cell>
        </row>
        <row r="3968">
          <cell r="F3968">
            <v>8.9599999999999999E-2</v>
          </cell>
        </row>
        <row r="3969">
          <cell r="F3969">
            <v>7.7700000000000005E-2</v>
          </cell>
        </row>
        <row r="3970">
          <cell r="F3970">
            <v>7.9200000000000007E-2</v>
          </cell>
        </row>
        <row r="3971">
          <cell r="F3971">
            <v>6.2E-2</v>
          </cell>
        </row>
        <row r="3972">
          <cell r="F3972">
            <v>6.7000000000000004E-2</v>
          </cell>
        </row>
        <row r="3973">
          <cell r="F3973">
            <v>6.8500000000000005E-2</v>
          </cell>
        </row>
        <row r="3974">
          <cell r="F3974">
            <v>7.2499999999999995E-2</v>
          </cell>
        </row>
        <row r="3975">
          <cell r="F3975">
            <v>7.3899999999999993E-2</v>
          </cell>
        </row>
        <row r="3976">
          <cell r="F3976">
            <v>6.8900000000000003E-2</v>
          </cell>
        </row>
        <row r="3977">
          <cell r="F3977">
            <v>4.9700000000000001E-2</v>
          </cell>
        </row>
        <row r="3978">
          <cell r="F3978">
            <v>8.3999999999999995E-3</v>
          </cell>
        </row>
        <row r="3979">
          <cell r="F3979">
            <v>2.7000000000000001E-3</v>
          </cell>
        </row>
        <row r="3980">
          <cell r="F3980">
            <v>2.8E-3</v>
          </cell>
        </row>
        <row r="3981">
          <cell r="F3981">
            <v>2.7000000000000001E-3</v>
          </cell>
        </row>
        <row r="3982">
          <cell r="F3982">
            <v>2.7000000000000001E-3</v>
          </cell>
        </row>
        <row r="3983">
          <cell r="F3983">
            <v>1.14E-2</v>
          </cell>
        </row>
        <row r="3984">
          <cell r="F3984">
            <v>1.37E-2</v>
          </cell>
        </row>
        <row r="3985">
          <cell r="F3985">
            <v>9.1999999999999998E-3</v>
          </cell>
        </row>
        <row r="3986">
          <cell r="F3986">
            <v>1.38E-2</v>
          </cell>
        </row>
        <row r="3987">
          <cell r="F3987">
            <v>9.1800000000000007E-2</v>
          </cell>
        </row>
        <row r="3988">
          <cell r="F3988">
            <v>9.9000000000000005E-2</v>
          </cell>
        </row>
        <row r="3989">
          <cell r="F3989">
            <v>0.1013</v>
          </cell>
        </row>
        <row r="3990">
          <cell r="F3990">
            <v>7.9899999999999999E-2</v>
          </cell>
        </row>
        <row r="3991">
          <cell r="F3991">
            <v>6.83E-2</v>
          </cell>
        </row>
        <row r="3992">
          <cell r="F3992">
            <v>6.54E-2</v>
          </cell>
        </row>
        <row r="3993">
          <cell r="F3993">
            <v>6.4600000000000005E-2</v>
          </cell>
        </row>
        <row r="3994">
          <cell r="F3994">
            <v>7.9600000000000004E-2</v>
          </cell>
        </row>
        <row r="3995">
          <cell r="F3995">
            <v>8.3199999999999996E-2</v>
          </cell>
        </row>
        <row r="3996">
          <cell r="F3996">
            <v>8.2400000000000001E-2</v>
          </cell>
        </row>
        <row r="3997">
          <cell r="F3997">
            <v>9.0999999999999998E-2</v>
          </cell>
        </row>
        <row r="3998">
          <cell r="F3998">
            <v>8.5999999999999993E-2</v>
          </cell>
        </row>
        <row r="3999">
          <cell r="F3999">
            <v>7.5300000000000006E-2</v>
          </cell>
        </row>
        <row r="4000">
          <cell r="F4000">
            <v>6.8199999999999997E-2</v>
          </cell>
        </row>
        <row r="4001">
          <cell r="F4001">
            <v>7.0000000000000001E-3</v>
          </cell>
        </row>
        <row r="4002">
          <cell r="F4002">
            <v>9.9000000000000008E-3</v>
          </cell>
        </row>
        <row r="4003">
          <cell r="F4003">
            <v>9.7999999999999997E-3</v>
          </cell>
        </row>
        <row r="4004">
          <cell r="F4004">
            <v>8.3999999999999995E-3</v>
          </cell>
        </row>
        <row r="4005">
          <cell r="F4005">
            <v>1.9300000000000001E-2</v>
          </cell>
        </row>
        <row r="4006">
          <cell r="F4006">
            <v>4.1999999999999997E-3</v>
          </cell>
        </row>
        <row r="4007">
          <cell r="F4007">
            <v>1E-4</v>
          </cell>
        </row>
        <row r="4008">
          <cell r="F4008">
            <v>2.0000000000000001E-4</v>
          </cell>
        </row>
        <row r="4009">
          <cell r="F4009">
            <v>5.0000000000000001E-4</v>
          </cell>
        </row>
        <row r="4010">
          <cell r="F4010">
            <v>1.77E-2</v>
          </cell>
        </row>
        <row r="4011">
          <cell r="F4011">
            <v>9.3600000000000003E-2</v>
          </cell>
        </row>
        <row r="4012">
          <cell r="F4012">
            <v>0.1038</v>
          </cell>
        </row>
        <row r="4013">
          <cell r="F4013">
            <v>9.0300000000000005E-2</v>
          </cell>
        </row>
        <row r="4014">
          <cell r="F4014">
            <v>8.7999999999999995E-2</v>
          </cell>
        </row>
        <row r="4015">
          <cell r="F4015">
            <v>8.6800000000000002E-2</v>
          </cell>
        </row>
        <row r="4016">
          <cell r="F4016">
            <v>9.2399999999999996E-2</v>
          </cell>
        </row>
        <row r="4017">
          <cell r="F4017">
            <v>8.5300000000000001E-2</v>
          </cell>
        </row>
        <row r="4018">
          <cell r="F4018">
            <v>7.8899999999999998E-2</v>
          </cell>
        </row>
        <row r="4019">
          <cell r="F4019">
            <v>8.1000000000000003E-2</v>
          </cell>
        </row>
        <row r="4020">
          <cell r="F4020">
            <v>7.9600000000000004E-2</v>
          </cell>
        </row>
        <row r="4021">
          <cell r="F4021">
            <v>8.3900000000000002E-2</v>
          </cell>
        </row>
        <row r="4022">
          <cell r="F4022">
            <v>7.9600000000000004E-2</v>
          </cell>
        </row>
        <row r="4023">
          <cell r="F4023">
            <v>8.0299999999999996E-2</v>
          </cell>
        </row>
        <row r="4024">
          <cell r="F4024">
            <v>7.3899999999999993E-2</v>
          </cell>
        </row>
        <row r="4025">
          <cell r="F4025">
            <v>6.8999999999999999E-3</v>
          </cell>
        </row>
        <row r="4026">
          <cell r="F4026">
            <v>8.3000000000000001E-3</v>
          </cell>
        </row>
        <row r="4027">
          <cell r="F4027">
            <v>8.3000000000000001E-3</v>
          </cell>
        </row>
        <row r="4028">
          <cell r="F4028">
            <v>6.8999999999999999E-3</v>
          </cell>
        </row>
        <row r="4029">
          <cell r="F4029">
            <v>3.0800000000000001E-2</v>
          </cell>
        </row>
        <row r="4030">
          <cell r="F4030">
            <v>0</v>
          </cell>
        </row>
        <row r="4031">
          <cell r="F4031">
            <v>0</v>
          </cell>
        </row>
        <row r="4032">
          <cell r="F4032">
            <v>0</v>
          </cell>
        </row>
        <row r="4033">
          <cell r="F4033">
            <v>0</v>
          </cell>
        </row>
        <row r="4034">
          <cell r="F4034">
            <v>1.6199999999999999E-2</v>
          </cell>
        </row>
        <row r="4035">
          <cell r="F4035">
            <v>7.8899999999999998E-2</v>
          </cell>
        </row>
        <row r="4036">
          <cell r="F4036">
            <v>0.1024</v>
          </cell>
        </row>
        <row r="4037">
          <cell r="F4037">
            <v>6.7599999999999993E-2</v>
          </cell>
        </row>
        <row r="4038">
          <cell r="F4038">
            <v>6.7599999999999993E-2</v>
          </cell>
        </row>
        <row r="4039">
          <cell r="F4039">
            <v>6.7599999999999993E-2</v>
          </cell>
        </row>
        <row r="4040">
          <cell r="F4040">
            <v>7.5300000000000006E-2</v>
          </cell>
        </row>
        <row r="4041">
          <cell r="F4041">
            <v>8.3900000000000002E-2</v>
          </cell>
        </row>
        <row r="4042">
          <cell r="F4042">
            <v>8.5300000000000001E-2</v>
          </cell>
        </row>
        <row r="4043">
          <cell r="F4043">
            <v>8.1000000000000003E-2</v>
          </cell>
        </row>
        <row r="4044">
          <cell r="F4044">
            <v>8.0299999999999996E-2</v>
          </cell>
        </row>
        <row r="4045">
          <cell r="F4045">
            <v>8.6699999999999999E-2</v>
          </cell>
        </row>
        <row r="4046">
          <cell r="F4046">
            <v>8.8800000000000004E-2</v>
          </cell>
        </row>
        <row r="4047">
          <cell r="F4047">
            <v>7.8899999999999998E-2</v>
          </cell>
        </row>
        <row r="4048">
          <cell r="F4048">
            <v>6.6799999999999998E-2</v>
          </cell>
        </row>
        <row r="4049">
          <cell r="F4049">
            <v>8.3000000000000001E-3</v>
          </cell>
        </row>
        <row r="4050">
          <cell r="F4050">
            <v>9.7999999999999997E-3</v>
          </cell>
        </row>
        <row r="4051">
          <cell r="F4051">
            <v>9.7999999999999997E-3</v>
          </cell>
        </row>
        <row r="4052">
          <cell r="F4052">
            <v>9.7999999999999997E-3</v>
          </cell>
        </row>
        <row r="4053">
          <cell r="F4053">
            <v>1.9199999999999998E-2</v>
          </cell>
        </row>
        <row r="4054">
          <cell r="F4054">
            <v>2.3900000000000001E-2</v>
          </cell>
        </row>
        <row r="4055">
          <cell r="F4055">
            <v>0</v>
          </cell>
        </row>
        <row r="4056">
          <cell r="F4056">
            <v>1E-4</v>
          </cell>
        </row>
        <row r="4057">
          <cell r="F4057">
            <v>1.0500000000000001E-2</v>
          </cell>
        </row>
        <row r="4058">
          <cell r="F4058">
            <v>1.6199999999999999E-2</v>
          </cell>
        </row>
        <row r="4059">
          <cell r="F4059">
            <v>7.7499999999999999E-2</v>
          </cell>
        </row>
        <row r="4060">
          <cell r="F4060">
            <v>0.1045</v>
          </cell>
        </row>
        <row r="4061">
          <cell r="F4061">
            <v>8.2500000000000004E-2</v>
          </cell>
        </row>
        <row r="4062">
          <cell r="F4062">
            <v>7.7499999999999999E-2</v>
          </cell>
        </row>
        <row r="4063">
          <cell r="F4063">
            <v>7.7499999999999999E-2</v>
          </cell>
        </row>
        <row r="4064">
          <cell r="F4064">
            <v>8.8900000000000007E-2</v>
          </cell>
        </row>
        <row r="4065">
          <cell r="F4065">
            <v>8.1000000000000003E-2</v>
          </cell>
        </row>
        <row r="4066">
          <cell r="F4066">
            <v>8.3199999999999996E-2</v>
          </cell>
        </row>
        <row r="4067">
          <cell r="F4067">
            <v>7.8200000000000006E-2</v>
          </cell>
        </row>
        <row r="4068">
          <cell r="F4068">
            <v>7.8899999999999998E-2</v>
          </cell>
        </row>
        <row r="4069">
          <cell r="F4069">
            <v>7.6700000000000004E-2</v>
          </cell>
        </row>
        <row r="4070">
          <cell r="F4070">
            <v>7.6700000000000004E-2</v>
          </cell>
        </row>
        <row r="4071">
          <cell r="F4071">
            <v>7.8899999999999998E-2</v>
          </cell>
        </row>
        <row r="4072">
          <cell r="F4072">
            <v>5.5399999999999998E-2</v>
          </cell>
        </row>
        <row r="4073">
          <cell r="F4073">
            <v>6.8999999999999999E-3</v>
          </cell>
        </row>
        <row r="4074">
          <cell r="F4074">
            <v>9.7999999999999997E-3</v>
          </cell>
        </row>
        <row r="4075">
          <cell r="F4075">
            <v>9.7999999999999997E-3</v>
          </cell>
        </row>
        <row r="4076">
          <cell r="F4076">
            <v>9.9000000000000008E-3</v>
          </cell>
        </row>
        <row r="4077">
          <cell r="F4077">
            <v>9.9000000000000008E-3</v>
          </cell>
        </row>
        <row r="4078">
          <cell r="F4078">
            <v>1.77E-2</v>
          </cell>
        </row>
        <row r="4079">
          <cell r="F4079">
            <v>1.2999999999999999E-2</v>
          </cell>
        </row>
        <row r="4080">
          <cell r="F4080">
            <v>1E-4</v>
          </cell>
        </row>
        <row r="4081">
          <cell r="F4081">
            <v>1E-4</v>
          </cell>
        </row>
        <row r="4082">
          <cell r="F4082">
            <v>1.7399999999999999E-2</v>
          </cell>
        </row>
        <row r="4083">
          <cell r="F4083">
            <v>8.1100000000000005E-2</v>
          </cell>
        </row>
        <row r="4084">
          <cell r="F4084">
            <v>7.6100000000000001E-2</v>
          </cell>
        </row>
        <row r="4085">
          <cell r="F4085">
            <v>8.1100000000000005E-2</v>
          </cell>
        </row>
        <row r="4086">
          <cell r="F4086">
            <v>8.2500000000000004E-2</v>
          </cell>
        </row>
        <row r="4087">
          <cell r="F4087">
            <v>8.2500000000000004E-2</v>
          </cell>
        </row>
        <row r="4088">
          <cell r="F4088">
            <v>8.1000000000000003E-2</v>
          </cell>
        </row>
        <row r="4089">
          <cell r="F4089">
            <v>8.2400000000000001E-2</v>
          </cell>
        </row>
        <row r="4090">
          <cell r="F4090">
            <v>8.7499999999999994E-2</v>
          </cell>
        </row>
        <row r="4091">
          <cell r="F4091">
            <v>9.1700000000000004E-2</v>
          </cell>
        </row>
        <row r="4092">
          <cell r="F4092">
            <v>9.6699999999999994E-2</v>
          </cell>
        </row>
        <row r="4093">
          <cell r="F4093">
            <v>9.1700000000000004E-2</v>
          </cell>
        </row>
        <row r="4094">
          <cell r="F4094">
            <v>7.7399999999999997E-2</v>
          </cell>
        </row>
        <row r="4095">
          <cell r="F4095">
            <v>7.5999999999999998E-2</v>
          </cell>
        </row>
        <row r="4096">
          <cell r="F4096">
            <v>7.3200000000000001E-2</v>
          </cell>
        </row>
        <row r="4097">
          <cell r="F4097">
            <v>6.8999999999999999E-3</v>
          </cell>
        </row>
        <row r="4098">
          <cell r="F4098">
            <v>2.41E-2</v>
          </cell>
        </row>
        <row r="4099">
          <cell r="F4099">
            <v>1.6899999999999998E-2</v>
          </cell>
        </row>
        <row r="4100">
          <cell r="F4100">
            <v>9.9000000000000008E-3</v>
          </cell>
        </row>
        <row r="4101">
          <cell r="F4101">
            <v>9.7999999999999997E-3</v>
          </cell>
        </row>
        <row r="4102">
          <cell r="F4102">
            <v>9.7999999999999997E-3</v>
          </cell>
        </row>
        <row r="4103">
          <cell r="F4103">
            <v>3.1099999999999999E-2</v>
          </cell>
        </row>
        <row r="4104">
          <cell r="F4104">
            <v>1E-4</v>
          </cell>
        </row>
        <row r="4105">
          <cell r="F4105">
            <v>1.4500000000000001E-2</v>
          </cell>
        </row>
        <row r="4106">
          <cell r="F4106">
            <v>1.6299999999999999E-2</v>
          </cell>
        </row>
        <row r="4107">
          <cell r="F4107">
            <v>6.83E-2</v>
          </cell>
        </row>
        <row r="4108">
          <cell r="F4108">
            <v>0.10680000000000001</v>
          </cell>
        </row>
        <row r="4109">
          <cell r="F4109">
            <v>9.5399999999999999E-2</v>
          </cell>
        </row>
        <row r="4110">
          <cell r="F4110">
            <v>8.9700000000000002E-2</v>
          </cell>
        </row>
        <row r="4111">
          <cell r="F4111">
            <v>9.1800000000000007E-2</v>
          </cell>
        </row>
        <row r="4112">
          <cell r="F4112">
            <v>9.2399999999999996E-2</v>
          </cell>
        </row>
        <row r="4113">
          <cell r="F4113">
            <v>9.2399999999999996E-2</v>
          </cell>
        </row>
        <row r="4114">
          <cell r="F4114">
            <v>8.1699999999999995E-2</v>
          </cell>
        </row>
        <row r="4115">
          <cell r="F4115">
            <v>8.3099999999999993E-2</v>
          </cell>
        </row>
        <row r="4116">
          <cell r="F4116">
            <v>9.74E-2</v>
          </cell>
        </row>
        <row r="4117">
          <cell r="F4117">
            <v>8.5300000000000001E-2</v>
          </cell>
        </row>
        <row r="4118">
          <cell r="F4118">
            <v>8.3099999999999993E-2</v>
          </cell>
        </row>
        <row r="4119">
          <cell r="F4119">
            <v>7.3899999999999993E-2</v>
          </cell>
        </row>
        <row r="4120">
          <cell r="F4120">
            <v>6.0400000000000002E-2</v>
          </cell>
        </row>
        <row r="4121">
          <cell r="F4121">
            <v>3.2599999999999997E-2</v>
          </cell>
        </row>
        <row r="4122">
          <cell r="F4122">
            <v>3.3300000000000003E-2</v>
          </cell>
        </row>
        <row r="4123">
          <cell r="F4123">
            <v>9.7999999999999997E-3</v>
          </cell>
        </row>
        <row r="4124">
          <cell r="F4124">
            <v>9.7999999999999997E-3</v>
          </cell>
        </row>
        <row r="4125">
          <cell r="F4125">
            <v>9.7999999999999997E-3</v>
          </cell>
        </row>
        <row r="4126">
          <cell r="F4126">
            <v>9.7999999999999997E-3</v>
          </cell>
        </row>
        <row r="4127">
          <cell r="F4127">
            <v>2.24E-2</v>
          </cell>
        </row>
        <row r="4128">
          <cell r="F4128">
            <v>1.0800000000000001E-2</v>
          </cell>
        </row>
        <row r="4129">
          <cell r="F4129">
            <v>1.41E-2</v>
          </cell>
        </row>
        <row r="4130">
          <cell r="F4130">
            <v>1.6199999999999999E-2</v>
          </cell>
        </row>
        <row r="4131">
          <cell r="F4131">
            <v>8.5500000000000007E-2</v>
          </cell>
        </row>
        <row r="4132">
          <cell r="F4132">
            <v>8.0199999999999994E-2</v>
          </cell>
        </row>
        <row r="4133">
          <cell r="F4133">
            <v>8.2199999999999995E-2</v>
          </cell>
        </row>
        <row r="4134">
          <cell r="F4134">
            <v>0.08</v>
          </cell>
        </row>
        <row r="4135">
          <cell r="F4135">
            <v>7.0800000000000002E-2</v>
          </cell>
        </row>
        <row r="4136">
          <cell r="F4136">
            <v>8.1000000000000003E-2</v>
          </cell>
        </row>
        <row r="4137">
          <cell r="F4137">
            <v>9.0300000000000005E-2</v>
          </cell>
        </row>
        <row r="4138">
          <cell r="F4138">
            <v>7.9200000000000007E-2</v>
          </cell>
        </row>
        <row r="4139">
          <cell r="F4139">
            <v>9.1700000000000004E-2</v>
          </cell>
        </row>
        <row r="4140">
          <cell r="F4140">
            <v>9.2399999999999996E-2</v>
          </cell>
        </row>
        <row r="4141">
          <cell r="F4141">
            <v>9.3100000000000002E-2</v>
          </cell>
        </row>
        <row r="4142">
          <cell r="F4142">
            <v>7.8600000000000003E-2</v>
          </cell>
        </row>
        <row r="4143">
          <cell r="F4143">
            <v>7.3599999999999999E-2</v>
          </cell>
        </row>
        <row r="4144">
          <cell r="F4144">
            <v>6.25E-2</v>
          </cell>
        </row>
        <row r="4145">
          <cell r="F4145">
            <v>3.9E-2</v>
          </cell>
        </row>
        <row r="4146">
          <cell r="F4146">
            <v>2.4899999999999999E-2</v>
          </cell>
        </row>
        <row r="4147">
          <cell r="F4147">
            <v>2.8999999999999998E-3</v>
          </cell>
        </row>
        <row r="4148">
          <cell r="F4148">
            <v>3.2000000000000002E-3</v>
          </cell>
        </row>
        <row r="4149">
          <cell r="F4149">
            <v>1.9900000000000001E-2</v>
          </cell>
        </row>
        <row r="4150">
          <cell r="F4150">
            <v>1.95E-2</v>
          </cell>
        </row>
        <row r="4151">
          <cell r="F4151">
            <v>4.1999999999999997E-3</v>
          </cell>
        </row>
        <row r="4152">
          <cell r="F4152">
            <v>4.2500000000000003E-2</v>
          </cell>
        </row>
        <row r="4153">
          <cell r="F4153">
            <v>4.4999999999999998E-2</v>
          </cell>
        </row>
        <row r="4154">
          <cell r="F4154">
            <v>5.16E-2</v>
          </cell>
        </row>
        <row r="4155">
          <cell r="F4155">
            <v>9.7799999999999998E-2</v>
          </cell>
        </row>
        <row r="4156">
          <cell r="F4156">
            <v>8.7800000000000003E-2</v>
          </cell>
        </row>
        <row r="4157">
          <cell r="F4157">
            <v>8.6099999999999996E-2</v>
          </cell>
        </row>
        <row r="4158">
          <cell r="F4158">
            <v>7.5499999999999998E-2</v>
          </cell>
        </row>
        <row r="4159">
          <cell r="F4159">
            <v>7.4700000000000003E-2</v>
          </cell>
        </row>
        <row r="4160">
          <cell r="F4160">
            <v>6.25E-2</v>
          </cell>
        </row>
        <row r="4161">
          <cell r="F4161">
            <v>6.8199999999999997E-2</v>
          </cell>
        </row>
        <row r="4162">
          <cell r="F4162">
            <v>6.0299999999999999E-2</v>
          </cell>
        </row>
        <row r="4163">
          <cell r="F4163">
            <v>5.1799999999999999E-2</v>
          </cell>
        </row>
        <row r="4164">
          <cell r="F4164">
            <v>5.3900000000000003E-2</v>
          </cell>
        </row>
        <row r="4165">
          <cell r="F4165">
            <v>5.4600000000000003E-2</v>
          </cell>
        </row>
        <row r="4166">
          <cell r="F4166">
            <v>5.6800000000000003E-2</v>
          </cell>
        </row>
        <row r="4167">
          <cell r="F4167">
            <v>6.25E-2</v>
          </cell>
        </row>
        <row r="4168">
          <cell r="F4168">
            <v>6.4600000000000005E-2</v>
          </cell>
        </row>
        <row r="4169">
          <cell r="F4169">
            <v>9.7999999999999997E-3</v>
          </cell>
        </row>
        <row r="4170">
          <cell r="F4170">
            <v>9.7999999999999997E-3</v>
          </cell>
        </row>
        <row r="4171">
          <cell r="F4171">
            <v>9.7999999999999997E-3</v>
          </cell>
        </row>
        <row r="4172">
          <cell r="F4172">
            <v>9.7999999999999997E-3</v>
          </cell>
        </row>
        <row r="4173">
          <cell r="F4173">
            <v>9.7999999999999997E-3</v>
          </cell>
        </row>
        <row r="4174">
          <cell r="F4174">
            <v>6.8999999999999999E-3</v>
          </cell>
        </row>
        <row r="4175">
          <cell r="F4175">
            <v>1.41E-2</v>
          </cell>
        </row>
        <row r="4176">
          <cell r="F4176">
            <v>8.2000000000000007E-3</v>
          </cell>
        </row>
        <row r="4177">
          <cell r="F4177">
            <v>1E-4</v>
          </cell>
        </row>
        <row r="4178">
          <cell r="F4178">
            <v>6.1100000000000002E-2</v>
          </cell>
        </row>
        <row r="4179">
          <cell r="F4179">
            <v>6.7500000000000004E-2</v>
          </cell>
        </row>
        <row r="4180">
          <cell r="F4180">
            <v>8.4599999999999995E-2</v>
          </cell>
        </row>
        <row r="4181">
          <cell r="F4181">
            <v>7.6799999999999993E-2</v>
          </cell>
        </row>
        <row r="4182">
          <cell r="F4182">
            <v>8.0399999999999999E-2</v>
          </cell>
        </row>
        <row r="4183">
          <cell r="F4183">
            <v>8.1100000000000005E-2</v>
          </cell>
        </row>
        <row r="4184">
          <cell r="F4184">
            <v>6.9500000000000006E-2</v>
          </cell>
        </row>
        <row r="4185">
          <cell r="F4185">
            <v>7.17E-2</v>
          </cell>
        </row>
        <row r="4186">
          <cell r="F4186">
            <v>7.0199999999999999E-2</v>
          </cell>
        </row>
        <row r="4187">
          <cell r="F4187">
            <v>6.88E-2</v>
          </cell>
        </row>
        <row r="4188">
          <cell r="F4188">
            <v>6.88E-2</v>
          </cell>
        </row>
        <row r="4189">
          <cell r="F4189">
            <v>6.8099999999999994E-2</v>
          </cell>
        </row>
        <row r="4190">
          <cell r="F4190">
            <v>6.88E-2</v>
          </cell>
        </row>
        <row r="4191">
          <cell r="F4191">
            <v>7.17E-2</v>
          </cell>
        </row>
        <row r="4192">
          <cell r="F4192">
            <v>7.0999999999999994E-2</v>
          </cell>
        </row>
        <row r="4193">
          <cell r="F4193">
            <v>1.4E-2</v>
          </cell>
        </row>
        <row r="4194">
          <cell r="F4194">
            <v>1.6899999999999998E-2</v>
          </cell>
        </row>
        <row r="4195">
          <cell r="F4195">
            <v>1.6899999999999998E-2</v>
          </cell>
        </row>
        <row r="4196">
          <cell r="F4196">
            <v>1.6899999999999998E-2</v>
          </cell>
        </row>
        <row r="4197">
          <cell r="F4197">
            <v>1.6899999999999998E-2</v>
          </cell>
        </row>
        <row r="4198">
          <cell r="F4198">
            <v>1.55E-2</v>
          </cell>
        </row>
        <row r="4199">
          <cell r="F4199">
            <v>1.9199999999999998E-2</v>
          </cell>
        </row>
        <row r="4200">
          <cell r="F4200">
            <v>9.7000000000000003E-3</v>
          </cell>
        </row>
        <row r="4201">
          <cell r="F4201">
            <v>1.1599999999999999E-2</v>
          </cell>
        </row>
        <row r="4202">
          <cell r="F4202">
            <v>2.69E-2</v>
          </cell>
        </row>
        <row r="4203">
          <cell r="F4203">
            <v>6.2E-2</v>
          </cell>
        </row>
        <row r="4204">
          <cell r="F4204">
            <v>7.6300000000000007E-2</v>
          </cell>
        </row>
        <row r="4205">
          <cell r="F4205">
            <v>8.1199999999999994E-2</v>
          </cell>
        </row>
        <row r="4206">
          <cell r="F4206">
            <v>7.9699999999999993E-2</v>
          </cell>
        </row>
        <row r="4207">
          <cell r="F4207">
            <v>7.9699999999999993E-2</v>
          </cell>
        </row>
        <row r="4208">
          <cell r="F4208">
            <v>6.7500000000000004E-2</v>
          </cell>
        </row>
        <row r="4209">
          <cell r="F4209">
            <v>5.7500000000000002E-2</v>
          </cell>
        </row>
        <row r="4210">
          <cell r="F4210">
            <v>6.3899999999999998E-2</v>
          </cell>
        </row>
        <row r="4211">
          <cell r="F4211">
            <v>6.9599999999999995E-2</v>
          </cell>
        </row>
        <row r="4212">
          <cell r="F4212">
            <v>6.9599999999999995E-2</v>
          </cell>
        </row>
        <row r="4213">
          <cell r="F4213">
            <v>6.3200000000000006E-2</v>
          </cell>
        </row>
        <row r="4214">
          <cell r="F4214">
            <v>6.5299999999999997E-2</v>
          </cell>
        </row>
        <row r="4215">
          <cell r="F4215">
            <v>6.8199999999999997E-2</v>
          </cell>
        </row>
        <row r="4216">
          <cell r="F4216">
            <v>6.0400000000000002E-2</v>
          </cell>
        </row>
        <row r="4217">
          <cell r="F4217">
            <v>3.8300000000000001E-2</v>
          </cell>
        </row>
        <row r="4218">
          <cell r="F4218">
            <v>1.46E-2</v>
          </cell>
        </row>
        <row r="4219">
          <cell r="F4219">
            <v>1.46E-2</v>
          </cell>
        </row>
        <row r="4220">
          <cell r="F4220">
            <v>1.46E-2</v>
          </cell>
        </row>
        <row r="4221">
          <cell r="F4221">
            <v>1.46E-2</v>
          </cell>
        </row>
        <row r="4222">
          <cell r="F4222">
            <v>1.46E-2</v>
          </cell>
        </row>
        <row r="4223">
          <cell r="F4223">
            <v>1.47E-2</v>
          </cell>
        </row>
        <row r="4224">
          <cell r="F4224">
            <v>1.21E-2</v>
          </cell>
        </row>
        <row r="4225">
          <cell r="F4225">
            <v>2.64E-2</v>
          </cell>
        </row>
        <row r="4226">
          <cell r="F4226">
            <v>3.85E-2</v>
          </cell>
        </row>
        <row r="4227">
          <cell r="F4227">
            <v>7.4700000000000003E-2</v>
          </cell>
        </row>
        <row r="4228">
          <cell r="F4228">
            <v>9.9500000000000005E-2</v>
          </cell>
        </row>
        <row r="4229">
          <cell r="F4229">
            <v>8.5300000000000001E-2</v>
          </cell>
        </row>
        <row r="4230">
          <cell r="F4230">
            <v>8.5599999999999996E-2</v>
          </cell>
        </row>
        <row r="4231">
          <cell r="F4231">
            <v>7.6899999999999996E-2</v>
          </cell>
        </row>
        <row r="4232">
          <cell r="F4232">
            <v>6.8400000000000002E-2</v>
          </cell>
        </row>
        <row r="4233">
          <cell r="F4233">
            <v>6.0400000000000002E-2</v>
          </cell>
        </row>
        <row r="4234">
          <cell r="F4234">
            <v>6.7500000000000004E-2</v>
          </cell>
        </row>
        <row r="4235">
          <cell r="F4235">
            <v>6.4600000000000005E-2</v>
          </cell>
        </row>
        <row r="4236">
          <cell r="F4236">
            <v>6.3899999999999998E-2</v>
          </cell>
        </row>
        <row r="4237">
          <cell r="F4237">
            <v>6.3899999999999998E-2</v>
          </cell>
        </row>
        <row r="4238">
          <cell r="F4238">
            <v>6.5299999999999997E-2</v>
          </cell>
        </row>
        <row r="4239">
          <cell r="F4239">
            <v>6.8199999999999997E-2</v>
          </cell>
        </row>
        <row r="4240">
          <cell r="F4240">
            <v>6.1100000000000002E-2</v>
          </cell>
        </row>
        <row r="4241">
          <cell r="F4241">
            <v>2.4799999999999999E-2</v>
          </cell>
        </row>
        <row r="4242">
          <cell r="F4242">
            <v>2.9100000000000001E-2</v>
          </cell>
        </row>
        <row r="4243">
          <cell r="F4243">
            <v>2.9100000000000001E-2</v>
          </cell>
        </row>
        <row r="4244">
          <cell r="F4244">
            <v>2.7699999999999999E-2</v>
          </cell>
        </row>
        <row r="4245">
          <cell r="F4245">
            <v>2.35E-2</v>
          </cell>
        </row>
        <row r="4246">
          <cell r="F4246">
            <v>2.7E-2</v>
          </cell>
        </row>
        <row r="4247">
          <cell r="F4247">
            <v>3.2099999999999997E-2</v>
          </cell>
        </row>
        <row r="4248">
          <cell r="F4248">
            <v>3.8600000000000002E-2</v>
          </cell>
        </row>
        <row r="4249">
          <cell r="F4249">
            <v>5.7299999999999997E-2</v>
          </cell>
        </row>
        <row r="4250">
          <cell r="F4250">
            <v>6.3299999999999995E-2</v>
          </cell>
        </row>
        <row r="4251">
          <cell r="F4251">
            <v>9.2799999999999994E-2</v>
          </cell>
        </row>
        <row r="4252">
          <cell r="F4252">
            <v>7.9500000000000001E-2</v>
          </cell>
        </row>
        <row r="4253">
          <cell r="F4253">
            <v>8.8800000000000004E-2</v>
          </cell>
        </row>
        <row r="4254">
          <cell r="F4254">
            <v>8.5099999999999995E-2</v>
          </cell>
        </row>
        <row r="4255">
          <cell r="F4255">
            <v>7.7799999999999994E-2</v>
          </cell>
        </row>
        <row r="4256">
          <cell r="F4256">
            <v>8.1799999999999998E-2</v>
          </cell>
        </row>
        <row r="4257">
          <cell r="F4257">
            <v>9.2399999999999996E-2</v>
          </cell>
        </row>
        <row r="4258">
          <cell r="F4258">
            <v>8.2400000000000001E-2</v>
          </cell>
        </row>
        <row r="4259">
          <cell r="F4259">
            <v>7.46E-2</v>
          </cell>
        </row>
        <row r="4260">
          <cell r="F4260">
            <v>7.3899999999999993E-2</v>
          </cell>
        </row>
        <row r="4261">
          <cell r="F4261">
            <v>6.7500000000000004E-2</v>
          </cell>
        </row>
        <row r="4262">
          <cell r="F4262">
            <v>6.7500000000000004E-2</v>
          </cell>
        </row>
        <row r="4263">
          <cell r="F4263">
            <v>6.1800000000000001E-2</v>
          </cell>
        </row>
        <row r="4264">
          <cell r="F4264">
            <v>6.8199999999999997E-2</v>
          </cell>
        </row>
        <row r="4265">
          <cell r="F4265">
            <v>6.0600000000000001E-2</v>
          </cell>
        </row>
        <row r="4266">
          <cell r="F4266">
            <v>6.1400000000000003E-2</v>
          </cell>
        </row>
        <row r="4267">
          <cell r="F4267">
            <v>6.0699999999999997E-2</v>
          </cell>
        </row>
        <row r="4268">
          <cell r="F4268">
            <v>5.8000000000000003E-2</v>
          </cell>
        </row>
        <row r="4269">
          <cell r="F4269">
            <v>5.96E-2</v>
          </cell>
        </row>
        <row r="4270">
          <cell r="F4270">
            <v>6.25E-2</v>
          </cell>
        </row>
        <row r="4271">
          <cell r="F4271">
            <v>6.5299999999999997E-2</v>
          </cell>
        </row>
        <row r="4272">
          <cell r="F4272">
            <v>6.4100000000000004E-2</v>
          </cell>
        </row>
        <row r="4273">
          <cell r="F4273">
            <v>6.7000000000000004E-2</v>
          </cell>
        </row>
        <row r="4274">
          <cell r="F4274">
            <v>7.2800000000000004E-2</v>
          </cell>
        </row>
        <row r="4275">
          <cell r="F4275">
            <v>0.1091</v>
          </cell>
        </row>
        <row r="4276">
          <cell r="F4276">
            <v>8.6999999999999994E-2</v>
          </cell>
        </row>
        <row r="4277">
          <cell r="F4277">
            <v>9.74E-2</v>
          </cell>
        </row>
        <row r="4278">
          <cell r="F4278">
            <v>8.7499999999999994E-2</v>
          </cell>
        </row>
        <row r="4279">
          <cell r="F4279">
            <v>8.48E-2</v>
          </cell>
        </row>
        <row r="4280">
          <cell r="F4280">
            <v>8.0299999999999996E-2</v>
          </cell>
        </row>
        <row r="4281">
          <cell r="F4281">
            <v>7.2800000000000004E-2</v>
          </cell>
        </row>
        <row r="4282">
          <cell r="F4282">
            <v>8.4199999999999997E-2</v>
          </cell>
        </row>
        <row r="4283">
          <cell r="F4283">
            <v>7.5600000000000001E-2</v>
          </cell>
        </row>
        <row r="4284">
          <cell r="F4284">
            <v>7.1400000000000005E-2</v>
          </cell>
        </row>
        <row r="4285">
          <cell r="F4285">
            <v>7.1400000000000005E-2</v>
          </cell>
        </row>
        <row r="4286">
          <cell r="F4286">
            <v>7.2099999999999997E-2</v>
          </cell>
        </row>
        <row r="4287">
          <cell r="F4287">
            <v>7.2099999999999997E-2</v>
          </cell>
        </row>
        <row r="4288">
          <cell r="F4288">
            <v>6.4500000000000002E-2</v>
          </cell>
        </row>
        <row r="4289">
          <cell r="F4289">
            <v>7.17E-2</v>
          </cell>
        </row>
        <row r="4290">
          <cell r="F4290">
            <v>6.6900000000000001E-2</v>
          </cell>
        </row>
        <row r="4291">
          <cell r="F4291">
            <v>6.5699999999999995E-2</v>
          </cell>
        </row>
        <row r="4292">
          <cell r="F4292">
            <v>6.6799999999999998E-2</v>
          </cell>
        </row>
        <row r="4293">
          <cell r="F4293">
            <v>6.9500000000000006E-2</v>
          </cell>
        </row>
        <row r="4294">
          <cell r="F4294">
            <v>7.0699999999999999E-2</v>
          </cell>
        </row>
        <row r="4295">
          <cell r="F4295">
            <v>7.2999999999999995E-2</v>
          </cell>
        </row>
        <row r="4296">
          <cell r="F4296">
            <v>7.5300000000000006E-2</v>
          </cell>
        </row>
        <row r="4297">
          <cell r="F4297">
            <v>7.5999999999999998E-2</v>
          </cell>
        </row>
        <row r="4298">
          <cell r="F4298">
            <v>9.4E-2</v>
          </cell>
        </row>
        <row r="4299">
          <cell r="F4299">
            <v>0.1137</v>
          </cell>
        </row>
        <row r="4300">
          <cell r="F4300">
            <v>9.9299999999999999E-2</v>
          </cell>
        </row>
        <row r="4301">
          <cell r="F4301">
            <v>0.1038</v>
          </cell>
        </row>
        <row r="4302">
          <cell r="F4302">
            <v>9.69E-2</v>
          </cell>
        </row>
        <row r="4303">
          <cell r="F4303">
            <v>9.4200000000000006E-2</v>
          </cell>
        </row>
        <row r="4304">
          <cell r="F4304">
            <v>9.3200000000000005E-2</v>
          </cell>
        </row>
        <row r="4305">
          <cell r="F4305">
            <v>7.7200000000000005E-2</v>
          </cell>
        </row>
        <row r="4306">
          <cell r="F4306">
            <v>6.7900000000000002E-2</v>
          </cell>
        </row>
        <row r="4307">
          <cell r="F4307">
            <v>7.3599999999999999E-2</v>
          </cell>
        </row>
        <row r="4308">
          <cell r="F4308">
            <v>6.5799999999999997E-2</v>
          </cell>
        </row>
        <row r="4309">
          <cell r="F4309">
            <v>6.4299999999999996E-2</v>
          </cell>
        </row>
        <row r="4310">
          <cell r="F4310">
            <v>7.46E-2</v>
          </cell>
        </row>
        <row r="4311">
          <cell r="F4311">
            <v>7.0300000000000001E-2</v>
          </cell>
        </row>
        <row r="4312">
          <cell r="F4312">
            <v>5.9700000000000003E-2</v>
          </cell>
        </row>
        <row r="4313">
          <cell r="F4313">
            <v>6.83E-2</v>
          </cell>
        </row>
        <row r="4314">
          <cell r="F4314">
            <v>6.7599999999999993E-2</v>
          </cell>
        </row>
        <row r="4315">
          <cell r="F4315">
            <v>6.8400000000000002E-2</v>
          </cell>
        </row>
        <row r="4316">
          <cell r="F4316">
            <v>6.2899999999999998E-2</v>
          </cell>
        </row>
        <row r="4317">
          <cell r="F4317">
            <v>6.2399999999999997E-2</v>
          </cell>
        </row>
        <row r="4318">
          <cell r="F4318">
            <v>6.3299999999999995E-2</v>
          </cell>
        </row>
        <row r="4319">
          <cell r="F4319">
            <v>6.8699999999999997E-2</v>
          </cell>
        </row>
        <row r="4320">
          <cell r="F4320">
            <v>7.1900000000000006E-2</v>
          </cell>
        </row>
        <row r="4321">
          <cell r="F4321">
            <v>7.1599999999999997E-2</v>
          </cell>
        </row>
        <row r="4322">
          <cell r="F4322">
            <v>9.4799999999999995E-2</v>
          </cell>
        </row>
        <row r="4323">
          <cell r="F4323">
            <v>0.1031</v>
          </cell>
        </row>
        <row r="4324">
          <cell r="F4324">
            <v>0.1012</v>
          </cell>
        </row>
        <row r="4325">
          <cell r="F4325">
            <v>9.8500000000000004E-2</v>
          </cell>
        </row>
        <row r="4326">
          <cell r="F4326">
            <v>9.1399999999999995E-2</v>
          </cell>
        </row>
        <row r="4327">
          <cell r="F4327">
            <v>8.8300000000000003E-2</v>
          </cell>
        </row>
        <row r="4328">
          <cell r="F4328">
            <v>8.0299999999999996E-2</v>
          </cell>
        </row>
        <row r="4329">
          <cell r="F4329">
            <v>7.8200000000000006E-2</v>
          </cell>
        </row>
        <row r="4330">
          <cell r="F4330">
            <v>7.5300000000000006E-2</v>
          </cell>
        </row>
        <row r="4331">
          <cell r="F4331">
            <v>6.7500000000000004E-2</v>
          </cell>
        </row>
        <row r="4332">
          <cell r="F4332">
            <v>6.3200000000000006E-2</v>
          </cell>
        </row>
        <row r="4333">
          <cell r="F4333">
            <v>6.1100000000000002E-2</v>
          </cell>
        </row>
        <row r="4334">
          <cell r="F4334">
            <v>6.7500000000000004E-2</v>
          </cell>
        </row>
        <row r="4335">
          <cell r="F4335">
            <v>6.5299999999999997E-2</v>
          </cell>
        </row>
        <row r="4336">
          <cell r="F4336">
            <v>6.3200000000000006E-2</v>
          </cell>
        </row>
        <row r="4337">
          <cell r="F4337">
            <v>6.1100000000000002E-2</v>
          </cell>
        </row>
        <row r="4338">
          <cell r="F4338">
            <v>5.6899999999999999E-2</v>
          </cell>
        </row>
        <row r="4339">
          <cell r="F4339">
            <v>5.3400000000000003E-2</v>
          </cell>
        </row>
        <row r="4340">
          <cell r="F4340">
            <v>5.4899999999999997E-2</v>
          </cell>
        </row>
        <row r="4341">
          <cell r="F4341">
            <v>5.57E-2</v>
          </cell>
        </row>
        <row r="4342">
          <cell r="F4342">
            <v>5.5599999999999997E-2</v>
          </cell>
        </row>
        <row r="4343">
          <cell r="F4343">
            <v>7.1400000000000005E-2</v>
          </cell>
        </row>
        <row r="4344">
          <cell r="F4344">
            <v>7.7899999999999997E-2</v>
          </cell>
        </row>
        <row r="4345">
          <cell r="F4345">
            <v>8.6099999999999996E-2</v>
          </cell>
        </row>
        <row r="4346">
          <cell r="F4346">
            <v>8.9800000000000005E-2</v>
          </cell>
        </row>
        <row r="4347">
          <cell r="F4347">
            <v>9.3100000000000002E-2</v>
          </cell>
        </row>
        <row r="4348">
          <cell r="F4348">
            <v>9.3399999999999997E-2</v>
          </cell>
        </row>
        <row r="4349">
          <cell r="F4349">
            <v>9.1600000000000001E-2</v>
          </cell>
        </row>
        <row r="4350">
          <cell r="F4350">
            <v>8.9399999999999993E-2</v>
          </cell>
        </row>
        <row r="4351">
          <cell r="F4351">
            <v>8.7599999999999997E-2</v>
          </cell>
        </row>
        <row r="4352">
          <cell r="F4352">
            <v>8.4599999999999995E-2</v>
          </cell>
        </row>
        <row r="4353">
          <cell r="F4353">
            <v>9.3799999999999994E-2</v>
          </cell>
        </row>
        <row r="4354">
          <cell r="F4354">
            <v>7.3099999999999998E-2</v>
          </cell>
        </row>
        <row r="4355">
          <cell r="F4355">
            <v>7.0300000000000001E-2</v>
          </cell>
        </row>
        <row r="4356">
          <cell r="F4356">
            <v>6.88E-2</v>
          </cell>
        </row>
        <row r="4357">
          <cell r="F4357">
            <v>7.0300000000000001E-2</v>
          </cell>
        </row>
        <row r="4358">
          <cell r="F4358">
            <v>6.9599999999999995E-2</v>
          </cell>
        </row>
        <row r="4359">
          <cell r="F4359">
            <v>6.0299999999999999E-2</v>
          </cell>
        </row>
        <row r="4360">
          <cell r="F4360">
            <v>1.1999999999999999E-3</v>
          </cell>
        </row>
        <row r="4361">
          <cell r="F4361">
            <v>2.7000000000000001E-3</v>
          </cell>
        </row>
        <row r="4362">
          <cell r="F4362">
            <v>2.7000000000000001E-3</v>
          </cell>
        </row>
        <row r="4363">
          <cell r="F4363">
            <v>1.2999999999999999E-3</v>
          </cell>
        </row>
        <row r="4364">
          <cell r="F4364">
            <v>1.2999999999999999E-3</v>
          </cell>
        </row>
        <row r="4365">
          <cell r="F4365">
            <v>1E-4</v>
          </cell>
        </row>
        <row r="4366">
          <cell r="F4366">
            <v>1E-4</v>
          </cell>
        </row>
        <row r="4367">
          <cell r="F4367">
            <v>2.0000000000000001E-4</v>
          </cell>
        </row>
        <row r="4368">
          <cell r="F4368">
            <v>9.4999999999999998E-3</v>
          </cell>
        </row>
        <row r="4369">
          <cell r="F4369">
            <v>1.7999999999999999E-2</v>
          </cell>
        </row>
        <row r="4370">
          <cell r="F4370">
            <v>5.3199999999999997E-2</v>
          </cell>
        </row>
        <row r="4371">
          <cell r="F4371">
            <v>9.8000000000000004E-2</v>
          </cell>
        </row>
        <row r="4372">
          <cell r="F4372">
            <v>0.1416</v>
          </cell>
        </row>
        <row r="4373">
          <cell r="F4373">
            <v>0.12429999999999999</v>
          </cell>
        </row>
        <row r="4374">
          <cell r="F4374">
            <v>7.9200000000000007E-2</v>
          </cell>
        </row>
        <row r="4375">
          <cell r="F4375">
            <v>7.9000000000000001E-2</v>
          </cell>
        </row>
        <row r="4376">
          <cell r="F4376">
            <v>8.9499999999999996E-2</v>
          </cell>
        </row>
        <row r="4377">
          <cell r="F4377">
            <v>8.1699999999999995E-2</v>
          </cell>
        </row>
        <row r="4378">
          <cell r="F4378">
            <v>7.6700000000000004E-2</v>
          </cell>
        </row>
        <row r="4379">
          <cell r="F4379">
            <v>7.4499999999999997E-2</v>
          </cell>
        </row>
        <row r="4380">
          <cell r="F4380">
            <v>7.2400000000000006E-2</v>
          </cell>
        </row>
        <row r="4381">
          <cell r="F4381">
            <v>7.3099999999999998E-2</v>
          </cell>
        </row>
        <row r="4382">
          <cell r="F4382">
            <v>7.4499999999999997E-2</v>
          </cell>
        </row>
        <row r="4383">
          <cell r="F4383">
            <v>6.88E-2</v>
          </cell>
        </row>
        <row r="4384">
          <cell r="F4384">
            <v>7.46E-2</v>
          </cell>
        </row>
        <row r="4385">
          <cell r="F4385">
            <v>6.7500000000000004E-2</v>
          </cell>
        </row>
        <row r="4386">
          <cell r="F4386">
            <v>6.6500000000000004E-2</v>
          </cell>
        </row>
        <row r="4387">
          <cell r="F4387">
            <v>6.9000000000000006E-2</v>
          </cell>
        </row>
        <row r="4388">
          <cell r="F4388">
            <v>7.2700000000000001E-2</v>
          </cell>
        </row>
        <row r="4389">
          <cell r="F4389">
            <v>7.0699999999999999E-2</v>
          </cell>
        </row>
        <row r="4390">
          <cell r="F4390">
            <v>6.8699999999999997E-2</v>
          </cell>
        </row>
        <row r="4391">
          <cell r="F4391">
            <v>7.2999999999999995E-2</v>
          </cell>
        </row>
        <row r="4392">
          <cell r="F4392">
            <v>7.3999999999999996E-2</v>
          </cell>
        </row>
        <row r="4393">
          <cell r="F4393">
            <v>1.8624000000000001</v>
          </cell>
        </row>
        <row r="4394">
          <cell r="F4394">
            <v>1.9126000000000001</v>
          </cell>
        </row>
        <row r="4395">
          <cell r="F4395">
            <v>1.9976</v>
          </cell>
        </row>
        <row r="4396">
          <cell r="F4396">
            <v>1.9964999999999999</v>
          </cell>
        </row>
        <row r="4397">
          <cell r="F4397">
            <v>1.9462999999999999</v>
          </cell>
        </row>
        <row r="4398">
          <cell r="F4398">
            <v>9.9299999999999999E-2</v>
          </cell>
        </row>
        <row r="4399">
          <cell r="F4399">
            <v>8.7900000000000006E-2</v>
          </cell>
        </row>
        <row r="4400">
          <cell r="F4400">
            <v>7.8399999999999997E-2</v>
          </cell>
        </row>
        <row r="4401">
          <cell r="F4401">
            <v>7.5300000000000006E-2</v>
          </cell>
        </row>
        <row r="4402">
          <cell r="F4402">
            <v>7.9500000000000001E-2</v>
          </cell>
        </row>
        <row r="4403">
          <cell r="F4403">
            <v>7.5999999999999998E-2</v>
          </cell>
        </row>
        <row r="4404">
          <cell r="F4404">
            <v>7.2400000000000006E-2</v>
          </cell>
        </row>
        <row r="4405">
          <cell r="F4405">
            <v>7.3099999999999998E-2</v>
          </cell>
        </row>
        <row r="4406">
          <cell r="F4406">
            <v>7.4499999999999997E-2</v>
          </cell>
        </row>
        <row r="4407">
          <cell r="F4407">
            <v>6.7500000000000004E-2</v>
          </cell>
        </row>
        <row r="4408">
          <cell r="F4408">
            <v>6.1800000000000001E-2</v>
          </cell>
        </row>
        <row r="4409">
          <cell r="F4409">
            <v>7.9000000000000001E-2</v>
          </cell>
        </row>
        <row r="4410">
          <cell r="F4410">
            <v>7.4300000000000005E-2</v>
          </cell>
        </row>
        <row r="4411">
          <cell r="F4411">
            <v>8.2799999999999999E-2</v>
          </cell>
        </row>
        <row r="4412">
          <cell r="F4412">
            <v>8.6599999999999996E-2</v>
          </cell>
        </row>
        <row r="4413">
          <cell r="F4413">
            <v>9.98E-2</v>
          </cell>
        </row>
        <row r="4414">
          <cell r="F4414">
            <v>7.6600000000000001E-2</v>
          </cell>
        </row>
        <row r="4415">
          <cell r="F4415">
            <v>7.7100000000000002E-2</v>
          </cell>
        </row>
        <row r="4416">
          <cell r="F4416">
            <v>9.0999999999999998E-2</v>
          </cell>
        </row>
        <row r="4417">
          <cell r="F4417">
            <v>8.1799999999999998E-2</v>
          </cell>
        </row>
        <row r="4418">
          <cell r="F4418">
            <v>0.10059999999999999</v>
          </cell>
        </row>
        <row r="4419">
          <cell r="F4419">
            <v>0.12130000000000001</v>
          </cell>
        </row>
        <row r="4420">
          <cell r="F4420">
            <v>0.25700000000000001</v>
          </cell>
        </row>
        <row r="4421">
          <cell r="F4421">
            <v>0.13500000000000001</v>
          </cell>
        </row>
        <row r="4422">
          <cell r="F4422">
            <v>9.74E-2</v>
          </cell>
        </row>
        <row r="4423">
          <cell r="F4423">
            <v>9.5200000000000007E-2</v>
          </cell>
        </row>
        <row r="4424">
          <cell r="F4424">
            <v>0.10249999999999999</v>
          </cell>
        </row>
        <row r="4425">
          <cell r="F4425">
            <v>8.4599999999999995E-2</v>
          </cell>
        </row>
        <row r="4426">
          <cell r="F4426">
            <v>9.0200000000000002E-2</v>
          </cell>
        </row>
        <row r="4427">
          <cell r="F4427">
            <v>7.9100000000000004E-2</v>
          </cell>
        </row>
        <row r="4428">
          <cell r="F4428">
            <v>7.5999999999999998E-2</v>
          </cell>
        </row>
        <row r="4429">
          <cell r="F4429">
            <v>7.5200000000000003E-2</v>
          </cell>
        </row>
        <row r="4430">
          <cell r="F4430">
            <v>7.8799999999999995E-2</v>
          </cell>
        </row>
        <row r="4431">
          <cell r="F4431">
            <v>7.5999999999999998E-2</v>
          </cell>
        </row>
        <row r="4432">
          <cell r="F4432">
            <v>6.8199999999999997E-2</v>
          </cell>
        </row>
        <row r="4433">
          <cell r="F4433">
            <v>7.0400000000000004E-2</v>
          </cell>
        </row>
        <row r="4434">
          <cell r="F4434">
            <v>7.3999999999999996E-2</v>
          </cell>
        </row>
        <row r="4435">
          <cell r="F4435">
            <v>7.4800000000000005E-2</v>
          </cell>
        </row>
        <row r="4436">
          <cell r="F4436">
            <v>7.5700000000000003E-2</v>
          </cell>
        </row>
        <row r="4437">
          <cell r="F4437">
            <v>7.5800000000000006E-2</v>
          </cell>
        </row>
        <row r="4438">
          <cell r="F4438">
            <v>7.51E-2</v>
          </cell>
        </row>
        <row r="4439">
          <cell r="F4439">
            <v>7.6899999999999996E-2</v>
          </cell>
        </row>
        <row r="4440">
          <cell r="F4440">
            <v>7.7399999999999997E-2</v>
          </cell>
        </row>
        <row r="4441">
          <cell r="F4441">
            <v>7.5300000000000006E-2</v>
          </cell>
        </row>
        <row r="4442">
          <cell r="F4442">
            <v>8.4500000000000006E-2</v>
          </cell>
        </row>
        <row r="4443">
          <cell r="F4443">
            <v>0.1138</v>
          </cell>
        </row>
        <row r="4444">
          <cell r="F4444">
            <v>0.16400000000000001</v>
          </cell>
        </row>
        <row r="4445">
          <cell r="F4445">
            <v>0.1177</v>
          </cell>
        </row>
        <row r="4446">
          <cell r="F4446">
            <v>9.2600000000000002E-2</v>
          </cell>
        </row>
        <row r="4447">
          <cell r="F4447">
            <v>8.7800000000000003E-2</v>
          </cell>
        </row>
        <row r="4448">
          <cell r="F4448">
            <v>8.9599999999999999E-2</v>
          </cell>
        </row>
        <row r="4449">
          <cell r="F4449">
            <v>8.2400000000000001E-2</v>
          </cell>
        </row>
        <row r="4450">
          <cell r="F4450">
            <v>8.7400000000000005E-2</v>
          </cell>
        </row>
        <row r="4451">
          <cell r="F4451">
            <v>8.0199999999999994E-2</v>
          </cell>
        </row>
        <row r="4452">
          <cell r="F4452">
            <v>7.5999999999999998E-2</v>
          </cell>
        </row>
        <row r="4453">
          <cell r="F4453">
            <v>7.5999999999999998E-2</v>
          </cell>
        </row>
        <row r="4454">
          <cell r="F4454">
            <v>7.8799999999999995E-2</v>
          </cell>
        </row>
        <row r="4455">
          <cell r="F4455">
            <v>7.8799999999999995E-2</v>
          </cell>
        </row>
        <row r="4456">
          <cell r="F4456">
            <v>7.5300000000000006E-2</v>
          </cell>
        </row>
        <row r="4457">
          <cell r="F4457">
            <v>7.5300000000000006E-2</v>
          </cell>
        </row>
        <row r="4458">
          <cell r="F4458">
            <v>6.7400000000000002E-2</v>
          </cell>
        </row>
        <row r="4459">
          <cell r="F4459">
            <v>6.88E-2</v>
          </cell>
        </row>
        <row r="4460">
          <cell r="F4460">
            <v>6.7400000000000002E-2</v>
          </cell>
        </row>
        <row r="4461">
          <cell r="F4461">
            <v>7.4099999999999999E-2</v>
          </cell>
        </row>
        <row r="4462">
          <cell r="F4462">
            <v>7.6200000000000004E-2</v>
          </cell>
        </row>
        <row r="4463">
          <cell r="F4463">
            <v>7.6200000000000004E-2</v>
          </cell>
        </row>
        <row r="4464">
          <cell r="F4464">
            <v>7.9200000000000007E-2</v>
          </cell>
        </row>
        <row r="4465">
          <cell r="F4465">
            <v>0.08</v>
          </cell>
        </row>
        <row r="4466">
          <cell r="F4466">
            <v>9.4600000000000004E-2</v>
          </cell>
        </row>
        <row r="4467">
          <cell r="F4467">
            <v>0.1216</v>
          </cell>
        </row>
        <row r="4468">
          <cell r="F4468">
            <v>0.13519999999999999</v>
          </cell>
        </row>
        <row r="4469">
          <cell r="F4469">
            <v>0.1231</v>
          </cell>
        </row>
        <row r="4470">
          <cell r="F4470">
            <v>9.5699999999999993E-2</v>
          </cell>
        </row>
        <row r="4471">
          <cell r="F4471">
            <v>9.4E-2</v>
          </cell>
        </row>
        <row r="4472">
          <cell r="F4472">
            <v>9.6699999999999994E-2</v>
          </cell>
        </row>
        <row r="4473">
          <cell r="F4473">
            <v>8.9499999999999996E-2</v>
          </cell>
        </row>
        <row r="4474">
          <cell r="F4474">
            <v>7.8200000000000006E-2</v>
          </cell>
        </row>
        <row r="4475">
          <cell r="F4475">
            <v>7.1099999999999997E-2</v>
          </cell>
        </row>
        <row r="4476">
          <cell r="F4476">
            <v>6.9000000000000006E-2</v>
          </cell>
        </row>
        <row r="4477">
          <cell r="F4477">
            <v>7.0400000000000004E-2</v>
          </cell>
        </row>
        <row r="4478">
          <cell r="F4478">
            <v>6.6100000000000006E-2</v>
          </cell>
        </row>
        <row r="4479">
          <cell r="F4479">
            <v>6.5299999999999997E-2</v>
          </cell>
        </row>
        <row r="4480">
          <cell r="F4480">
            <v>6.3899999999999998E-2</v>
          </cell>
        </row>
        <row r="4481">
          <cell r="F4481">
            <v>6.8199999999999997E-2</v>
          </cell>
        </row>
        <row r="4482">
          <cell r="F4482">
            <v>7.3300000000000004E-2</v>
          </cell>
        </row>
        <row r="4483">
          <cell r="F4483">
            <v>7.0499999999999993E-2</v>
          </cell>
        </row>
        <row r="4484">
          <cell r="F4484">
            <v>7.0599999999999996E-2</v>
          </cell>
        </row>
        <row r="4485">
          <cell r="F4485">
            <v>7.0599999999999996E-2</v>
          </cell>
        </row>
        <row r="4486">
          <cell r="F4486">
            <v>6.9900000000000004E-2</v>
          </cell>
        </row>
        <row r="4487">
          <cell r="F4487">
            <v>7.7200000000000005E-2</v>
          </cell>
        </row>
        <row r="4488">
          <cell r="F4488">
            <v>8.3400000000000002E-2</v>
          </cell>
        </row>
        <row r="4489">
          <cell r="F4489">
            <v>6.8400000000000002E-2</v>
          </cell>
        </row>
        <row r="4490">
          <cell r="F4490">
            <v>8.2400000000000001E-2</v>
          </cell>
        </row>
        <row r="4491">
          <cell r="F4491">
            <v>0.1191</v>
          </cell>
        </row>
        <row r="4492">
          <cell r="F4492">
            <v>1.956</v>
          </cell>
        </row>
        <row r="4493">
          <cell r="F4493">
            <v>0.1166</v>
          </cell>
        </row>
        <row r="4494">
          <cell r="F4494">
            <v>9.6100000000000005E-2</v>
          </cell>
        </row>
        <row r="4495">
          <cell r="F4495">
            <v>9.4799999999999995E-2</v>
          </cell>
        </row>
        <row r="4496">
          <cell r="F4496">
            <v>7.1099999999999997E-2</v>
          </cell>
        </row>
        <row r="4497">
          <cell r="F4497">
            <v>7.9500000000000001E-2</v>
          </cell>
        </row>
        <row r="4498">
          <cell r="F4498">
            <v>7.5300000000000006E-2</v>
          </cell>
        </row>
        <row r="4499">
          <cell r="F4499">
            <v>6.8099999999999994E-2</v>
          </cell>
        </row>
        <row r="4500">
          <cell r="F4500">
            <v>6.8099999999999994E-2</v>
          </cell>
        </row>
        <row r="4501">
          <cell r="F4501">
            <v>6.1699999999999998E-2</v>
          </cell>
        </row>
        <row r="4502">
          <cell r="F4502">
            <v>6.2399999999999997E-2</v>
          </cell>
        </row>
        <row r="4503">
          <cell r="F4503">
            <v>7.9500000000000001E-2</v>
          </cell>
        </row>
        <row r="4504">
          <cell r="F4504">
            <v>6.0999999999999999E-2</v>
          </cell>
        </row>
        <row r="4505">
          <cell r="F4505">
            <v>5.3999999999999999E-2</v>
          </cell>
        </row>
        <row r="4506">
          <cell r="F4506">
            <v>5.1200000000000002E-2</v>
          </cell>
        </row>
        <row r="4507">
          <cell r="F4507">
            <v>2.69E-2</v>
          </cell>
        </row>
        <row r="4508">
          <cell r="F4508">
            <v>2.6200000000000001E-2</v>
          </cell>
        </row>
        <row r="4509">
          <cell r="F4509">
            <v>3.8100000000000002E-2</v>
          </cell>
        </row>
        <row r="4510">
          <cell r="F4510">
            <v>3.9600000000000003E-2</v>
          </cell>
        </row>
        <row r="4511">
          <cell r="F4511">
            <v>3.1199999999999999E-2</v>
          </cell>
        </row>
        <row r="4512">
          <cell r="F4512">
            <v>5.7799999999999997E-2</v>
          </cell>
        </row>
        <row r="4513">
          <cell r="F4513">
            <v>6.88E-2</v>
          </cell>
        </row>
        <row r="4514">
          <cell r="F4514">
            <v>7.4800000000000005E-2</v>
          </cell>
        </row>
        <row r="4515">
          <cell r="F4515">
            <v>0.1119</v>
          </cell>
        </row>
        <row r="4516">
          <cell r="F4516">
            <v>0.13700000000000001</v>
          </cell>
        </row>
        <row r="4517">
          <cell r="F4517">
            <v>0.12570000000000001</v>
          </cell>
        </row>
        <row r="4518">
          <cell r="F4518">
            <v>8.9599999999999999E-2</v>
          </cell>
        </row>
        <row r="4519">
          <cell r="F4519">
            <v>8.8400000000000006E-2</v>
          </cell>
        </row>
        <row r="4520">
          <cell r="F4520">
            <v>7.9600000000000004E-2</v>
          </cell>
        </row>
        <row r="4521">
          <cell r="F4521">
            <v>8.1000000000000003E-2</v>
          </cell>
        </row>
        <row r="4522">
          <cell r="F4522">
            <v>7.5300000000000006E-2</v>
          </cell>
        </row>
        <row r="4523">
          <cell r="F4523">
            <v>6.6699999999999995E-2</v>
          </cell>
        </row>
        <row r="4524">
          <cell r="F4524">
            <v>7.5300000000000006E-2</v>
          </cell>
        </row>
        <row r="4525">
          <cell r="F4525">
            <v>7.5300000000000006E-2</v>
          </cell>
        </row>
        <row r="4526">
          <cell r="F4526">
            <v>7.5300000000000006E-2</v>
          </cell>
        </row>
        <row r="4527">
          <cell r="F4527">
            <v>7.3800000000000004E-2</v>
          </cell>
        </row>
        <row r="4528">
          <cell r="F4528">
            <v>9.0899999999999995E-2</v>
          </cell>
        </row>
        <row r="4529">
          <cell r="F4529">
            <v>6.8900000000000003E-2</v>
          </cell>
        </row>
        <row r="4530">
          <cell r="F4530">
            <v>6.6799999999999998E-2</v>
          </cell>
        </row>
        <row r="4531">
          <cell r="F4531">
            <v>6.25E-2</v>
          </cell>
        </row>
        <row r="4532">
          <cell r="F4532">
            <v>6.3200000000000006E-2</v>
          </cell>
        </row>
        <row r="4533">
          <cell r="F4533">
            <v>6.1100000000000002E-2</v>
          </cell>
        </row>
        <row r="4534">
          <cell r="F4534">
            <v>6.9000000000000006E-2</v>
          </cell>
        </row>
        <row r="4535">
          <cell r="F4535">
            <v>7.1300000000000002E-2</v>
          </cell>
        </row>
        <row r="4536">
          <cell r="F4536">
            <v>6.88E-2</v>
          </cell>
        </row>
        <row r="4537">
          <cell r="F4537">
            <v>6.7900000000000002E-2</v>
          </cell>
        </row>
        <row r="4538">
          <cell r="F4538">
            <v>8.5900000000000004E-2</v>
          </cell>
        </row>
        <row r="4539">
          <cell r="F4539">
            <v>0.1116</v>
          </cell>
        </row>
        <row r="4540">
          <cell r="F4540">
            <v>0.1358</v>
          </cell>
        </row>
        <row r="4541">
          <cell r="F4541">
            <v>0.1183</v>
          </cell>
        </row>
        <row r="4542">
          <cell r="F4542">
            <v>8.6400000000000005E-2</v>
          </cell>
        </row>
        <row r="4543">
          <cell r="F4543">
            <v>9.1300000000000006E-2</v>
          </cell>
        </row>
        <row r="4544">
          <cell r="F4544">
            <v>6.93E-2</v>
          </cell>
        </row>
        <row r="4545">
          <cell r="F4545">
            <v>7.3800000000000004E-2</v>
          </cell>
        </row>
        <row r="4546">
          <cell r="F4546">
            <v>8.3099999999999993E-2</v>
          </cell>
        </row>
        <row r="4547">
          <cell r="F4547">
            <v>8.1699999999999995E-2</v>
          </cell>
        </row>
        <row r="4548">
          <cell r="F4548">
            <v>7.9500000000000001E-2</v>
          </cell>
        </row>
        <row r="4549">
          <cell r="F4549">
            <v>7.2400000000000006E-2</v>
          </cell>
        </row>
        <row r="4550">
          <cell r="F4550">
            <v>8.0199999999999994E-2</v>
          </cell>
        </row>
        <row r="4551">
          <cell r="F4551">
            <v>7.8799999999999995E-2</v>
          </cell>
        </row>
        <row r="4552">
          <cell r="F4552">
            <v>8.6699999999999999E-2</v>
          </cell>
        </row>
        <row r="4553">
          <cell r="F4553">
            <v>8.1000000000000003E-2</v>
          </cell>
        </row>
        <row r="4554">
          <cell r="F4554">
            <v>7.8200000000000006E-2</v>
          </cell>
        </row>
        <row r="4555">
          <cell r="F4555">
            <v>7.8200000000000006E-2</v>
          </cell>
        </row>
        <row r="4556">
          <cell r="F4556">
            <v>7.8299999999999995E-2</v>
          </cell>
        </row>
        <row r="4557">
          <cell r="F4557">
            <v>7.6799999999999993E-2</v>
          </cell>
        </row>
        <row r="4558">
          <cell r="F4558">
            <v>7.7499999999999999E-2</v>
          </cell>
        </row>
        <row r="4559">
          <cell r="F4559">
            <v>6.6100000000000006E-2</v>
          </cell>
        </row>
        <row r="4560">
          <cell r="F4560">
            <v>6.9800000000000001E-2</v>
          </cell>
        </row>
        <row r="4561">
          <cell r="F4561">
            <v>7.6300000000000007E-2</v>
          </cell>
        </row>
        <row r="4562">
          <cell r="F4562">
            <v>1.8751</v>
          </cell>
        </row>
        <row r="4563">
          <cell r="F4563">
            <v>1.9457</v>
          </cell>
        </row>
        <row r="4564">
          <cell r="F4564">
            <v>1.9394</v>
          </cell>
        </row>
        <row r="4565">
          <cell r="F4565">
            <v>0.1147</v>
          </cell>
        </row>
        <row r="4566">
          <cell r="F4566">
            <v>8.1600000000000006E-2</v>
          </cell>
        </row>
        <row r="4567">
          <cell r="F4567">
            <v>8.5000000000000006E-2</v>
          </cell>
        </row>
        <row r="4568">
          <cell r="F4568">
            <v>6.0199999999999997E-2</v>
          </cell>
        </row>
        <row r="4569">
          <cell r="F4569">
            <v>6.3200000000000006E-2</v>
          </cell>
        </row>
        <row r="4570">
          <cell r="F4570">
            <v>7.7399999999999997E-2</v>
          </cell>
        </row>
        <row r="4571">
          <cell r="F4571">
            <v>6.8099999999999994E-2</v>
          </cell>
        </row>
        <row r="4572">
          <cell r="F4572">
            <v>8.8099999999999998E-2</v>
          </cell>
        </row>
        <row r="4573">
          <cell r="F4573">
            <v>6.5299999999999997E-2</v>
          </cell>
        </row>
        <row r="4574">
          <cell r="F4574">
            <v>6.7400000000000002E-2</v>
          </cell>
        </row>
        <row r="4575">
          <cell r="F4575">
            <v>6.6000000000000003E-2</v>
          </cell>
        </row>
        <row r="4576">
          <cell r="F4576">
            <v>6.3899999999999998E-2</v>
          </cell>
        </row>
        <row r="4577">
          <cell r="F4577">
            <v>6.7599999999999993E-2</v>
          </cell>
        </row>
        <row r="4578">
          <cell r="F4578">
            <v>6.6900000000000001E-2</v>
          </cell>
        </row>
        <row r="4579">
          <cell r="F4579">
            <v>6.6900000000000001E-2</v>
          </cell>
        </row>
        <row r="4580">
          <cell r="F4580">
            <v>6.7799999999999999E-2</v>
          </cell>
        </row>
        <row r="4581">
          <cell r="F4581">
            <v>5.79E-2</v>
          </cell>
        </row>
        <row r="4582">
          <cell r="F4582">
            <v>3.3099999999999997E-2</v>
          </cell>
        </row>
        <row r="4583">
          <cell r="F4583">
            <v>5.3600000000000002E-2</v>
          </cell>
        </row>
        <row r="4584">
          <cell r="F4584">
            <v>5.3900000000000003E-2</v>
          </cell>
        </row>
        <row r="4585">
          <cell r="F4585">
            <v>5.6500000000000002E-2</v>
          </cell>
        </row>
        <row r="4586">
          <cell r="F4586">
            <v>7.7600000000000002E-2</v>
          </cell>
        </row>
        <row r="4587">
          <cell r="F4587">
            <v>0.10639999999999999</v>
          </cell>
        </row>
        <row r="4588">
          <cell r="F4588">
            <v>0.13350000000000001</v>
          </cell>
        </row>
        <row r="4589">
          <cell r="F4589">
            <v>0.1139</v>
          </cell>
        </row>
        <row r="4590">
          <cell r="F4590">
            <v>8.6800000000000002E-2</v>
          </cell>
        </row>
        <row r="4591">
          <cell r="F4591">
            <v>8.5900000000000004E-2</v>
          </cell>
        </row>
        <row r="4592">
          <cell r="F4592">
            <v>7.8200000000000006E-2</v>
          </cell>
        </row>
        <row r="4593">
          <cell r="F4593">
            <v>6.9599999999999995E-2</v>
          </cell>
        </row>
        <row r="4594">
          <cell r="F4594">
            <v>6.8199999999999997E-2</v>
          </cell>
        </row>
        <row r="4595">
          <cell r="F4595">
            <v>6.6699999999999995E-2</v>
          </cell>
        </row>
        <row r="4596">
          <cell r="F4596">
            <v>7.8100000000000003E-2</v>
          </cell>
        </row>
        <row r="4597">
          <cell r="F4597">
            <v>6.9599999999999995E-2</v>
          </cell>
        </row>
        <row r="4598">
          <cell r="F4598">
            <v>7.2400000000000006E-2</v>
          </cell>
        </row>
        <row r="4599">
          <cell r="F4599">
            <v>8.0199999999999994E-2</v>
          </cell>
        </row>
        <row r="4600">
          <cell r="F4600">
            <v>8.1000000000000003E-2</v>
          </cell>
        </row>
        <row r="4601">
          <cell r="F4601">
            <v>5.5399999999999998E-2</v>
          </cell>
        </row>
        <row r="4602">
          <cell r="F4602">
            <v>5.6099999999999997E-2</v>
          </cell>
        </row>
        <row r="4603">
          <cell r="F4603">
            <v>5.1900000000000002E-2</v>
          </cell>
        </row>
        <row r="4604">
          <cell r="F4604">
            <v>5.4800000000000001E-2</v>
          </cell>
        </row>
        <row r="4605">
          <cell r="F4605">
            <v>4.5600000000000002E-2</v>
          </cell>
        </row>
        <row r="4606">
          <cell r="F4606">
            <v>2.8500000000000001E-2</v>
          </cell>
        </row>
        <row r="4607">
          <cell r="F4607">
            <v>2.6599999999999999E-2</v>
          </cell>
        </row>
        <row r="4608">
          <cell r="F4608">
            <v>3.56E-2</v>
          </cell>
        </row>
        <row r="4609">
          <cell r="F4609">
            <v>1.9400000000000001E-2</v>
          </cell>
        </row>
        <row r="4610">
          <cell r="F4610">
            <v>1.8063</v>
          </cell>
        </row>
        <row r="4611">
          <cell r="F4611">
            <v>1.9239999999999999</v>
          </cell>
        </row>
        <row r="4612">
          <cell r="F4612">
            <v>1.9301999999999999</v>
          </cell>
        </row>
        <row r="4613">
          <cell r="F4613">
            <v>1.8556999999999999</v>
          </cell>
        </row>
        <row r="4614">
          <cell r="F4614">
            <v>7.8899999999999998E-2</v>
          </cell>
        </row>
        <row r="4615">
          <cell r="F4615">
            <v>8.5199999999999998E-2</v>
          </cell>
        </row>
        <row r="4616">
          <cell r="F4616">
            <v>8.6999999999999994E-2</v>
          </cell>
        </row>
        <row r="4617">
          <cell r="F4617">
            <v>8.48E-2</v>
          </cell>
        </row>
        <row r="4618">
          <cell r="F4618">
            <v>6.0299999999999999E-2</v>
          </cell>
        </row>
        <row r="4619">
          <cell r="F4619">
            <v>7.5300000000000006E-2</v>
          </cell>
        </row>
        <row r="4620">
          <cell r="F4620">
            <v>7.3800000000000004E-2</v>
          </cell>
        </row>
        <row r="4621">
          <cell r="F4621">
            <v>5.8200000000000002E-2</v>
          </cell>
        </row>
        <row r="4622">
          <cell r="F4622">
            <v>8.0199999999999994E-2</v>
          </cell>
        </row>
        <row r="4623">
          <cell r="F4623">
            <v>8.8099999999999998E-2</v>
          </cell>
        </row>
        <row r="4624">
          <cell r="F4624">
            <v>6.3899999999999998E-2</v>
          </cell>
        </row>
        <row r="4625">
          <cell r="F4625">
            <v>5.5399999999999998E-2</v>
          </cell>
        </row>
        <row r="4626">
          <cell r="F4626">
            <v>3.8300000000000001E-2</v>
          </cell>
        </row>
        <row r="4627">
          <cell r="F4627">
            <v>5.3999999999999999E-2</v>
          </cell>
        </row>
        <row r="4628">
          <cell r="F4628">
            <v>5.1200000000000002E-2</v>
          </cell>
        </row>
        <row r="4629">
          <cell r="F4629">
            <v>3.3399999999999999E-2</v>
          </cell>
        </row>
        <row r="4630">
          <cell r="F4630">
            <v>5.0500000000000003E-2</v>
          </cell>
        </row>
        <row r="4631">
          <cell r="F4631">
            <v>2.4899999999999999E-2</v>
          </cell>
        </row>
        <row r="4632">
          <cell r="F4632">
            <v>2.1499999999999998E-2</v>
          </cell>
        </row>
        <row r="4633">
          <cell r="F4633">
            <v>2.9499999999999998E-2</v>
          </cell>
        </row>
        <row r="4634">
          <cell r="F4634">
            <v>1.5299999999999999E-2</v>
          </cell>
        </row>
        <row r="4635">
          <cell r="F4635">
            <v>8.4699999999999998E-2</v>
          </cell>
        </row>
        <row r="4636">
          <cell r="F4636">
            <v>0.1055</v>
          </cell>
        </row>
        <row r="4637">
          <cell r="F4637">
            <v>8.2100000000000006E-2</v>
          </cell>
        </row>
        <row r="4638">
          <cell r="F4638">
            <v>8.2000000000000003E-2</v>
          </cell>
        </row>
        <row r="4639">
          <cell r="F4639">
            <v>6.9400000000000003E-2</v>
          </cell>
        </row>
        <row r="4640">
          <cell r="F4640">
            <v>8.1000000000000003E-2</v>
          </cell>
        </row>
        <row r="4641">
          <cell r="F4641">
            <v>8.0199999999999994E-2</v>
          </cell>
        </row>
        <row r="4642">
          <cell r="F4642">
            <v>6.2399999999999997E-2</v>
          </cell>
        </row>
        <row r="4643">
          <cell r="F4643">
            <v>6.3100000000000003E-2</v>
          </cell>
        </row>
        <row r="4644">
          <cell r="F4644">
            <v>8.4500000000000006E-2</v>
          </cell>
        </row>
        <row r="4645">
          <cell r="F4645">
            <v>7.8799999999999995E-2</v>
          </cell>
        </row>
        <row r="4646">
          <cell r="F4646">
            <v>6.0299999999999999E-2</v>
          </cell>
        </row>
        <row r="4647">
          <cell r="F4647">
            <v>8.5199999999999998E-2</v>
          </cell>
        </row>
        <row r="4648">
          <cell r="F4648">
            <v>7.6700000000000004E-2</v>
          </cell>
        </row>
        <row r="4649">
          <cell r="F4649">
            <v>7.3899999999999993E-2</v>
          </cell>
        </row>
        <row r="4650">
          <cell r="F4650">
            <v>2.8E-3</v>
          </cell>
        </row>
        <row r="4651">
          <cell r="F4651">
            <v>2.8E-3</v>
          </cell>
        </row>
        <row r="4652">
          <cell r="F4652">
            <v>2.8E-3</v>
          </cell>
        </row>
        <row r="4653">
          <cell r="F4653">
            <v>1.2999999999999999E-3</v>
          </cell>
        </row>
        <row r="4654">
          <cell r="F4654">
            <v>1.14E-2</v>
          </cell>
        </row>
        <row r="4655">
          <cell r="F4655">
            <v>2.0000000000000001E-4</v>
          </cell>
        </row>
        <row r="4656">
          <cell r="F4656">
            <v>2.0000000000000001E-4</v>
          </cell>
        </row>
        <row r="4657">
          <cell r="F4657">
            <v>9.4000000000000004E-3</v>
          </cell>
        </row>
        <row r="4658">
          <cell r="F4658">
            <v>1.8100000000000002E-2</v>
          </cell>
        </row>
        <row r="4659">
          <cell r="F4659">
            <v>9.1800000000000007E-2</v>
          </cell>
        </row>
        <row r="4660">
          <cell r="F4660">
            <v>9.9299999999999999E-2</v>
          </cell>
        </row>
        <row r="4661">
          <cell r="F4661">
            <v>6.8500000000000005E-2</v>
          </cell>
        </row>
        <row r="4662">
          <cell r="F4662">
            <v>6.9500000000000006E-2</v>
          </cell>
        </row>
        <row r="4663">
          <cell r="F4663">
            <v>7.1300000000000002E-2</v>
          </cell>
        </row>
        <row r="4664">
          <cell r="F4664">
            <v>6.1800000000000001E-2</v>
          </cell>
        </row>
        <row r="4665">
          <cell r="F4665">
            <v>7.3099999999999998E-2</v>
          </cell>
        </row>
        <row r="4666">
          <cell r="F4666">
            <v>6.4600000000000005E-2</v>
          </cell>
        </row>
        <row r="4667">
          <cell r="F4667">
            <v>6.6699999999999995E-2</v>
          </cell>
        </row>
        <row r="4668">
          <cell r="F4668">
            <v>8.2400000000000001E-2</v>
          </cell>
        </row>
        <row r="4669">
          <cell r="F4669">
            <v>6.4600000000000005E-2</v>
          </cell>
        </row>
        <row r="4670">
          <cell r="F4670">
            <v>6.6000000000000003E-2</v>
          </cell>
        </row>
        <row r="4671">
          <cell r="F4671">
            <v>5.4600000000000003E-2</v>
          </cell>
        </row>
        <row r="4672">
          <cell r="F4672">
            <v>9.2299999999999993E-2</v>
          </cell>
        </row>
        <row r="4673">
          <cell r="F4673">
            <v>0</v>
          </cell>
        </row>
        <row r="4674">
          <cell r="F4674">
            <v>2.7000000000000001E-3</v>
          </cell>
        </row>
        <row r="4675">
          <cell r="F4675">
            <v>2.7000000000000001E-3</v>
          </cell>
        </row>
        <row r="4676">
          <cell r="F4676">
            <v>2.7000000000000001E-3</v>
          </cell>
        </row>
        <row r="4677">
          <cell r="F4677">
            <v>2.7000000000000001E-3</v>
          </cell>
        </row>
        <row r="4678">
          <cell r="F4678">
            <v>2.41E-2</v>
          </cell>
        </row>
        <row r="4679">
          <cell r="F4679">
            <v>9.1000000000000004E-3</v>
          </cell>
        </row>
        <row r="4680">
          <cell r="F4680">
            <v>1E-4</v>
          </cell>
        </row>
        <row r="4681">
          <cell r="F4681">
            <v>1E-4</v>
          </cell>
        </row>
        <row r="4682">
          <cell r="F4682">
            <v>6.7999999999999996E-3</v>
          </cell>
        </row>
        <row r="4683">
          <cell r="F4683">
            <v>5.8200000000000002E-2</v>
          </cell>
        </row>
        <row r="4684">
          <cell r="F4684">
            <v>9.1700000000000004E-2</v>
          </cell>
        </row>
        <row r="4685">
          <cell r="F4685">
            <v>8.0299999999999996E-2</v>
          </cell>
        </row>
        <row r="4686">
          <cell r="F4686">
            <v>6.3299999999999995E-2</v>
          </cell>
        </row>
        <row r="4687">
          <cell r="F4687">
            <v>6.1800000000000001E-2</v>
          </cell>
        </row>
        <row r="4688">
          <cell r="F4688">
            <v>6.6000000000000003E-2</v>
          </cell>
        </row>
        <row r="4689">
          <cell r="F4689">
            <v>6.1699999999999998E-2</v>
          </cell>
        </row>
        <row r="4690">
          <cell r="F4690">
            <v>6.5299999999999997E-2</v>
          </cell>
        </row>
        <row r="4691">
          <cell r="F4691">
            <v>8.6599999999999996E-2</v>
          </cell>
        </row>
        <row r="4692">
          <cell r="F4692">
            <v>8.4500000000000006E-2</v>
          </cell>
        </row>
        <row r="4693">
          <cell r="F4693">
            <v>8.2400000000000001E-2</v>
          </cell>
        </row>
        <row r="4694">
          <cell r="F4694">
            <v>7.3099999999999998E-2</v>
          </cell>
        </row>
        <row r="4695">
          <cell r="F4695">
            <v>5.67E-2</v>
          </cell>
        </row>
        <row r="4696">
          <cell r="F4696">
            <v>7.3800000000000004E-2</v>
          </cell>
        </row>
        <row r="4697">
          <cell r="F4697">
            <v>0</v>
          </cell>
        </row>
        <row r="4698">
          <cell r="F4698">
            <v>0</v>
          </cell>
        </row>
        <row r="4699">
          <cell r="F4699">
            <v>2.5999999999999999E-3</v>
          </cell>
        </row>
        <row r="4700">
          <cell r="F4700">
            <v>2.6100000000000002E-2</v>
          </cell>
        </row>
        <row r="4701">
          <cell r="F4701">
            <v>1.46E-2</v>
          </cell>
        </row>
        <row r="4702">
          <cell r="F4702">
            <v>0</v>
          </cell>
        </row>
        <row r="4703">
          <cell r="F4703">
            <v>0</v>
          </cell>
        </row>
        <row r="4704">
          <cell r="F4704">
            <v>1E-4</v>
          </cell>
        </row>
        <row r="4705">
          <cell r="F4705">
            <v>1E-4</v>
          </cell>
        </row>
        <row r="4706">
          <cell r="F4706">
            <v>7.4000000000000003E-3</v>
          </cell>
        </row>
        <row r="4707">
          <cell r="F4707">
            <v>9.2499999999999999E-2</v>
          </cell>
        </row>
        <row r="4708">
          <cell r="F4708">
            <v>9.9000000000000005E-2</v>
          </cell>
        </row>
        <row r="4709">
          <cell r="F4709">
            <v>7.8299999999999995E-2</v>
          </cell>
        </row>
        <row r="4710">
          <cell r="F4710">
            <v>7.0400000000000004E-2</v>
          </cell>
        </row>
        <row r="4711">
          <cell r="F4711">
            <v>7.1800000000000003E-2</v>
          </cell>
        </row>
        <row r="4712">
          <cell r="F4712">
            <v>6.0299999999999999E-2</v>
          </cell>
        </row>
        <row r="4713">
          <cell r="F4713">
            <v>6.0999999999999999E-2</v>
          </cell>
        </row>
        <row r="4714">
          <cell r="F4714">
            <v>8.7400000000000005E-2</v>
          </cell>
        </row>
        <row r="4715">
          <cell r="F4715">
            <v>7.9500000000000001E-2</v>
          </cell>
        </row>
        <row r="4716">
          <cell r="F4716">
            <v>7.0999999999999994E-2</v>
          </cell>
        </row>
        <row r="4717">
          <cell r="F4717">
            <v>7.3800000000000004E-2</v>
          </cell>
        </row>
        <row r="4718">
          <cell r="F4718">
            <v>7.17E-2</v>
          </cell>
        </row>
        <row r="4719">
          <cell r="F4719">
            <v>5.96E-2</v>
          </cell>
        </row>
        <row r="4720">
          <cell r="F4720">
            <v>7.0300000000000001E-2</v>
          </cell>
        </row>
        <row r="4721">
          <cell r="F4721">
            <v>6.8199999999999997E-2</v>
          </cell>
        </row>
        <row r="4722">
          <cell r="F4722">
            <v>1.6899999999999998E-2</v>
          </cell>
        </row>
        <row r="4723">
          <cell r="F4723">
            <v>4.1099999999999998E-2</v>
          </cell>
        </row>
        <row r="4724">
          <cell r="F4724">
            <v>3.1099999999999999E-2</v>
          </cell>
        </row>
        <row r="4725">
          <cell r="F4725">
            <v>9.7999999999999997E-3</v>
          </cell>
        </row>
        <row r="4726">
          <cell r="F4726">
            <v>2.5999999999999999E-3</v>
          </cell>
        </row>
        <row r="4727">
          <cell r="F4727">
            <v>2.5999999999999999E-3</v>
          </cell>
        </row>
        <row r="4728">
          <cell r="F4728">
            <v>2.4400000000000002E-2</v>
          </cell>
        </row>
        <row r="4729">
          <cell r="F4729">
            <v>9.1000000000000004E-3</v>
          </cell>
        </row>
        <row r="4730">
          <cell r="F4730">
            <v>1.4500000000000001E-2</v>
          </cell>
        </row>
        <row r="4731">
          <cell r="F4731">
            <v>7.5999999999999998E-2</v>
          </cell>
        </row>
        <row r="4732">
          <cell r="F4732">
            <v>6.8199999999999997E-2</v>
          </cell>
        </row>
        <row r="4733">
          <cell r="F4733">
            <v>6.0100000000000001E-2</v>
          </cell>
        </row>
        <row r="4734">
          <cell r="F4734">
            <v>7.3899999999999993E-2</v>
          </cell>
        </row>
        <row r="4735">
          <cell r="F4735">
            <v>7.8200000000000006E-2</v>
          </cell>
        </row>
        <row r="4736">
          <cell r="F4736">
            <v>8.4500000000000006E-2</v>
          </cell>
        </row>
        <row r="4737">
          <cell r="F4737">
            <v>8.2400000000000001E-2</v>
          </cell>
        </row>
        <row r="4738">
          <cell r="F4738">
            <v>7.5999999999999998E-2</v>
          </cell>
        </row>
        <row r="4739">
          <cell r="F4739">
            <v>5.96E-2</v>
          </cell>
        </row>
        <row r="4740">
          <cell r="F4740">
            <v>8.2400000000000001E-2</v>
          </cell>
        </row>
        <row r="4741">
          <cell r="F4741">
            <v>8.3099999999999993E-2</v>
          </cell>
        </row>
        <row r="4742">
          <cell r="F4742">
            <v>5.5300000000000002E-2</v>
          </cell>
        </row>
        <row r="4743">
          <cell r="F4743">
            <v>6.4600000000000005E-2</v>
          </cell>
        </row>
        <row r="4744">
          <cell r="F4744">
            <v>6.8900000000000003E-2</v>
          </cell>
        </row>
        <row r="4745">
          <cell r="F4745">
            <v>6.0999999999999999E-2</v>
          </cell>
        </row>
        <row r="4746">
          <cell r="F4746">
            <v>5.04E-2</v>
          </cell>
        </row>
        <row r="4747">
          <cell r="F4747">
            <v>6.6100000000000006E-2</v>
          </cell>
        </row>
        <row r="4748">
          <cell r="F4748">
            <v>5.8299999999999998E-2</v>
          </cell>
        </row>
        <row r="4749">
          <cell r="F4749">
            <v>4.9799999999999997E-2</v>
          </cell>
        </row>
        <row r="4750">
          <cell r="F4750">
            <v>5.33E-2</v>
          </cell>
        </row>
        <row r="4751">
          <cell r="F4751">
            <v>2.4199999999999999E-2</v>
          </cell>
        </row>
        <row r="4752">
          <cell r="F4752">
            <v>2.29E-2</v>
          </cell>
        </row>
        <row r="4753">
          <cell r="F4753">
            <v>3.44E-2</v>
          </cell>
        </row>
        <row r="4754">
          <cell r="F4754">
            <v>5.4800000000000001E-2</v>
          </cell>
        </row>
        <row r="4755">
          <cell r="F4755">
            <v>8.8900000000000007E-2</v>
          </cell>
        </row>
        <row r="4756">
          <cell r="F4756">
            <v>6.4000000000000001E-2</v>
          </cell>
        </row>
        <row r="4757">
          <cell r="F4757">
            <v>6.9800000000000001E-2</v>
          </cell>
        </row>
        <row r="4758">
          <cell r="F4758">
            <v>6.9199999999999998E-2</v>
          </cell>
        </row>
        <row r="4759">
          <cell r="F4759">
            <v>6.5299999999999997E-2</v>
          </cell>
        </row>
        <row r="4760">
          <cell r="F4760">
            <v>7.6399999999999996E-2</v>
          </cell>
        </row>
        <row r="4761">
          <cell r="F4761">
            <v>6.5299999999999997E-2</v>
          </cell>
        </row>
        <row r="4762">
          <cell r="F4762">
            <v>8.4500000000000006E-2</v>
          </cell>
        </row>
        <row r="4763">
          <cell r="F4763">
            <v>7.5200000000000003E-2</v>
          </cell>
        </row>
        <row r="4764">
          <cell r="F4764">
            <v>8.5199999999999998E-2</v>
          </cell>
        </row>
        <row r="4765">
          <cell r="F4765">
            <v>7.4499999999999997E-2</v>
          </cell>
        </row>
        <row r="4766">
          <cell r="F4766">
            <v>6.9599999999999995E-2</v>
          </cell>
        </row>
        <row r="4767">
          <cell r="F4767">
            <v>7.5200000000000003E-2</v>
          </cell>
        </row>
        <row r="4768">
          <cell r="F4768">
            <v>7.6700000000000004E-2</v>
          </cell>
        </row>
        <row r="4769">
          <cell r="F4769">
            <v>6.0299999999999999E-2</v>
          </cell>
        </row>
        <row r="4770">
          <cell r="F4770">
            <v>6.0299999999999999E-2</v>
          </cell>
        </row>
        <row r="4771">
          <cell r="F4771">
            <v>6.1100000000000002E-2</v>
          </cell>
        </row>
        <row r="4772">
          <cell r="F4772">
            <v>6.1100000000000002E-2</v>
          </cell>
        </row>
        <row r="4773">
          <cell r="F4773">
            <v>4.7600000000000003E-2</v>
          </cell>
        </row>
        <row r="4774">
          <cell r="F4774">
            <v>4.8300000000000003E-2</v>
          </cell>
        </row>
        <row r="4775">
          <cell r="F4775">
            <v>4.5499999999999999E-2</v>
          </cell>
        </row>
        <row r="4776">
          <cell r="F4776">
            <v>4.5499999999999999E-2</v>
          </cell>
        </row>
        <row r="4777">
          <cell r="F4777">
            <v>5.2699999999999997E-2</v>
          </cell>
        </row>
        <row r="4778">
          <cell r="F4778">
            <v>7.3499999999999996E-2</v>
          </cell>
        </row>
        <row r="4779">
          <cell r="F4779">
            <v>9.5699999999999993E-2</v>
          </cell>
        </row>
        <row r="4780">
          <cell r="F4780">
            <v>8.0399999999999999E-2</v>
          </cell>
        </row>
        <row r="4781">
          <cell r="F4781">
            <v>7.8899999999999998E-2</v>
          </cell>
        </row>
        <row r="4782">
          <cell r="F4782">
            <v>7.7600000000000002E-2</v>
          </cell>
        </row>
        <row r="4783">
          <cell r="F4783">
            <v>7.4499999999999997E-2</v>
          </cell>
        </row>
        <row r="4784">
          <cell r="F4784">
            <v>6.6799999999999998E-2</v>
          </cell>
        </row>
        <row r="4785">
          <cell r="F4785">
            <v>3.04E-2</v>
          </cell>
        </row>
        <row r="4786">
          <cell r="F4786">
            <v>5.8200000000000002E-2</v>
          </cell>
        </row>
        <row r="4787">
          <cell r="F4787">
            <v>8.2400000000000001E-2</v>
          </cell>
        </row>
        <row r="4788">
          <cell r="F4788">
            <v>6.88E-2</v>
          </cell>
        </row>
        <row r="4789">
          <cell r="F4789">
            <v>6.4600000000000005E-2</v>
          </cell>
        </row>
        <row r="4790">
          <cell r="F4790">
            <v>7.5999999999999998E-2</v>
          </cell>
        </row>
        <row r="4791">
          <cell r="F4791">
            <v>9.1600000000000001E-2</v>
          </cell>
        </row>
        <row r="4792">
          <cell r="F4792">
            <v>7.17E-2</v>
          </cell>
        </row>
        <row r="4793">
          <cell r="F4793">
            <v>6.1800000000000001E-2</v>
          </cell>
        </row>
        <row r="4794">
          <cell r="F4794">
            <v>6.0400000000000002E-2</v>
          </cell>
        </row>
        <row r="4795">
          <cell r="F4795">
            <v>5.4600000000000003E-2</v>
          </cell>
        </row>
        <row r="4796">
          <cell r="F4796">
            <v>4.2599999999999999E-2</v>
          </cell>
        </row>
        <row r="4797">
          <cell r="F4797">
            <v>1.6199999999999999E-2</v>
          </cell>
        </row>
        <row r="4798">
          <cell r="F4798">
            <v>2.7000000000000001E-3</v>
          </cell>
        </row>
        <row r="4799">
          <cell r="F4799">
            <v>4.1099999999999998E-2</v>
          </cell>
        </row>
        <row r="4800">
          <cell r="F4800">
            <v>4.5400000000000003E-2</v>
          </cell>
        </row>
        <row r="4801">
          <cell r="F4801">
            <v>4.7500000000000001E-2</v>
          </cell>
        </row>
        <row r="4802">
          <cell r="F4802">
            <v>7.8200000000000006E-2</v>
          </cell>
        </row>
        <row r="4803">
          <cell r="F4803">
            <v>9.3100000000000002E-2</v>
          </cell>
        </row>
        <row r="4804">
          <cell r="F4804">
            <v>9.1700000000000004E-2</v>
          </cell>
        </row>
        <row r="4805">
          <cell r="F4805">
            <v>9.0999999999999998E-2</v>
          </cell>
        </row>
        <row r="4806">
          <cell r="F4806">
            <v>8.8200000000000001E-2</v>
          </cell>
        </row>
        <row r="4807">
          <cell r="F4807">
            <v>8.8200000000000001E-2</v>
          </cell>
        </row>
        <row r="4808">
          <cell r="F4808">
            <v>7.1800000000000003E-2</v>
          </cell>
        </row>
        <row r="4809">
          <cell r="F4809">
            <v>8.5199999999999998E-2</v>
          </cell>
        </row>
        <row r="4810">
          <cell r="F4810">
            <v>7.3800000000000004E-2</v>
          </cell>
        </row>
        <row r="4811">
          <cell r="F4811">
            <v>6.6000000000000003E-2</v>
          </cell>
        </row>
        <row r="4812">
          <cell r="F4812">
            <v>6.6000000000000003E-2</v>
          </cell>
        </row>
        <row r="4813">
          <cell r="F4813">
            <v>6.8099999999999994E-2</v>
          </cell>
        </row>
        <row r="4814">
          <cell r="F4814">
            <v>6.7400000000000002E-2</v>
          </cell>
        </row>
        <row r="4815">
          <cell r="F4815">
            <v>9.0200000000000002E-2</v>
          </cell>
        </row>
        <row r="4816">
          <cell r="F4816">
            <v>6.8900000000000003E-2</v>
          </cell>
        </row>
        <row r="4817">
          <cell r="F4817">
            <v>6.1100000000000002E-2</v>
          </cell>
        </row>
        <row r="4818">
          <cell r="F4818">
            <v>6.1100000000000002E-2</v>
          </cell>
        </row>
        <row r="4819">
          <cell r="F4819">
            <v>6.1100000000000002E-2</v>
          </cell>
        </row>
        <row r="4820">
          <cell r="F4820">
            <v>5.5399999999999998E-2</v>
          </cell>
        </row>
        <row r="4821">
          <cell r="F4821">
            <v>5.4699999999999999E-2</v>
          </cell>
        </row>
        <row r="4822">
          <cell r="F4822">
            <v>5.4699999999999999E-2</v>
          </cell>
        </row>
        <row r="4823">
          <cell r="F4823">
            <v>4.9000000000000002E-2</v>
          </cell>
        </row>
        <row r="4824">
          <cell r="F4824">
            <v>4.8300000000000003E-2</v>
          </cell>
        </row>
        <row r="4825">
          <cell r="F4825">
            <v>4.9700000000000001E-2</v>
          </cell>
        </row>
        <row r="4826">
          <cell r="F4826">
            <v>5.6899999999999999E-2</v>
          </cell>
        </row>
        <row r="4827">
          <cell r="F4827">
            <v>9.7500000000000003E-2</v>
          </cell>
        </row>
        <row r="4828">
          <cell r="F4828">
            <v>9.11E-2</v>
          </cell>
        </row>
        <row r="4829">
          <cell r="F4829">
            <v>9.1700000000000004E-2</v>
          </cell>
        </row>
        <row r="4830">
          <cell r="F4830">
            <v>8.9599999999999999E-2</v>
          </cell>
        </row>
        <row r="4831">
          <cell r="F4831">
            <v>8.4199999999999997E-2</v>
          </cell>
        </row>
        <row r="4832">
          <cell r="F4832">
            <v>6.9599999999999995E-2</v>
          </cell>
        </row>
        <row r="4833">
          <cell r="F4833">
            <v>7.7399999999999997E-2</v>
          </cell>
        </row>
        <row r="4834">
          <cell r="F4834">
            <v>7.5300000000000006E-2</v>
          </cell>
        </row>
        <row r="4835">
          <cell r="F4835">
            <v>7.17E-2</v>
          </cell>
        </row>
        <row r="4836">
          <cell r="F4836">
            <v>7.3099999999999998E-2</v>
          </cell>
        </row>
        <row r="4837">
          <cell r="F4837">
            <v>8.1699999999999995E-2</v>
          </cell>
        </row>
        <row r="4838">
          <cell r="F4838">
            <v>8.1699999999999995E-2</v>
          </cell>
        </row>
        <row r="4839">
          <cell r="F4839">
            <v>8.09E-2</v>
          </cell>
        </row>
        <row r="4840">
          <cell r="F4840">
            <v>6.8099999999999994E-2</v>
          </cell>
        </row>
        <row r="4841">
          <cell r="F4841">
            <v>9.7999999999999997E-3</v>
          </cell>
        </row>
        <row r="4842">
          <cell r="F4842">
            <v>9.7999999999999997E-3</v>
          </cell>
        </row>
        <row r="4843">
          <cell r="F4843">
            <v>9.7999999999999997E-3</v>
          </cell>
        </row>
        <row r="4844">
          <cell r="F4844">
            <v>9.7999999999999997E-3</v>
          </cell>
        </row>
        <row r="4845">
          <cell r="F4845">
            <v>9.7999999999999997E-3</v>
          </cell>
        </row>
        <row r="4846">
          <cell r="F4846">
            <v>9.9000000000000008E-3</v>
          </cell>
        </row>
        <row r="4847">
          <cell r="F4847">
            <v>2.2499999999999999E-2</v>
          </cell>
        </row>
        <row r="4848">
          <cell r="F4848">
            <v>2.5399999999999999E-2</v>
          </cell>
        </row>
        <row r="4849">
          <cell r="F4849">
            <v>2.6599999999999999E-2</v>
          </cell>
        </row>
        <row r="4850">
          <cell r="F4850">
            <v>1.9199999999999998E-2</v>
          </cell>
        </row>
        <row r="4851">
          <cell r="F4851">
            <v>8.2900000000000001E-2</v>
          </cell>
        </row>
        <row r="4852">
          <cell r="F4852">
            <v>7.6999999999999999E-2</v>
          </cell>
        </row>
        <row r="4853">
          <cell r="F4853">
            <v>7.8100000000000003E-2</v>
          </cell>
        </row>
        <row r="4854">
          <cell r="F4854">
            <v>7.3999999999999996E-2</v>
          </cell>
        </row>
        <row r="4855">
          <cell r="F4855">
            <v>8.48E-2</v>
          </cell>
        </row>
        <row r="4856">
          <cell r="F4856">
            <v>8.8900000000000007E-2</v>
          </cell>
        </row>
        <row r="4857">
          <cell r="F4857">
            <v>9.0200000000000002E-2</v>
          </cell>
        </row>
        <row r="4858">
          <cell r="F4858">
            <v>8.8099999999999998E-2</v>
          </cell>
        </row>
        <row r="4859">
          <cell r="F4859">
            <v>7.6700000000000004E-2</v>
          </cell>
        </row>
        <row r="4860">
          <cell r="F4860">
            <v>6.9000000000000006E-2</v>
          </cell>
        </row>
        <row r="4861">
          <cell r="F4861">
            <v>6.9699999999999998E-2</v>
          </cell>
        </row>
        <row r="4862">
          <cell r="F4862">
            <v>6.7599999999999993E-2</v>
          </cell>
        </row>
        <row r="4863">
          <cell r="F4863">
            <v>7.2599999999999998E-2</v>
          </cell>
        </row>
        <row r="4864">
          <cell r="F4864">
            <v>6.3200000000000006E-2</v>
          </cell>
        </row>
        <row r="4865">
          <cell r="F4865">
            <v>9.7999999999999997E-3</v>
          </cell>
        </row>
        <row r="4866">
          <cell r="F4866">
            <v>9.7999999999999997E-3</v>
          </cell>
        </row>
        <row r="4867">
          <cell r="F4867">
            <v>1.6899999999999998E-2</v>
          </cell>
        </row>
        <row r="4868">
          <cell r="F4868">
            <v>1.6899999999999998E-2</v>
          </cell>
        </row>
        <row r="4869">
          <cell r="F4869">
            <v>1.41E-2</v>
          </cell>
        </row>
        <row r="4870">
          <cell r="F4870">
            <v>2.81E-2</v>
          </cell>
        </row>
        <row r="4871">
          <cell r="F4871">
            <v>2.1499999999999998E-2</v>
          </cell>
        </row>
        <row r="4872">
          <cell r="F4872">
            <v>2.35E-2</v>
          </cell>
        </row>
        <row r="4873">
          <cell r="F4873">
            <v>3.5799999999999998E-2</v>
          </cell>
        </row>
        <row r="4874">
          <cell r="F4874">
            <v>3.8800000000000001E-2</v>
          </cell>
        </row>
        <row r="4875">
          <cell r="F4875">
            <v>8.8599999999999998E-2</v>
          </cell>
        </row>
        <row r="4876">
          <cell r="F4876">
            <v>0.12709999999999999</v>
          </cell>
        </row>
        <row r="4877">
          <cell r="F4877">
            <v>0.1076</v>
          </cell>
        </row>
        <row r="4878">
          <cell r="F4878">
            <v>7.6799999999999993E-2</v>
          </cell>
        </row>
        <row r="4879">
          <cell r="F4879">
            <v>7.6100000000000001E-2</v>
          </cell>
        </row>
        <row r="4880">
          <cell r="F4880">
            <v>8.8800000000000004E-2</v>
          </cell>
        </row>
        <row r="4881">
          <cell r="F4881">
            <v>8.8099999999999998E-2</v>
          </cell>
        </row>
        <row r="4882">
          <cell r="F4882">
            <v>7.5999999999999998E-2</v>
          </cell>
        </row>
        <row r="4883">
          <cell r="F4883">
            <v>7.3099999999999998E-2</v>
          </cell>
        </row>
        <row r="4884">
          <cell r="F4884">
            <v>7.3099999999999998E-2</v>
          </cell>
        </row>
        <row r="4885">
          <cell r="F4885">
            <v>7.3099999999999998E-2</v>
          </cell>
        </row>
        <row r="4886">
          <cell r="F4886">
            <v>7.5300000000000006E-2</v>
          </cell>
        </row>
        <row r="4887">
          <cell r="F4887">
            <v>8.1000000000000003E-2</v>
          </cell>
        </row>
        <row r="4888">
          <cell r="F4888">
            <v>7.7399999999999997E-2</v>
          </cell>
        </row>
        <row r="4889">
          <cell r="F4889">
            <v>7.5300000000000006E-2</v>
          </cell>
        </row>
        <row r="4890">
          <cell r="F4890">
            <v>7.5999999999999998E-2</v>
          </cell>
        </row>
        <row r="4891">
          <cell r="F4891">
            <v>7.5999999999999998E-2</v>
          </cell>
        </row>
        <row r="4892">
          <cell r="F4892">
            <v>7.5300000000000006E-2</v>
          </cell>
        </row>
        <row r="4893">
          <cell r="F4893">
            <v>7.46E-2</v>
          </cell>
        </row>
        <row r="4894">
          <cell r="F4894">
            <v>7.46E-2</v>
          </cell>
        </row>
        <row r="4895">
          <cell r="F4895">
            <v>7.5300000000000006E-2</v>
          </cell>
        </row>
        <row r="4896">
          <cell r="F4896">
            <v>6.83E-2</v>
          </cell>
        </row>
        <row r="4897">
          <cell r="F4897">
            <v>6.5600000000000006E-2</v>
          </cell>
        </row>
        <row r="4898">
          <cell r="F4898">
            <v>7.51E-2</v>
          </cell>
        </row>
        <row r="4899">
          <cell r="F4899">
            <v>0.1024</v>
          </cell>
        </row>
        <row r="4900">
          <cell r="F4900">
            <v>8.9599999999999999E-2</v>
          </cell>
        </row>
        <row r="4901">
          <cell r="F4901">
            <v>8.7900000000000006E-2</v>
          </cell>
        </row>
        <row r="4902">
          <cell r="F4902">
            <v>8.6400000000000005E-2</v>
          </cell>
        </row>
        <row r="4903">
          <cell r="F4903">
            <v>8.1900000000000001E-2</v>
          </cell>
        </row>
        <row r="4904">
          <cell r="F4904">
            <v>6.7000000000000004E-2</v>
          </cell>
        </row>
        <row r="4905">
          <cell r="F4905">
            <v>7.5300000000000006E-2</v>
          </cell>
        </row>
        <row r="4906">
          <cell r="F4906">
            <v>7.7399999999999997E-2</v>
          </cell>
        </row>
        <row r="4907">
          <cell r="F4907">
            <v>7.7399999999999997E-2</v>
          </cell>
        </row>
        <row r="4908">
          <cell r="F4908">
            <v>7.5200000000000003E-2</v>
          </cell>
        </row>
        <row r="4909">
          <cell r="F4909">
            <v>7.5200000000000003E-2</v>
          </cell>
        </row>
        <row r="4910">
          <cell r="F4910">
            <v>8.0199999999999994E-2</v>
          </cell>
        </row>
        <row r="4911">
          <cell r="F4911">
            <v>7.9500000000000001E-2</v>
          </cell>
        </row>
        <row r="4912">
          <cell r="F4912">
            <v>8.3099999999999993E-2</v>
          </cell>
        </row>
        <row r="4913">
          <cell r="F4913">
            <v>7.9600000000000004E-2</v>
          </cell>
        </row>
        <row r="4914">
          <cell r="F4914">
            <v>7.9600000000000004E-2</v>
          </cell>
        </row>
        <row r="4915">
          <cell r="F4915">
            <v>7.7499999999999999E-2</v>
          </cell>
        </row>
        <row r="4916">
          <cell r="F4916">
            <v>7.5399999999999995E-2</v>
          </cell>
        </row>
        <row r="4917">
          <cell r="F4917">
            <v>6.6900000000000001E-2</v>
          </cell>
        </row>
        <row r="4918">
          <cell r="F4918">
            <v>6.6900000000000001E-2</v>
          </cell>
        </row>
        <row r="4919">
          <cell r="F4919">
            <v>7.4899999999999994E-2</v>
          </cell>
        </row>
        <row r="4920">
          <cell r="F4920">
            <v>6.83E-2</v>
          </cell>
        </row>
        <row r="4921">
          <cell r="F4921">
            <v>7.7799999999999994E-2</v>
          </cell>
        </row>
        <row r="4922">
          <cell r="F4922">
            <v>8.6400000000000005E-2</v>
          </cell>
        </row>
        <row r="4923">
          <cell r="F4923">
            <v>9.35E-2</v>
          </cell>
        </row>
        <row r="4924">
          <cell r="F4924">
            <v>9.1899999999999996E-2</v>
          </cell>
        </row>
        <row r="4925">
          <cell r="F4925">
            <v>9.0200000000000002E-2</v>
          </cell>
        </row>
        <row r="4926">
          <cell r="F4926">
            <v>7.9799999999999996E-2</v>
          </cell>
        </row>
        <row r="4927">
          <cell r="F4927">
            <v>8.3500000000000005E-2</v>
          </cell>
        </row>
        <row r="4928">
          <cell r="F4928">
            <v>7.17E-2</v>
          </cell>
        </row>
        <row r="4929">
          <cell r="F4929">
            <v>4.4600000000000001E-2</v>
          </cell>
        </row>
        <row r="4930">
          <cell r="F4930">
            <v>6.6699999999999995E-2</v>
          </cell>
        </row>
        <row r="4931">
          <cell r="F4931">
            <v>7.5300000000000006E-2</v>
          </cell>
        </row>
        <row r="4932">
          <cell r="F4932">
            <v>6.7400000000000002E-2</v>
          </cell>
        </row>
        <row r="4933">
          <cell r="F4933">
            <v>6.7400000000000002E-2</v>
          </cell>
        </row>
        <row r="4934">
          <cell r="F4934">
            <v>6.7400000000000002E-2</v>
          </cell>
        </row>
        <row r="4935">
          <cell r="F4935">
            <v>7.3800000000000004E-2</v>
          </cell>
        </row>
        <row r="4936">
          <cell r="F4936">
            <v>7.7399999999999997E-2</v>
          </cell>
        </row>
        <row r="4937">
          <cell r="F4937">
            <v>6.3200000000000006E-2</v>
          </cell>
        </row>
        <row r="4938">
          <cell r="F4938">
            <v>6.0400000000000002E-2</v>
          </cell>
        </row>
        <row r="4939">
          <cell r="F4939">
            <v>6.1100000000000002E-2</v>
          </cell>
        </row>
        <row r="4940">
          <cell r="F4940">
            <v>6.6199999999999995E-2</v>
          </cell>
        </row>
        <row r="4941">
          <cell r="F4941">
            <v>6.6199999999999995E-2</v>
          </cell>
        </row>
        <row r="4942">
          <cell r="F4942">
            <v>6.1899999999999997E-2</v>
          </cell>
        </row>
        <row r="4943">
          <cell r="F4943">
            <v>6.13E-2</v>
          </cell>
        </row>
        <row r="4944">
          <cell r="F4944">
            <v>6.4899999999999999E-2</v>
          </cell>
        </row>
        <row r="4945">
          <cell r="F4945">
            <v>6.6500000000000004E-2</v>
          </cell>
        </row>
        <row r="4946">
          <cell r="F4946">
            <v>8.4599999999999995E-2</v>
          </cell>
        </row>
        <row r="4947">
          <cell r="F4947">
            <v>9.3399999999999997E-2</v>
          </cell>
        </row>
        <row r="4948">
          <cell r="F4948">
            <v>7.9200000000000007E-2</v>
          </cell>
        </row>
        <row r="4949">
          <cell r="F4949">
            <v>7.8700000000000006E-2</v>
          </cell>
        </row>
        <row r="4950">
          <cell r="F4950">
            <v>7.8399999999999997E-2</v>
          </cell>
        </row>
        <row r="4951">
          <cell r="F4951">
            <v>7.8299999999999995E-2</v>
          </cell>
        </row>
        <row r="4952">
          <cell r="F4952">
            <v>6.4699999999999994E-2</v>
          </cell>
        </row>
        <row r="4953">
          <cell r="F4953">
            <v>6.7400000000000002E-2</v>
          </cell>
        </row>
        <row r="4954">
          <cell r="F4954">
            <v>6.8099999999999994E-2</v>
          </cell>
        </row>
        <row r="4955">
          <cell r="F4955">
            <v>6.9599999999999995E-2</v>
          </cell>
        </row>
        <row r="4956">
          <cell r="F4956">
            <v>6.7400000000000002E-2</v>
          </cell>
        </row>
        <row r="4957">
          <cell r="F4957">
            <v>6.6699999999999995E-2</v>
          </cell>
        </row>
        <row r="4958">
          <cell r="F4958">
            <v>8.0199999999999994E-2</v>
          </cell>
        </row>
        <row r="4959">
          <cell r="F4959">
            <v>8.7400000000000005E-2</v>
          </cell>
        </row>
        <row r="4960">
          <cell r="F4960">
            <v>7.7399999999999997E-2</v>
          </cell>
        </row>
        <row r="4961">
          <cell r="F4961">
            <v>6.7500000000000004E-2</v>
          </cell>
        </row>
        <row r="4962">
          <cell r="F4962">
            <v>6.7500000000000004E-2</v>
          </cell>
        </row>
        <row r="4963">
          <cell r="F4963">
            <v>6.6799999999999998E-2</v>
          </cell>
        </row>
        <row r="4964">
          <cell r="F4964">
            <v>6.6799999999999998E-2</v>
          </cell>
        </row>
        <row r="4965">
          <cell r="F4965">
            <v>6.7500000000000004E-2</v>
          </cell>
        </row>
        <row r="4966">
          <cell r="F4966">
            <v>6.7500000000000004E-2</v>
          </cell>
        </row>
        <row r="4967">
          <cell r="F4967">
            <v>6.7599999999999993E-2</v>
          </cell>
        </row>
        <row r="4968">
          <cell r="F4968">
            <v>6.1899999999999997E-2</v>
          </cell>
        </row>
        <row r="4969">
          <cell r="F4969">
            <v>6.2E-2</v>
          </cell>
        </row>
        <row r="4970">
          <cell r="F4970">
            <v>7.9100000000000004E-2</v>
          </cell>
        </row>
        <row r="4971">
          <cell r="F4971">
            <v>9.4799999999999995E-2</v>
          </cell>
        </row>
        <row r="4972">
          <cell r="F4972">
            <v>9.06E-2</v>
          </cell>
        </row>
        <row r="4973">
          <cell r="F4973">
            <v>8.6900000000000005E-2</v>
          </cell>
        </row>
        <row r="4974">
          <cell r="F4974">
            <v>8.5199999999999998E-2</v>
          </cell>
        </row>
        <row r="4975">
          <cell r="F4975">
            <v>8.5000000000000006E-2</v>
          </cell>
        </row>
        <row r="4976">
          <cell r="F4976">
            <v>8.0699999999999994E-2</v>
          </cell>
        </row>
        <row r="4977">
          <cell r="F4977">
            <v>7.85E-2</v>
          </cell>
        </row>
        <row r="4978">
          <cell r="F4978">
            <v>8.3500000000000005E-2</v>
          </cell>
        </row>
        <row r="4979">
          <cell r="F4979">
            <v>7.6399999999999996E-2</v>
          </cell>
        </row>
        <row r="4980">
          <cell r="F4980">
            <v>7.4999999999999997E-2</v>
          </cell>
        </row>
        <row r="4981">
          <cell r="F4981">
            <v>7.4200000000000002E-2</v>
          </cell>
        </row>
        <row r="4982">
          <cell r="F4982">
            <v>7.7100000000000002E-2</v>
          </cell>
        </row>
        <row r="4983">
          <cell r="F4983">
            <v>8.1000000000000003E-2</v>
          </cell>
        </row>
        <row r="4984">
          <cell r="F4984">
            <v>7.5999999999999998E-2</v>
          </cell>
        </row>
        <row r="4985">
          <cell r="F4985">
            <v>6.6799999999999998E-2</v>
          </cell>
        </row>
        <row r="4986">
          <cell r="F4986">
            <v>6.6799999999999998E-2</v>
          </cell>
        </row>
        <row r="4987">
          <cell r="F4987">
            <v>6.1100000000000002E-2</v>
          </cell>
        </row>
        <row r="4988">
          <cell r="F4988">
            <v>6.0400000000000002E-2</v>
          </cell>
        </row>
        <row r="4989">
          <cell r="F4989">
            <v>6.0400000000000002E-2</v>
          </cell>
        </row>
        <row r="4990">
          <cell r="F4990">
            <v>5.5399999999999998E-2</v>
          </cell>
        </row>
        <row r="4991">
          <cell r="F4991">
            <v>6.0400000000000002E-2</v>
          </cell>
        </row>
        <row r="4992">
          <cell r="F4992">
            <v>6.0400000000000002E-2</v>
          </cell>
        </row>
        <row r="4993">
          <cell r="F4993">
            <v>5.6899999999999999E-2</v>
          </cell>
        </row>
        <row r="4994">
          <cell r="F4994">
            <v>7.3400000000000007E-2</v>
          </cell>
        </row>
        <row r="4995">
          <cell r="F4995">
            <v>0.10340000000000001</v>
          </cell>
        </row>
        <row r="4996">
          <cell r="F4996">
            <v>8.7099999999999997E-2</v>
          </cell>
        </row>
        <row r="4997">
          <cell r="F4997">
            <v>8.0100000000000005E-2</v>
          </cell>
        </row>
        <row r="4998">
          <cell r="F4998">
            <v>7.6600000000000001E-2</v>
          </cell>
        </row>
        <row r="4999">
          <cell r="F4999">
            <v>6.6799999999999998E-2</v>
          </cell>
        </row>
        <row r="5000">
          <cell r="F5000">
            <v>6.1899999999999997E-2</v>
          </cell>
        </row>
        <row r="5001">
          <cell r="F5001">
            <v>8.0199999999999994E-2</v>
          </cell>
        </row>
        <row r="5002">
          <cell r="F5002">
            <v>6.5299999999999997E-2</v>
          </cell>
        </row>
        <row r="5003">
          <cell r="F5003">
            <v>6.8099999999999994E-2</v>
          </cell>
        </row>
        <row r="5004">
          <cell r="F5004">
            <v>7.3099999999999998E-2</v>
          </cell>
        </row>
        <row r="5005">
          <cell r="F5005">
            <v>7.3099999999999998E-2</v>
          </cell>
        </row>
        <row r="5006">
          <cell r="F5006">
            <v>7.3099999999999998E-2</v>
          </cell>
        </row>
        <row r="5007">
          <cell r="F5007">
            <v>6.0299999999999999E-2</v>
          </cell>
        </row>
        <row r="5008">
          <cell r="F5008">
            <v>7.7399999999999997E-2</v>
          </cell>
        </row>
        <row r="5009">
          <cell r="F5009">
            <v>4.8899999999999999E-2</v>
          </cell>
        </row>
        <row r="5010">
          <cell r="F5010">
            <v>2.47E-2</v>
          </cell>
        </row>
        <row r="5011">
          <cell r="F5011">
            <v>3.3300000000000003E-2</v>
          </cell>
        </row>
        <row r="5012">
          <cell r="F5012">
            <v>9.7999999999999997E-3</v>
          </cell>
        </row>
        <row r="5013">
          <cell r="F5013">
            <v>3.7600000000000001E-2</v>
          </cell>
        </row>
        <row r="5014">
          <cell r="F5014">
            <v>3.6900000000000002E-2</v>
          </cell>
        </row>
        <row r="5015">
          <cell r="F5015">
            <v>3.4799999999999998E-2</v>
          </cell>
        </row>
        <row r="5016">
          <cell r="F5016">
            <v>4.7300000000000002E-2</v>
          </cell>
        </row>
        <row r="5017">
          <cell r="F5017">
            <v>7.0000000000000001E-3</v>
          </cell>
        </row>
        <row r="5018">
          <cell r="F5018">
            <v>5.8400000000000001E-2</v>
          </cell>
        </row>
        <row r="5019">
          <cell r="F5019">
            <v>9.2499999999999999E-2</v>
          </cell>
        </row>
        <row r="5020">
          <cell r="F5020">
            <v>0.1246</v>
          </cell>
        </row>
        <row r="5021">
          <cell r="F5021">
            <v>0.1036</v>
          </cell>
        </row>
        <row r="5022">
          <cell r="F5022">
            <v>8.7499999999999994E-2</v>
          </cell>
        </row>
        <row r="5023">
          <cell r="F5023">
            <v>8.8200000000000001E-2</v>
          </cell>
        </row>
        <row r="5024">
          <cell r="F5024">
            <v>7.2400000000000006E-2</v>
          </cell>
        </row>
        <row r="5025">
          <cell r="F5025">
            <v>8.3099999999999993E-2</v>
          </cell>
        </row>
        <row r="5026">
          <cell r="F5026">
            <v>7.5999999999999998E-2</v>
          </cell>
        </row>
        <row r="5027">
          <cell r="F5027">
            <v>7.3800000000000004E-2</v>
          </cell>
        </row>
        <row r="5028">
          <cell r="F5028">
            <v>7.0999999999999994E-2</v>
          </cell>
        </row>
        <row r="5029">
          <cell r="F5029">
            <v>6.8099999999999994E-2</v>
          </cell>
        </row>
        <row r="5030">
          <cell r="F5030">
            <v>6.8900000000000003E-2</v>
          </cell>
        </row>
        <row r="5031">
          <cell r="F5031">
            <v>7.3800000000000004E-2</v>
          </cell>
        </row>
        <row r="5032">
          <cell r="F5032">
            <v>7.3800000000000004E-2</v>
          </cell>
        </row>
        <row r="5033">
          <cell r="F5033">
            <v>1.4E-2</v>
          </cell>
        </row>
        <row r="5034">
          <cell r="F5034">
            <v>3.4700000000000002E-2</v>
          </cell>
        </row>
        <row r="5035">
          <cell r="F5035">
            <v>6.1100000000000002E-2</v>
          </cell>
        </row>
        <row r="5036">
          <cell r="F5036">
            <v>4.2599999999999999E-2</v>
          </cell>
        </row>
        <row r="5037">
          <cell r="F5037">
            <v>4.19E-2</v>
          </cell>
        </row>
        <row r="5038">
          <cell r="F5038">
            <v>3.9699999999999999E-2</v>
          </cell>
        </row>
        <row r="5039">
          <cell r="F5039">
            <v>1.6899999999999998E-2</v>
          </cell>
        </row>
        <row r="5040">
          <cell r="F5040">
            <v>1.55E-2</v>
          </cell>
        </row>
        <row r="5041">
          <cell r="F5041">
            <v>2.9499999999999998E-2</v>
          </cell>
        </row>
        <row r="5042">
          <cell r="F5042">
            <v>7.9600000000000004E-2</v>
          </cell>
        </row>
        <row r="5043">
          <cell r="F5043">
            <v>9.3899999999999997E-2</v>
          </cell>
        </row>
        <row r="5044">
          <cell r="F5044">
            <v>9.3200000000000005E-2</v>
          </cell>
        </row>
        <row r="5045">
          <cell r="F5045">
            <v>9.3899999999999997E-2</v>
          </cell>
        </row>
        <row r="5046">
          <cell r="F5046">
            <v>9.3899999999999997E-2</v>
          </cell>
        </row>
        <row r="5047">
          <cell r="F5047">
            <v>7.3899999999999993E-2</v>
          </cell>
        </row>
        <row r="5048">
          <cell r="F5048">
            <v>7.3099999999999998E-2</v>
          </cell>
        </row>
        <row r="5049">
          <cell r="F5049">
            <v>7.8799999999999995E-2</v>
          </cell>
        </row>
        <row r="5050">
          <cell r="F5050">
            <v>7.5999999999999998E-2</v>
          </cell>
        </row>
        <row r="5051">
          <cell r="F5051">
            <v>7.3800000000000004E-2</v>
          </cell>
        </row>
        <row r="5052">
          <cell r="F5052">
            <v>7.2400000000000006E-2</v>
          </cell>
        </row>
        <row r="5053">
          <cell r="F5053">
            <v>7.3099999999999998E-2</v>
          </cell>
        </row>
        <row r="5054">
          <cell r="F5054">
            <v>7.5300000000000006E-2</v>
          </cell>
        </row>
        <row r="5055">
          <cell r="F5055">
            <v>6.8099999999999994E-2</v>
          </cell>
        </row>
        <row r="5056">
          <cell r="F5056">
            <v>6.7400000000000002E-2</v>
          </cell>
        </row>
        <row r="5057">
          <cell r="F5057">
            <v>7.9600000000000004E-2</v>
          </cell>
        </row>
        <row r="5058">
          <cell r="F5058">
            <v>8.0299999999999996E-2</v>
          </cell>
        </row>
        <row r="5059">
          <cell r="F5059">
            <v>7.8899999999999998E-2</v>
          </cell>
        </row>
        <row r="5060">
          <cell r="F5060">
            <v>7.0300000000000001E-2</v>
          </cell>
        </row>
        <row r="5061">
          <cell r="F5061">
            <v>7.8200000000000006E-2</v>
          </cell>
        </row>
        <row r="5062">
          <cell r="F5062">
            <v>7.3899999999999993E-2</v>
          </cell>
        </row>
        <row r="5063">
          <cell r="F5063">
            <v>7.2499999999999995E-2</v>
          </cell>
        </row>
        <row r="5064">
          <cell r="F5064">
            <v>7.7499999999999999E-2</v>
          </cell>
        </row>
        <row r="5065">
          <cell r="F5065">
            <v>8.0500000000000002E-2</v>
          </cell>
        </row>
        <row r="5066">
          <cell r="F5066">
            <v>8.8400000000000006E-2</v>
          </cell>
        </row>
        <row r="5067">
          <cell r="F5067">
            <v>9.5000000000000001E-2</v>
          </cell>
        </row>
        <row r="5068">
          <cell r="F5068">
            <v>9.01E-2</v>
          </cell>
        </row>
        <row r="5069">
          <cell r="F5069">
            <v>8.6900000000000005E-2</v>
          </cell>
        </row>
        <row r="5070">
          <cell r="F5070">
            <v>8.3900000000000002E-2</v>
          </cell>
        </row>
        <row r="5071">
          <cell r="F5071">
            <v>8.1799999999999998E-2</v>
          </cell>
        </row>
        <row r="5072">
          <cell r="F5072">
            <v>7.5999999999999998E-2</v>
          </cell>
        </row>
        <row r="5073">
          <cell r="F5073">
            <v>8.5900000000000004E-2</v>
          </cell>
        </row>
        <row r="5074">
          <cell r="F5074">
            <v>7.8100000000000003E-2</v>
          </cell>
        </row>
        <row r="5075">
          <cell r="F5075">
            <v>7.5999999999999998E-2</v>
          </cell>
        </row>
        <row r="5076">
          <cell r="F5076">
            <v>7.5300000000000006E-2</v>
          </cell>
        </row>
        <row r="5077">
          <cell r="F5077">
            <v>7.5999999999999998E-2</v>
          </cell>
        </row>
        <row r="5078">
          <cell r="F5078">
            <v>7.8799999999999995E-2</v>
          </cell>
        </row>
        <row r="5079">
          <cell r="F5079">
            <v>8.4500000000000006E-2</v>
          </cell>
        </row>
        <row r="5080">
          <cell r="F5080">
            <v>8.3799999999999999E-2</v>
          </cell>
        </row>
        <row r="5081">
          <cell r="F5081">
            <v>7.7399999999999997E-2</v>
          </cell>
        </row>
        <row r="5082">
          <cell r="F5082">
            <v>7.8200000000000006E-2</v>
          </cell>
        </row>
        <row r="5083">
          <cell r="F5083">
            <v>8.3900000000000002E-2</v>
          </cell>
        </row>
        <row r="5084">
          <cell r="F5084">
            <v>8.6099999999999996E-2</v>
          </cell>
        </row>
        <row r="5085">
          <cell r="F5085">
            <v>8.8300000000000003E-2</v>
          </cell>
        </row>
        <row r="5086">
          <cell r="F5086">
            <v>8.6099999999999996E-2</v>
          </cell>
        </row>
        <row r="5087">
          <cell r="F5087">
            <v>9.1899999999999996E-2</v>
          </cell>
        </row>
        <row r="5088">
          <cell r="F5088">
            <v>8.8400000000000006E-2</v>
          </cell>
        </row>
        <row r="5089">
          <cell r="F5089">
            <v>7.7799999999999994E-2</v>
          </cell>
        </row>
        <row r="5090">
          <cell r="F5090">
            <v>8.72E-2</v>
          </cell>
        </row>
        <row r="5091">
          <cell r="F5091">
            <v>0.1051</v>
          </cell>
        </row>
        <row r="5092">
          <cell r="F5092">
            <v>0.13020000000000001</v>
          </cell>
        </row>
        <row r="5093">
          <cell r="F5093">
            <v>9.01E-2</v>
          </cell>
        </row>
        <row r="5094">
          <cell r="F5094">
            <v>9.1300000000000006E-2</v>
          </cell>
        </row>
        <row r="5095">
          <cell r="F5095">
            <v>9.1899999999999996E-2</v>
          </cell>
        </row>
        <row r="5096">
          <cell r="F5096">
            <v>8.2400000000000001E-2</v>
          </cell>
        </row>
        <row r="5097">
          <cell r="F5097">
            <v>8.5199999999999998E-2</v>
          </cell>
        </row>
        <row r="5098">
          <cell r="F5098">
            <v>9.0399999999999994E-2</v>
          </cell>
        </row>
        <row r="5099">
          <cell r="F5099">
            <v>9.4600000000000004E-2</v>
          </cell>
        </row>
        <row r="5100">
          <cell r="F5100">
            <v>8.9599999999999999E-2</v>
          </cell>
        </row>
        <row r="5101">
          <cell r="F5101">
            <v>9.1800000000000007E-2</v>
          </cell>
        </row>
        <row r="5102">
          <cell r="F5102">
            <v>8.7499999999999994E-2</v>
          </cell>
        </row>
        <row r="5103">
          <cell r="F5103">
            <v>8.3900000000000002E-2</v>
          </cell>
        </row>
        <row r="5104">
          <cell r="F5104">
            <v>7.5399999999999995E-2</v>
          </cell>
        </row>
        <row r="5105">
          <cell r="F5105">
            <v>7.1900000000000006E-2</v>
          </cell>
        </row>
        <row r="5106">
          <cell r="F5106">
            <v>6.9699999999999998E-2</v>
          </cell>
        </row>
        <row r="5107">
          <cell r="F5107">
            <v>7.0499999999999993E-2</v>
          </cell>
        </row>
        <row r="5108">
          <cell r="F5108">
            <v>6.9099999999999995E-2</v>
          </cell>
        </row>
        <row r="5109">
          <cell r="F5109">
            <v>6.8400000000000002E-2</v>
          </cell>
        </row>
        <row r="5110">
          <cell r="F5110">
            <v>6.8400000000000002E-2</v>
          </cell>
        </row>
        <row r="5111">
          <cell r="F5111">
            <v>6.4899999999999999E-2</v>
          </cell>
        </row>
        <row r="5112">
          <cell r="F5112">
            <v>7.0699999999999999E-2</v>
          </cell>
        </row>
        <row r="5113">
          <cell r="F5113">
            <v>7.3700000000000002E-2</v>
          </cell>
        </row>
        <row r="5114">
          <cell r="F5114">
            <v>7.8899999999999998E-2</v>
          </cell>
        </row>
        <row r="5115">
          <cell r="F5115">
            <v>9.7600000000000006E-2</v>
          </cell>
        </row>
        <row r="5116">
          <cell r="F5116">
            <v>9.4299999999999995E-2</v>
          </cell>
        </row>
        <row r="5117">
          <cell r="F5117">
            <v>9.3299999999999994E-2</v>
          </cell>
        </row>
        <row r="5118">
          <cell r="F5118">
            <v>0.09</v>
          </cell>
        </row>
        <row r="5119">
          <cell r="F5119">
            <v>9.06E-2</v>
          </cell>
        </row>
        <row r="5120">
          <cell r="F5120">
            <v>9.2600000000000002E-2</v>
          </cell>
        </row>
        <row r="5121">
          <cell r="F5121">
            <v>9.4600000000000004E-2</v>
          </cell>
        </row>
        <row r="5122">
          <cell r="F5122">
            <v>9.6799999999999997E-2</v>
          </cell>
        </row>
        <row r="5123">
          <cell r="F5123">
            <v>9.6100000000000005E-2</v>
          </cell>
        </row>
        <row r="5124">
          <cell r="F5124">
            <v>9.6100000000000005E-2</v>
          </cell>
        </row>
        <row r="5125">
          <cell r="F5125">
            <v>9.6799999999999997E-2</v>
          </cell>
        </row>
        <row r="5126">
          <cell r="F5126">
            <v>9.4600000000000004E-2</v>
          </cell>
        </row>
        <row r="5127">
          <cell r="F5127">
            <v>9.3200000000000005E-2</v>
          </cell>
        </row>
        <row r="5128">
          <cell r="F5128">
            <v>7.6799999999999993E-2</v>
          </cell>
        </row>
        <row r="5129">
          <cell r="F5129">
            <v>6.7599999999999993E-2</v>
          </cell>
        </row>
        <row r="5130">
          <cell r="F5130">
            <v>6.7000000000000004E-2</v>
          </cell>
        </row>
        <row r="5131">
          <cell r="F5131">
            <v>6.7000000000000004E-2</v>
          </cell>
        </row>
        <row r="5132">
          <cell r="F5132">
            <v>6.7000000000000004E-2</v>
          </cell>
        </row>
        <row r="5133">
          <cell r="F5133">
            <v>6.7000000000000004E-2</v>
          </cell>
        </row>
        <row r="5134">
          <cell r="F5134">
            <v>6.7699999999999996E-2</v>
          </cell>
        </row>
        <row r="5135">
          <cell r="F5135">
            <v>6.7799999999999999E-2</v>
          </cell>
        </row>
        <row r="5136">
          <cell r="F5136">
            <v>6.8000000000000005E-2</v>
          </cell>
        </row>
        <row r="5137">
          <cell r="F5137">
            <v>6.9000000000000006E-2</v>
          </cell>
        </row>
        <row r="5138">
          <cell r="F5138">
            <v>7.7899999999999997E-2</v>
          </cell>
        </row>
        <row r="5139">
          <cell r="F5139">
            <v>0.10299999999999999</v>
          </cell>
        </row>
        <row r="5140">
          <cell r="F5140">
            <v>0.1038</v>
          </cell>
        </row>
        <row r="5141">
          <cell r="F5141">
            <v>0.1071</v>
          </cell>
        </row>
        <row r="5142">
          <cell r="F5142">
            <v>9.8000000000000004E-2</v>
          </cell>
        </row>
        <row r="5143">
          <cell r="F5143">
            <v>9.64E-2</v>
          </cell>
        </row>
        <row r="5144">
          <cell r="F5144">
            <v>9.5399999999999999E-2</v>
          </cell>
        </row>
        <row r="5145">
          <cell r="F5145">
            <v>9.6799999999999997E-2</v>
          </cell>
        </row>
        <row r="5146">
          <cell r="F5146">
            <v>9.6100000000000005E-2</v>
          </cell>
        </row>
        <row r="5147">
          <cell r="F5147">
            <v>8.5400000000000004E-2</v>
          </cell>
        </row>
        <row r="5148">
          <cell r="F5148">
            <v>8.4699999999999998E-2</v>
          </cell>
        </row>
        <row r="5149">
          <cell r="F5149">
            <v>8.3900000000000002E-2</v>
          </cell>
        </row>
        <row r="5150">
          <cell r="F5150">
            <v>8.5400000000000004E-2</v>
          </cell>
        </row>
        <row r="5151">
          <cell r="F5151">
            <v>8.4099999999999994E-2</v>
          </cell>
        </row>
        <row r="5152">
          <cell r="F5152">
            <v>7.3300000000000004E-2</v>
          </cell>
        </row>
        <row r="5153">
          <cell r="F5153">
            <v>6.83E-2</v>
          </cell>
        </row>
        <row r="5154">
          <cell r="F5154">
            <v>6.7000000000000004E-2</v>
          </cell>
        </row>
        <row r="5155">
          <cell r="F5155">
            <v>6.7000000000000004E-2</v>
          </cell>
        </row>
        <row r="5156">
          <cell r="F5156">
            <v>6.7799999999999999E-2</v>
          </cell>
        </row>
        <row r="5157">
          <cell r="F5157">
            <v>6.7799999999999999E-2</v>
          </cell>
        </row>
        <row r="5158">
          <cell r="F5158">
            <v>7.4300000000000005E-2</v>
          </cell>
        </row>
        <row r="5159">
          <cell r="F5159">
            <v>6.7500000000000004E-2</v>
          </cell>
        </row>
        <row r="5160">
          <cell r="F5160">
            <v>7.1199999999999999E-2</v>
          </cell>
        </row>
        <row r="5161">
          <cell r="F5161">
            <v>8.9099999999999999E-2</v>
          </cell>
        </row>
        <row r="5162">
          <cell r="F5162">
            <v>1.194</v>
          </cell>
        </row>
        <row r="5163">
          <cell r="F5163">
            <v>1.2283999999999999</v>
          </cell>
        </row>
        <row r="5164">
          <cell r="F5164">
            <v>1.2694000000000001</v>
          </cell>
        </row>
        <row r="5165">
          <cell r="F5165">
            <v>1.3742000000000001</v>
          </cell>
        </row>
        <row r="5166">
          <cell r="F5166">
            <v>1.2517</v>
          </cell>
        </row>
        <row r="5167">
          <cell r="F5167">
            <v>1.2334000000000001</v>
          </cell>
        </row>
        <row r="5168">
          <cell r="F5168">
            <v>8.2500000000000004E-2</v>
          </cell>
        </row>
        <row r="5169">
          <cell r="F5169">
            <v>7.7499999999999999E-2</v>
          </cell>
        </row>
        <row r="5170">
          <cell r="F5170">
            <v>7.8200000000000006E-2</v>
          </cell>
        </row>
        <row r="5171">
          <cell r="F5171">
            <v>9.2499999999999999E-2</v>
          </cell>
        </row>
        <row r="5172">
          <cell r="F5172">
            <v>8.3199999999999996E-2</v>
          </cell>
        </row>
        <row r="5173">
          <cell r="F5173">
            <v>7.3899999999999993E-2</v>
          </cell>
        </row>
        <row r="5174">
          <cell r="F5174">
            <v>7.3899999999999993E-2</v>
          </cell>
        </row>
        <row r="5175">
          <cell r="F5175">
            <v>6.9800000000000001E-2</v>
          </cell>
        </row>
        <row r="5176">
          <cell r="F5176">
            <v>5.9700000000000003E-2</v>
          </cell>
        </row>
        <row r="5177">
          <cell r="F5177">
            <v>5.7700000000000001E-2</v>
          </cell>
        </row>
        <row r="5178">
          <cell r="F5178">
            <v>5.4899999999999997E-2</v>
          </cell>
        </row>
        <row r="5179">
          <cell r="F5179">
            <v>6.2100000000000002E-2</v>
          </cell>
        </row>
        <row r="5180">
          <cell r="F5180">
            <v>6.2100000000000002E-2</v>
          </cell>
        </row>
        <row r="5181">
          <cell r="F5181">
            <v>6.3600000000000004E-2</v>
          </cell>
        </row>
        <row r="5182">
          <cell r="F5182">
            <v>6.4299999999999996E-2</v>
          </cell>
        </row>
        <row r="5183">
          <cell r="F5183">
            <v>6.5199999999999994E-2</v>
          </cell>
        </row>
        <row r="5184">
          <cell r="F5184">
            <v>7.2099999999999997E-2</v>
          </cell>
        </row>
        <row r="5185">
          <cell r="F5185">
            <v>8.7999999999999995E-2</v>
          </cell>
        </row>
        <row r="5186">
          <cell r="F5186">
            <v>1.1787000000000001</v>
          </cell>
        </row>
        <row r="5187">
          <cell r="F5187">
            <v>1.2239</v>
          </cell>
        </row>
        <row r="5188">
          <cell r="F5188">
            <v>1.2577</v>
          </cell>
        </row>
        <row r="5189">
          <cell r="F5189">
            <v>1.3623000000000001</v>
          </cell>
        </row>
        <row r="5190">
          <cell r="F5190">
            <v>1.246</v>
          </cell>
        </row>
        <row r="5191">
          <cell r="F5191">
            <v>1.2339</v>
          </cell>
        </row>
        <row r="5192">
          <cell r="F5192">
            <v>9.0899999999999995E-2</v>
          </cell>
        </row>
        <row r="5193">
          <cell r="F5193">
            <v>9.7500000000000003E-2</v>
          </cell>
        </row>
        <row r="5194">
          <cell r="F5194">
            <v>9.4600000000000004E-2</v>
          </cell>
        </row>
        <row r="5195">
          <cell r="F5195">
            <v>8.8900000000000007E-2</v>
          </cell>
        </row>
        <row r="5196">
          <cell r="F5196">
            <v>8.3699999999999997E-2</v>
          </cell>
        </row>
        <row r="5197">
          <cell r="F5197">
            <v>8.14E-2</v>
          </cell>
        </row>
        <row r="5198">
          <cell r="F5198">
            <v>8.6800000000000002E-2</v>
          </cell>
        </row>
        <row r="5199">
          <cell r="F5199">
            <v>7.6300000000000007E-2</v>
          </cell>
        </row>
        <row r="5200">
          <cell r="F5200">
            <v>6.4699999999999994E-2</v>
          </cell>
        </row>
        <row r="5201">
          <cell r="F5201">
            <v>5.1200000000000002E-2</v>
          </cell>
        </row>
        <row r="5202">
          <cell r="F5202">
            <v>3.1899999999999998E-2</v>
          </cell>
        </row>
        <row r="5203">
          <cell r="F5203">
            <v>2.9100000000000001E-2</v>
          </cell>
        </row>
        <row r="5204">
          <cell r="F5204">
            <v>2.98E-2</v>
          </cell>
        </row>
        <row r="5205">
          <cell r="F5205">
            <v>2.9100000000000001E-2</v>
          </cell>
        </row>
        <row r="5206">
          <cell r="F5206">
            <v>9.7999999999999997E-3</v>
          </cell>
        </row>
        <row r="5207">
          <cell r="F5207">
            <v>3.2000000000000001E-2</v>
          </cell>
        </row>
        <row r="5208">
          <cell r="F5208">
            <v>4.7399999999999998E-2</v>
          </cell>
        </row>
        <row r="5209">
          <cell r="F5209">
            <v>6.0100000000000001E-2</v>
          </cell>
        </row>
        <row r="5210">
          <cell r="F5210">
            <v>1.1698999999999999</v>
          </cell>
        </row>
        <row r="5211">
          <cell r="F5211">
            <v>1.2229000000000001</v>
          </cell>
        </row>
        <row r="5212">
          <cell r="F5212">
            <v>1.2625</v>
          </cell>
        </row>
        <row r="5213">
          <cell r="F5213">
            <v>1.3625</v>
          </cell>
        </row>
        <row r="5214">
          <cell r="F5214">
            <v>1.2425999999999999</v>
          </cell>
        </row>
        <row r="5215">
          <cell r="F5215">
            <v>1.2361</v>
          </cell>
        </row>
        <row r="5216">
          <cell r="F5216">
            <v>9.2399999999999996E-2</v>
          </cell>
        </row>
        <row r="5217">
          <cell r="F5217">
            <v>9.8900000000000002E-2</v>
          </cell>
        </row>
        <row r="5218">
          <cell r="F5218">
            <v>9.8199999999999996E-2</v>
          </cell>
        </row>
        <row r="5219">
          <cell r="F5219">
            <v>9.7500000000000003E-2</v>
          </cell>
        </row>
        <row r="5220">
          <cell r="F5220">
            <v>9.2499999999999999E-2</v>
          </cell>
        </row>
        <row r="5221">
          <cell r="F5221">
            <v>9.2499999999999999E-2</v>
          </cell>
        </row>
        <row r="5222">
          <cell r="F5222">
            <v>9.7500000000000003E-2</v>
          </cell>
        </row>
        <row r="5223">
          <cell r="F5223">
            <v>8.4099999999999994E-2</v>
          </cell>
        </row>
        <row r="5224">
          <cell r="F5224">
            <v>8.1100000000000005E-2</v>
          </cell>
        </row>
        <row r="5225">
          <cell r="F5225">
            <v>7.5399999999999995E-2</v>
          </cell>
        </row>
        <row r="5226">
          <cell r="F5226">
            <v>7.5499999999999998E-2</v>
          </cell>
        </row>
        <row r="5227">
          <cell r="F5227">
            <v>7.5499999999999998E-2</v>
          </cell>
        </row>
        <row r="5228">
          <cell r="F5228">
            <v>7.5499999999999998E-2</v>
          </cell>
        </row>
        <row r="5229">
          <cell r="F5229">
            <v>7.6200000000000004E-2</v>
          </cell>
        </row>
        <row r="5230">
          <cell r="F5230">
            <v>7.9000000000000001E-2</v>
          </cell>
        </row>
        <row r="5231">
          <cell r="F5231">
            <v>7.7600000000000002E-2</v>
          </cell>
        </row>
        <row r="5232">
          <cell r="F5232">
            <v>8.2199999999999995E-2</v>
          </cell>
        </row>
        <row r="5233">
          <cell r="F5233">
            <v>9.98E-2</v>
          </cell>
        </row>
        <row r="5234">
          <cell r="F5234">
            <v>1.1906000000000001</v>
          </cell>
        </row>
        <row r="5235">
          <cell r="F5235">
            <v>1.236</v>
          </cell>
        </row>
        <row r="5236">
          <cell r="F5236">
            <v>1.2569999999999999</v>
          </cell>
        </row>
        <row r="5237">
          <cell r="F5237">
            <v>1.3867</v>
          </cell>
        </row>
        <row r="5238">
          <cell r="F5238">
            <v>1.2462</v>
          </cell>
        </row>
        <row r="5239">
          <cell r="F5239">
            <v>1.2411000000000001</v>
          </cell>
        </row>
        <row r="5240">
          <cell r="F5240">
            <v>9.8900000000000002E-2</v>
          </cell>
        </row>
        <row r="5241">
          <cell r="F5241">
            <v>9.4600000000000004E-2</v>
          </cell>
        </row>
        <row r="5242">
          <cell r="F5242">
            <v>0.10100000000000001</v>
          </cell>
        </row>
        <row r="5243">
          <cell r="F5243">
            <v>0.1018</v>
          </cell>
        </row>
        <row r="5244">
          <cell r="F5244">
            <v>9.1800000000000007E-2</v>
          </cell>
        </row>
        <row r="5245">
          <cell r="F5245">
            <v>9.3200000000000005E-2</v>
          </cell>
        </row>
        <row r="5246">
          <cell r="F5246">
            <v>9.6100000000000005E-2</v>
          </cell>
        </row>
        <row r="5247">
          <cell r="F5247">
            <v>9.2700000000000005E-2</v>
          </cell>
        </row>
        <row r="5248">
          <cell r="F5248">
            <v>8.7499999999999994E-2</v>
          </cell>
        </row>
        <row r="5249">
          <cell r="F5249">
            <v>8.1100000000000005E-2</v>
          </cell>
        </row>
        <row r="5250">
          <cell r="F5250">
            <v>8.4699999999999998E-2</v>
          </cell>
        </row>
        <row r="5251">
          <cell r="F5251">
            <v>8.0399999999999999E-2</v>
          </cell>
        </row>
        <row r="5252">
          <cell r="F5252">
            <v>8.1900000000000001E-2</v>
          </cell>
        </row>
        <row r="5253">
          <cell r="F5253">
            <v>8.1900000000000001E-2</v>
          </cell>
        </row>
        <row r="5254">
          <cell r="F5254">
            <v>8.1100000000000005E-2</v>
          </cell>
        </row>
        <row r="5255">
          <cell r="F5255">
            <v>8.3299999999999999E-2</v>
          </cell>
        </row>
        <row r="5256">
          <cell r="F5256">
            <v>9.1499999999999998E-2</v>
          </cell>
        </row>
        <row r="5257">
          <cell r="F5257">
            <v>0.1026</v>
          </cell>
        </row>
        <row r="5258">
          <cell r="F5258">
            <v>1.1928000000000001</v>
          </cell>
        </row>
        <row r="5259">
          <cell r="F5259">
            <v>1.2344999999999999</v>
          </cell>
        </row>
        <row r="5260">
          <cell r="F5260">
            <v>1.2607999999999999</v>
          </cell>
        </row>
        <row r="5261">
          <cell r="F5261">
            <v>1.3996</v>
          </cell>
        </row>
        <row r="5262">
          <cell r="F5262">
            <v>1.2498</v>
          </cell>
        </row>
        <row r="5263">
          <cell r="F5263">
            <v>1.2337</v>
          </cell>
        </row>
        <row r="5264">
          <cell r="F5264">
            <v>8.7499999999999994E-2</v>
          </cell>
        </row>
        <row r="5265">
          <cell r="F5265">
            <v>9.0399999999999994E-2</v>
          </cell>
        </row>
        <row r="5266">
          <cell r="F5266">
            <v>8.3900000000000002E-2</v>
          </cell>
        </row>
        <row r="5267">
          <cell r="F5267">
            <v>9.4600000000000004E-2</v>
          </cell>
        </row>
        <row r="5268">
          <cell r="F5268">
            <v>9.4600000000000004E-2</v>
          </cell>
        </row>
        <row r="5269">
          <cell r="F5269">
            <v>9.4600000000000004E-2</v>
          </cell>
        </row>
        <row r="5270">
          <cell r="F5270">
            <v>9.4600000000000004E-2</v>
          </cell>
        </row>
        <row r="5271">
          <cell r="F5271">
            <v>9.3399999999999997E-2</v>
          </cell>
        </row>
        <row r="5272">
          <cell r="F5272">
            <v>7.7499999999999999E-2</v>
          </cell>
        </row>
        <row r="5273">
          <cell r="F5273">
            <v>6.9000000000000006E-2</v>
          </cell>
        </row>
        <row r="5274">
          <cell r="F5274">
            <v>6.9099999999999995E-2</v>
          </cell>
        </row>
        <row r="5275">
          <cell r="F5275">
            <v>6.83E-2</v>
          </cell>
        </row>
        <row r="5276">
          <cell r="F5276">
            <v>6.8400000000000002E-2</v>
          </cell>
        </row>
        <row r="5277">
          <cell r="F5277">
            <v>6.8400000000000002E-2</v>
          </cell>
        </row>
        <row r="5278">
          <cell r="F5278">
            <v>6.2600000000000003E-2</v>
          </cell>
        </row>
        <row r="5279">
          <cell r="F5279">
            <v>6.3399999999999998E-2</v>
          </cell>
        </row>
        <row r="5280">
          <cell r="F5280">
            <v>7.5899999999999995E-2</v>
          </cell>
        </row>
        <row r="5281">
          <cell r="F5281">
            <v>9.7100000000000006E-2</v>
          </cell>
        </row>
        <row r="5282">
          <cell r="F5282">
            <v>1.1971000000000001</v>
          </cell>
        </row>
        <row r="5283">
          <cell r="F5283">
            <v>1.2274</v>
          </cell>
        </row>
        <row r="5284">
          <cell r="F5284">
            <v>1.2546999999999999</v>
          </cell>
        </row>
        <row r="5285">
          <cell r="F5285">
            <v>1.3747</v>
          </cell>
        </row>
        <row r="5286">
          <cell r="F5286">
            <v>1.2508999999999999</v>
          </cell>
        </row>
        <row r="5287">
          <cell r="F5287">
            <v>1.2390000000000001</v>
          </cell>
        </row>
        <row r="5288">
          <cell r="F5288">
            <v>9.6799999999999997E-2</v>
          </cell>
        </row>
        <row r="5289">
          <cell r="F5289">
            <v>8.9399999999999993E-2</v>
          </cell>
        </row>
        <row r="5290">
          <cell r="F5290">
            <v>8.8700000000000001E-2</v>
          </cell>
        </row>
        <row r="5291">
          <cell r="F5291">
            <v>8.4400000000000003E-2</v>
          </cell>
        </row>
        <row r="5292">
          <cell r="F5292">
            <v>8.7900000000000006E-2</v>
          </cell>
        </row>
        <row r="5293">
          <cell r="F5293">
            <v>8.7900000000000006E-2</v>
          </cell>
        </row>
        <row r="5294">
          <cell r="F5294">
            <v>9.3200000000000005E-2</v>
          </cell>
        </row>
        <row r="5295">
          <cell r="F5295">
            <v>8.6999999999999994E-2</v>
          </cell>
        </row>
        <row r="5296">
          <cell r="F5296">
            <v>6.83E-2</v>
          </cell>
        </row>
        <row r="5297">
          <cell r="F5297">
            <v>6.6100000000000006E-2</v>
          </cell>
        </row>
        <row r="5298">
          <cell r="F5298">
            <v>6.54E-2</v>
          </cell>
        </row>
        <row r="5299">
          <cell r="F5299">
            <v>6.5500000000000003E-2</v>
          </cell>
        </row>
        <row r="5300">
          <cell r="F5300">
            <v>6.4799999999999996E-2</v>
          </cell>
        </row>
        <row r="5301">
          <cell r="F5301">
            <v>6.4100000000000004E-2</v>
          </cell>
        </row>
        <row r="5302">
          <cell r="F5302">
            <v>5.8400000000000001E-2</v>
          </cell>
        </row>
        <row r="5303">
          <cell r="F5303">
            <v>5.9200000000000003E-2</v>
          </cell>
        </row>
        <row r="5304">
          <cell r="F5304">
            <v>6.3899999999999998E-2</v>
          </cell>
        </row>
        <row r="5305">
          <cell r="F5305">
            <v>8.0799999999999997E-2</v>
          </cell>
        </row>
        <row r="5306">
          <cell r="F5306">
            <v>1.1695</v>
          </cell>
        </row>
        <row r="5307">
          <cell r="F5307">
            <v>1.2141</v>
          </cell>
        </row>
        <row r="5308">
          <cell r="F5308">
            <v>1.2555000000000001</v>
          </cell>
        </row>
        <row r="5309">
          <cell r="F5309">
            <v>1.3615999999999999</v>
          </cell>
        </row>
        <row r="5310">
          <cell r="F5310">
            <v>1.2425999999999999</v>
          </cell>
        </row>
        <row r="5311">
          <cell r="F5311">
            <v>1.2361</v>
          </cell>
        </row>
        <row r="5312">
          <cell r="F5312">
            <v>9.3700000000000006E-2</v>
          </cell>
        </row>
        <row r="5313">
          <cell r="F5313">
            <v>9.0200000000000002E-2</v>
          </cell>
        </row>
        <row r="5314">
          <cell r="F5314">
            <v>9.0899999999999995E-2</v>
          </cell>
        </row>
        <row r="5315">
          <cell r="F5315">
            <v>9.8199999999999996E-2</v>
          </cell>
        </row>
        <row r="5316">
          <cell r="F5316">
            <v>9.11E-2</v>
          </cell>
        </row>
        <row r="5317">
          <cell r="F5317">
            <v>8.9599999999999999E-2</v>
          </cell>
        </row>
        <row r="5318">
          <cell r="F5318">
            <v>9.3200000000000005E-2</v>
          </cell>
        </row>
        <row r="5319">
          <cell r="F5319">
            <v>8.9800000000000005E-2</v>
          </cell>
        </row>
        <row r="5320">
          <cell r="F5320">
            <v>6.59E-2</v>
          </cell>
        </row>
        <row r="5321">
          <cell r="F5321">
            <v>5.8799999999999998E-2</v>
          </cell>
        </row>
        <row r="5322">
          <cell r="F5322">
            <v>5.8099999999999999E-2</v>
          </cell>
        </row>
        <row r="5323">
          <cell r="F5323">
            <v>5.8099999999999999E-2</v>
          </cell>
        </row>
        <row r="5324">
          <cell r="F5324">
            <v>5.8099999999999999E-2</v>
          </cell>
        </row>
        <row r="5325">
          <cell r="F5325">
            <v>5.7500000000000002E-2</v>
          </cell>
        </row>
        <row r="5326">
          <cell r="F5326">
            <v>5.96E-2</v>
          </cell>
        </row>
        <row r="5327">
          <cell r="F5327">
            <v>6.0400000000000002E-2</v>
          </cell>
        </row>
        <row r="5328">
          <cell r="F5328">
            <v>6.0900000000000003E-2</v>
          </cell>
        </row>
        <row r="5329">
          <cell r="F5329">
            <v>7.4200000000000002E-2</v>
          </cell>
        </row>
        <row r="5330">
          <cell r="F5330">
            <v>1.1658999999999999</v>
          </cell>
        </row>
        <row r="5331">
          <cell r="F5331">
            <v>1.2202</v>
          </cell>
        </row>
        <row r="5332">
          <cell r="F5332">
            <v>1.2556</v>
          </cell>
        </row>
        <row r="5333">
          <cell r="F5333">
            <v>1.3567</v>
          </cell>
        </row>
        <row r="5334">
          <cell r="F5334">
            <v>1.2322</v>
          </cell>
        </row>
        <row r="5335">
          <cell r="F5335">
            <v>1.2264999999999999</v>
          </cell>
        </row>
        <row r="5336">
          <cell r="F5336">
            <v>8.3199999999999996E-2</v>
          </cell>
        </row>
        <row r="5337">
          <cell r="F5337">
            <v>8.0399999999999999E-2</v>
          </cell>
        </row>
        <row r="5338">
          <cell r="F5338">
            <v>7.6799999999999993E-2</v>
          </cell>
        </row>
        <row r="5339">
          <cell r="F5339">
            <v>8.43E-2</v>
          </cell>
        </row>
        <row r="5340">
          <cell r="F5340">
            <v>8.0699999999999994E-2</v>
          </cell>
        </row>
        <row r="5341">
          <cell r="F5341">
            <v>8.8900000000000007E-2</v>
          </cell>
        </row>
        <row r="5342">
          <cell r="F5342">
            <v>8.8200000000000001E-2</v>
          </cell>
        </row>
        <row r="5343">
          <cell r="F5343">
            <v>7.3899999999999993E-2</v>
          </cell>
        </row>
        <row r="5344">
          <cell r="F5344">
            <v>5.9700000000000003E-2</v>
          </cell>
        </row>
        <row r="5345">
          <cell r="F5345">
            <v>4.6899999999999997E-2</v>
          </cell>
        </row>
        <row r="5346">
          <cell r="F5346">
            <v>4.6199999999999998E-2</v>
          </cell>
        </row>
        <row r="5347">
          <cell r="F5347">
            <v>4.48E-2</v>
          </cell>
        </row>
        <row r="5348">
          <cell r="F5348">
            <v>4.3299999999999998E-2</v>
          </cell>
        </row>
        <row r="5349">
          <cell r="F5349">
            <v>2.3400000000000001E-2</v>
          </cell>
        </row>
        <row r="5350">
          <cell r="F5350">
            <v>4.1200000000000001E-2</v>
          </cell>
        </row>
        <row r="5351">
          <cell r="F5351">
            <v>4.0500000000000001E-2</v>
          </cell>
        </row>
        <row r="5352">
          <cell r="F5352">
            <v>4.0500000000000001E-2</v>
          </cell>
        </row>
        <row r="5353">
          <cell r="F5353">
            <v>4.4900000000000002E-2</v>
          </cell>
        </row>
        <row r="5354">
          <cell r="F5354">
            <v>6.0199999999999997E-2</v>
          </cell>
        </row>
        <row r="5355">
          <cell r="F5355">
            <v>0.10349999999999999</v>
          </cell>
        </row>
        <row r="5356">
          <cell r="F5356">
            <v>9.3899999999999997E-2</v>
          </cell>
        </row>
        <row r="5357">
          <cell r="F5357">
            <v>9.2700000000000005E-2</v>
          </cell>
        </row>
        <row r="5358">
          <cell r="F5358">
            <v>7.8600000000000003E-2</v>
          </cell>
        </row>
        <row r="5359">
          <cell r="F5359">
            <v>7.8299999999999995E-2</v>
          </cell>
        </row>
        <row r="5360">
          <cell r="F5360">
            <v>8.5400000000000004E-2</v>
          </cell>
        </row>
        <row r="5361">
          <cell r="F5361">
            <v>9.2499999999999999E-2</v>
          </cell>
        </row>
        <row r="5362">
          <cell r="F5362">
            <v>9.3899999999999997E-2</v>
          </cell>
        </row>
        <row r="5363">
          <cell r="F5363">
            <v>8.8200000000000001E-2</v>
          </cell>
        </row>
        <row r="5364">
          <cell r="F5364">
            <v>7.0400000000000004E-2</v>
          </cell>
        </row>
        <row r="5365">
          <cell r="F5365">
            <v>6.54E-2</v>
          </cell>
        </row>
        <row r="5366">
          <cell r="F5366">
            <v>6.6100000000000006E-2</v>
          </cell>
        </row>
        <row r="5367">
          <cell r="F5367">
            <v>6.2700000000000006E-2</v>
          </cell>
        </row>
        <row r="5368">
          <cell r="F5368">
            <v>5.3999999999999999E-2</v>
          </cell>
        </row>
        <row r="5369">
          <cell r="F5369">
            <v>1.9800000000000002E-2</v>
          </cell>
        </row>
        <row r="5370">
          <cell r="F5370">
            <v>1.7000000000000001E-2</v>
          </cell>
        </row>
        <row r="5371">
          <cell r="F5371">
            <v>1.77E-2</v>
          </cell>
        </row>
        <row r="5372">
          <cell r="F5372">
            <v>3.2000000000000001E-2</v>
          </cell>
        </row>
        <row r="5373">
          <cell r="F5373">
            <v>2.5499999999999998E-2</v>
          </cell>
        </row>
        <row r="5374">
          <cell r="F5374">
            <v>4.8399999999999999E-2</v>
          </cell>
        </row>
        <row r="5375">
          <cell r="F5375">
            <v>2.7099999999999999E-2</v>
          </cell>
        </row>
        <row r="5376">
          <cell r="F5376">
            <v>2.8299999999999999E-2</v>
          </cell>
        </row>
        <row r="5377">
          <cell r="F5377">
            <v>6.4699999999999994E-2</v>
          </cell>
        </row>
        <row r="5378">
          <cell r="F5378">
            <v>1.1577999999999999</v>
          </cell>
        </row>
        <row r="5379">
          <cell r="F5379">
            <v>1.2313000000000001</v>
          </cell>
        </row>
        <row r="5380">
          <cell r="F5380">
            <v>1.2622</v>
          </cell>
        </row>
        <row r="5381">
          <cell r="F5381">
            <v>1.3632</v>
          </cell>
        </row>
        <row r="5382">
          <cell r="F5382">
            <v>1.2426999999999999</v>
          </cell>
        </row>
        <row r="5383">
          <cell r="F5383">
            <v>1.2299</v>
          </cell>
        </row>
        <row r="5384">
          <cell r="F5384">
            <v>8.1799999999999998E-2</v>
          </cell>
        </row>
        <row r="5385">
          <cell r="F5385">
            <v>9.8199999999999996E-2</v>
          </cell>
        </row>
        <row r="5386">
          <cell r="F5386">
            <v>9.5299999999999996E-2</v>
          </cell>
        </row>
        <row r="5387">
          <cell r="F5387">
            <v>8.4599999999999995E-2</v>
          </cell>
        </row>
        <row r="5388">
          <cell r="F5388">
            <v>8.1799999999999998E-2</v>
          </cell>
        </row>
        <row r="5389">
          <cell r="F5389">
            <v>7.9600000000000004E-2</v>
          </cell>
        </row>
        <row r="5390">
          <cell r="F5390">
            <v>8.3900000000000002E-2</v>
          </cell>
        </row>
        <row r="5391">
          <cell r="F5391">
            <v>8.8400000000000006E-2</v>
          </cell>
        </row>
        <row r="5392">
          <cell r="F5392">
            <v>7.7499999999999999E-2</v>
          </cell>
        </row>
        <row r="5393">
          <cell r="F5393">
            <v>6.83E-2</v>
          </cell>
        </row>
        <row r="5394">
          <cell r="F5394">
            <v>6.54E-2</v>
          </cell>
        </row>
        <row r="5395">
          <cell r="F5395">
            <v>6.6900000000000001E-2</v>
          </cell>
        </row>
        <row r="5396">
          <cell r="F5396">
            <v>6.6199999999999995E-2</v>
          </cell>
        </row>
        <row r="5397">
          <cell r="F5397">
            <v>7.2599999999999998E-2</v>
          </cell>
        </row>
        <row r="5398">
          <cell r="F5398">
            <v>7.3400000000000007E-2</v>
          </cell>
        </row>
        <row r="5399">
          <cell r="F5399">
            <v>7.4499999999999997E-2</v>
          </cell>
        </row>
        <row r="5400">
          <cell r="F5400">
            <v>7.6799999999999993E-2</v>
          </cell>
        </row>
        <row r="5401">
          <cell r="F5401">
            <v>9.1300000000000006E-2</v>
          </cell>
        </row>
        <row r="5402">
          <cell r="F5402">
            <v>1.1977</v>
          </cell>
        </row>
        <row r="5403">
          <cell r="F5403">
            <v>1.2362</v>
          </cell>
        </row>
        <row r="5404">
          <cell r="F5404">
            <v>1.2770999999999999</v>
          </cell>
        </row>
        <row r="5405">
          <cell r="F5405">
            <v>1.3829</v>
          </cell>
        </row>
        <row r="5406">
          <cell r="F5406">
            <v>1.2487999999999999</v>
          </cell>
        </row>
        <row r="5407">
          <cell r="F5407">
            <v>1.2436</v>
          </cell>
        </row>
        <row r="5408">
          <cell r="F5408">
            <v>0.10539999999999999</v>
          </cell>
        </row>
        <row r="5409">
          <cell r="F5409">
            <v>9.7500000000000003E-2</v>
          </cell>
        </row>
        <row r="5410">
          <cell r="F5410">
            <v>9.6799999999999997E-2</v>
          </cell>
        </row>
        <row r="5411">
          <cell r="F5411">
            <v>9.5299999999999996E-2</v>
          </cell>
        </row>
        <row r="5412">
          <cell r="F5412">
            <v>8.3900000000000002E-2</v>
          </cell>
        </row>
        <row r="5413">
          <cell r="F5413">
            <v>8.3199999999999996E-2</v>
          </cell>
        </row>
        <row r="5414">
          <cell r="F5414">
            <v>8.7599999999999997E-2</v>
          </cell>
        </row>
        <row r="5415">
          <cell r="F5415">
            <v>7.6999999999999999E-2</v>
          </cell>
        </row>
        <row r="5416">
          <cell r="F5416">
            <v>7.2599999999999998E-2</v>
          </cell>
        </row>
        <row r="5417">
          <cell r="F5417">
            <v>6.9800000000000001E-2</v>
          </cell>
        </row>
        <row r="5418">
          <cell r="F5418">
            <v>6.9000000000000006E-2</v>
          </cell>
        </row>
        <row r="5419">
          <cell r="F5419">
            <v>7.1900000000000006E-2</v>
          </cell>
        </row>
        <row r="5420">
          <cell r="F5420">
            <v>7.1199999999999999E-2</v>
          </cell>
        </row>
        <row r="5421">
          <cell r="F5421">
            <v>7.8399999999999997E-2</v>
          </cell>
        </row>
        <row r="5422">
          <cell r="F5422">
            <v>7.8299999999999995E-2</v>
          </cell>
        </row>
        <row r="5423">
          <cell r="F5423">
            <v>7.0599999999999996E-2</v>
          </cell>
        </row>
        <row r="5424">
          <cell r="F5424">
            <v>7.3800000000000004E-2</v>
          </cell>
        </row>
        <row r="5425">
          <cell r="F5425">
            <v>9.5600000000000004E-2</v>
          </cell>
        </row>
        <row r="5426">
          <cell r="F5426">
            <v>1.2020999999999999</v>
          </cell>
        </row>
        <row r="5427">
          <cell r="F5427">
            <v>1.2375</v>
          </cell>
        </row>
        <row r="5428">
          <cell r="F5428">
            <v>1.2594000000000001</v>
          </cell>
        </row>
        <row r="5429">
          <cell r="F5429">
            <v>1.3887</v>
          </cell>
        </row>
        <row r="5430">
          <cell r="F5430">
            <v>1.2492000000000001</v>
          </cell>
        </row>
        <row r="5431">
          <cell r="F5431">
            <v>1.2433000000000001</v>
          </cell>
        </row>
        <row r="5432">
          <cell r="F5432">
            <v>0.10249999999999999</v>
          </cell>
        </row>
        <row r="5433">
          <cell r="F5433">
            <v>0.1046</v>
          </cell>
        </row>
        <row r="5434">
          <cell r="F5434">
            <v>9.8199999999999996E-2</v>
          </cell>
        </row>
        <row r="5435">
          <cell r="F5435">
            <v>8.7499999999999994E-2</v>
          </cell>
        </row>
        <row r="5436">
          <cell r="F5436">
            <v>8.6800000000000002E-2</v>
          </cell>
        </row>
        <row r="5437">
          <cell r="F5437">
            <v>8.6800000000000002E-2</v>
          </cell>
        </row>
        <row r="5438">
          <cell r="F5438">
            <v>8.8200000000000001E-2</v>
          </cell>
        </row>
        <row r="5439">
          <cell r="F5439">
            <v>8.9700000000000002E-2</v>
          </cell>
        </row>
        <row r="5440">
          <cell r="F5440">
            <v>7.8200000000000006E-2</v>
          </cell>
        </row>
        <row r="5441">
          <cell r="F5441">
            <v>6.9599999999999995E-2</v>
          </cell>
        </row>
        <row r="5442">
          <cell r="F5442">
            <v>6.6900000000000001E-2</v>
          </cell>
        </row>
        <row r="5443">
          <cell r="F5443">
            <v>6.7100000000000007E-2</v>
          </cell>
        </row>
        <row r="5444">
          <cell r="F5444">
            <v>6.6400000000000001E-2</v>
          </cell>
        </row>
        <row r="5445">
          <cell r="F5445">
            <v>6.5799999999999997E-2</v>
          </cell>
        </row>
        <row r="5446">
          <cell r="F5446">
            <v>6.59E-2</v>
          </cell>
        </row>
        <row r="5447">
          <cell r="F5447">
            <v>6.8599999999999994E-2</v>
          </cell>
        </row>
        <row r="5448">
          <cell r="F5448">
            <v>7.1099999999999997E-2</v>
          </cell>
        </row>
        <row r="5449">
          <cell r="F5449">
            <v>0.1016</v>
          </cell>
        </row>
        <row r="5450">
          <cell r="F5450">
            <v>1.2022999999999999</v>
          </cell>
        </row>
        <row r="5451">
          <cell r="F5451">
            <v>1.2465999999999999</v>
          </cell>
        </row>
        <row r="5452">
          <cell r="F5452">
            <v>1.2938000000000001</v>
          </cell>
        </row>
        <row r="5453">
          <cell r="F5453">
            <v>1.4589000000000001</v>
          </cell>
        </row>
        <row r="5454">
          <cell r="F5454">
            <v>1.2568999999999999</v>
          </cell>
        </row>
        <row r="5455">
          <cell r="F5455">
            <v>1.2399</v>
          </cell>
        </row>
        <row r="5456">
          <cell r="F5456">
            <v>9.3299999999999994E-2</v>
          </cell>
        </row>
        <row r="5457">
          <cell r="F5457">
            <v>8.6699999999999999E-2</v>
          </cell>
        </row>
        <row r="5458">
          <cell r="F5458">
            <v>9.5299999999999996E-2</v>
          </cell>
        </row>
        <row r="5459">
          <cell r="F5459">
            <v>9.5299999999999996E-2</v>
          </cell>
        </row>
        <row r="5460">
          <cell r="F5460">
            <v>9.0899999999999995E-2</v>
          </cell>
        </row>
        <row r="5461">
          <cell r="F5461">
            <v>9.0899999999999995E-2</v>
          </cell>
        </row>
        <row r="5462">
          <cell r="F5462">
            <v>9.5299999999999996E-2</v>
          </cell>
        </row>
        <row r="5463">
          <cell r="F5463">
            <v>9.4100000000000003E-2</v>
          </cell>
        </row>
        <row r="5464">
          <cell r="F5464">
            <v>6.83E-2</v>
          </cell>
        </row>
        <row r="5465">
          <cell r="F5465">
            <v>6.8500000000000005E-2</v>
          </cell>
        </row>
        <row r="5466">
          <cell r="F5466">
            <v>6.7799999999999999E-2</v>
          </cell>
        </row>
        <row r="5467">
          <cell r="F5467">
            <v>6.7799999999999999E-2</v>
          </cell>
        </row>
        <row r="5468">
          <cell r="F5468">
            <v>6.7900000000000002E-2</v>
          </cell>
        </row>
        <row r="5469">
          <cell r="F5469">
            <v>7.4300000000000005E-2</v>
          </cell>
        </row>
        <row r="5470">
          <cell r="F5470">
            <v>7.4999999999999997E-2</v>
          </cell>
        </row>
        <row r="5471">
          <cell r="F5471">
            <v>7.5800000000000006E-2</v>
          </cell>
        </row>
        <row r="5472">
          <cell r="F5472">
            <v>8.14E-2</v>
          </cell>
        </row>
        <row r="5473">
          <cell r="F5473">
            <v>9.5200000000000007E-2</v>
          </cell>
        </row>
        <row r="5474">
          <cell r="F5474">
            <v>1.1987000000000001</v>
          </cell>
        </row>
        <row r="5475">
          <cell r="F5475">
            <v>3.0522</v>
          </cell>
        </row>
        <row r="5476">
          <cell r="F5476">
            <v>3.0859999999999999</v>
          </cell>
        </row>
        <row r="5477">
          <cell r="F5477">
            <v>1.4225000000000001</v>
          </cell>
        </row>
        <row r="5478">
          <cell r="F5478">
            <v>1.2553000000000001</v>
          </cell>
        </row>
        <row r="5479">
          <cell r="F5479">
            <v>1.2395</v>
          </cell>
        </row>
        <row r="5480">
          <cell r="F5480">
            <v>9.6799999999999997E-2</v>
          </cell>
        </row>
        <row r="5481">
          <cell r="F5481">
            <v>9.3899999999999997E-2</v>
          </cell>
        </row>
        <row r="5482">
          <cell r="F5482">
            <v>8.7499999999999994E-2</v>
          </cell>
        </row>
        <row r="5483">
          <cell r="F5483">
            <v>8.6199999999999999E-2</v>
          </cell>
        </row>
        <row r="5484">
          <cell r="F5484">
            <v>8.6199999999999999E-2</v>
          </cell>
        </row>
        <row r="5485">
          <cell r="F5485">
            <v>8.5500000000000007E-2</v>
          </cell>
        </row>
        <row r="5486">
          <cell r="F5486">
            <v>8.48E-2</v>
          </cell>
        </row>
        <row r="5487">
          <cell r="F5487">
            <v>8.6300000000000002E-2</v>
          </cell>
        </row>
        <row r="5488">
          <cell r="F5488">
            <v>6.9000000000000006E-2</v>
          </cell>
        </row>
        <row r="5489">
          <cell r="F5489">
            <v>5.9799999999999999E-2</v>
          </cell>
        </row>
        <row r="5490">
          <cell r="F5490">
            <v>5.9799999999999999E-2</v>
          </cell>
        </row>
        <row r="5491">
          <cell r="F5491">
            <v>5.9900000000000002E-2</v>
          </cell>
        </row>
        <row r="5492">
          <cell r="F5492">
            <v>6.0699999999999997E-2</v>
          </cell>
        </row>
        <row r="5493">
          <cell r="F5493">
            <v>6.08E-2</v>
          </cell>
        </row>
        <row r="5494">
          <cell r="F5494">
            <v>6.0900000000000003E-2</v>
          </cell>
        </row>
        <row r="5495">
          <cell r="F5495">
            <v>6.0499999999999998E-2</v>
          </cell>
        </row>
        <row r="5496">
          <cell r="F5496">
            <v>6.3399999999999998E-2</v>
          </cell>
        </row>
        <row r="5497">
          <cell r="F5497">
            <v>1.9098999999999999</v>
          </cell>
        </row>
        <row r="5498">
          <cell r="F5498">
            <v>3.08</v>
          </cell>
        </row>
        <row r="5499">
          <cell r="F5499">
            <v>3.1602000000000001</v>
          </cell>
        </row>
        <row r="5500">
          <cell r="F5500">
            <v>3.1181000000000001</v>
          </cell>
        </row>
        <row r="5501">
          <cell r="F5501">
            <v>3.1918000000000002</v>
          </cell>
        </row>
        <row r="5502">
          <cell r="F5502">
            <v>1.2419</v>
          </cell>
        </row>
        <row r="5503">
          <cell r="F5503">
            <v>1.2341</v>
          </cell>
        </row>
        <row r="5504">
          <cell r="F5504">
            <v>8.3299999999999999E-2</v>
          </cell>
        </row>
        <row r="5505">
          <cell r="F5505">
            <v>8.0399999999999999E-2</v>
          </cell>
        </row>
        <row r="5506">
          <cell r="F5506">
            <v>7.9699999999999993E-2</v>
          </cell>
        </row>
        <row r="5507">
          <cell r="F5507">
            <v>8.6800000000000002E-2</v>
          </cell>
        </row>
        <row r="5508">
          <cell r="F5508">
            <v>9.3899999999999997E-2</v>
          </cell>
        </row>
        <row r="5509">
          <cell r="F5509">
            <v>9.3899999999999997E-2</v>
          </cell>
        </row>
        <row r="5510">
          <cell r="F5510">
            <v>9.3899999999999997E-2</v>
          </cell>
        </row>
        <row r="5511">
          <cell r="F5511">
            <v>8.48E-2</v>
          </cell>
        </row>
        <row r="5512">
          <cell r="F5512">
            <v>6.0400000000000002E-2</v>
          </cell>
        </row>
        <row r="5513">
          <cell r="F5513">
            <v>4.6899999999999997E-2</v>
          </cell>
        </row>
        <row r="5514">
          <cell r="F5514">
            <v>4.6300000000000001E-2</v>
          </cell>
        </row>
        <row r="5515">
          <cell r="F5515">
            <v>4.6399999999999997E-2</v>
          </cell>
        </row>
        <row r="5516">
          <cell r="F5516">
            <v>4.7300000000000002E-2</v>
          </cell>
        </row>
        <row r="5517">
          <cell r="F5517">
            <v>4.82E-2</v>
          </cell>
        </row>
        <row r="5518">
          <cell r="F5518">
            <v>4.7699999999999999E-2</v>
          </cell>
        </row>
        <row r="5519">
          <cell r="F5519">
            <v>4.8000000000000001E-2</v>
          </cell>
        </row>
        <row r="5520">
          <cell r="F5520">
            <v>4.7100000000000003E-2</v>
          </cell>
        </row>
        <row r="5521">
          <cell r="F5521">
            <v>6.4000000000000001E-2</v>
          </cell>
        </row>
        <row r="5522">
          <cell r="F5522">
            <v>1.1597999999999999</v>
          </cell>
        </row>
        <row r="5523">
          <cell r="F5523">
            <v>1.2249000000000001</v>
          </cell>
        </row>
        <row r="5524">
          <cell r="F5524">
            <v>3.0579000000000001</v>
          </cell>
        </row>
        <row r="5525">
          <cell r="F5525">
            <v>1.3633999999999999</v>
          </cell>
        </row>
        <row r="5526">
          <cell r="F5526">
            <v>1.2484</v>
          </cell>
        </row>
        <row r="5527">
          <cell r="F5527">
            <v>1.2406999999999999</v>
          </cell>
        </row>
        <row r="5528">
          <cell r="F5528">
            <v>9.9000000000000005E-2</v>
          </cell>
        </row>
        <row r="5529">
          <cell r="F5529">
            <v>8.6099999999999996E-2</v>
          </cell>
        </row>
        <row r="5530">
          <cell r="F5530">
            <v>8.5400000000000004E-2</v>
          </cell>
        </row>
        <row r="5531">
          <cell r="F5531">
            <v>7.8399999999999997E-2</v>
          </cell>
        </row>
        <row r="5532">
          <cell r="F5532">
            <v>7.7700000000000005E-2</v>
          </cell>
        </row>
        <row r="5533">
          <cell r="F5533">
            <v>8.2699999999999996E-2</v>
          </cell>
        </row>
        <row r="5534">
          <cell r="F5534">
            <v>8.1199999999999994E-2</v>
          </cell>
        </row>
        <row r="5535">
          <cell r="F5535">
            <v>7.6300000000000007E-2</v>
          </cell>
        </row>
        <row r="5536">
          <cell r="F5536">
            <v>6.8400000000000002E-2</v>
          </cell>
        </row>
        <row r="5537">
          <cell r="F5537">
            <v>1.8499999999999999E-2</v>
          </cell>
        </row>
        <row r="5538">
          <cell r="F5538">
            <v>1.8599999999999998E-2</v>
          </cell>
        </row>
        <row r="5539">
          <cell r="F5539">
            <v>1.8599999999999998E-2</v>
          </cell>
        </row>
        <row r="5540">
          <cell r="F5540">
            <v>3.5999999999999999E-3</v>
          </cell>
        </row>
        <row r="5541">
          <cell r="F5541">
            <v>3.5999999999999999E-3</v>
          </cell>
        </row>
        <row r="5542">
          <cell r="F5542">
            <v>3.5999999999999999E-3</v>
          </cell>
        </row>
        <row r="5543">
          <cell r="F5543">
            <v>3.5999999999999999E-3</v>
          </cell>
        </row>
        <row r="5544">
          <cell r="F5544">
            <v>2.3E-3</v>
          </cell>
        </row>
        <row r="5545">
          <cell r="F5545">
            <v>4.0000000000000002E-4</v>
          </cell>
        </row>
        <row r="5546">
          <cell r="F5546">
            <v>4.9299999999999997E-2</v>
          </cell>
        </row>
        <row r="5547">
          <cell r="F5547">
            <v>9.4700000000000006E-2</v>
          </cell>
        </row>
        <row r="5548">
          <cell r="F5548">
            <v>9.5600000000000004E-2</v>
          </cell>
        </row>
        <row r="5549">
          <cell r="F5549">
            <v>9.2799999999999994E-2</v>
          </cell>
        </row>
        <row r="5550">
          <cell r="F5550">
            <v>8.4500000000000006E-2</v>
          </cell>
        </row>
        <row r="5551">
          <cell r="F5551">
            <v>8.4900000000000003E-2</v>
          </cell>
        </row>
        <row r="5552">
          <cell r="F5552">
            <v>8.5500000000000007E-2</v>
          </cell>
        </row>
        <row r="5553">
          <cell r="F5553">
            <v>8.2699999999999996E-2</v>
          </cell>
        </row>
        <row r="5554">
          <cell r="F5554">
            <v>8.2699999999999996E-2</v>
          </cell>
        </row>
        <row r="5555">
          <cell r="F5555">
            <v>8.3400000000000002E-2</v>
          </cell>
        </row>
        <row r="5556">
          <cell r="F5556">
            <v>7.8399999999999997E-2</v>
          </cell>
        </row>
        <row r="5557">
          <cell r="F5557">
            <v>7.9799999999999996E-2</v>
          </cell>
        </row>
        <row r="5558">
          <cell r="F5558">
            <v>7.6300000000000007E-2</v>
          </cell>
        </row>
        <row r="5559">
          <cell r="F5559">
            <v>7.4800000000000005E-2</v>
          </cell>
        </row>
        <row r="5560">
          <cell r="F5560">
            <v>6.9900000000000004E-2</v>
          </cell>
        </row>
        <row r="5561">
          <cell r="F5561">
            <v>6.6299999999999998E-2</v>
          </cell>
        </row>
        <row r="5562">
          <cell r="F5562">
            <v>6.1400000000000003E-2</v>
          </cell>
        </row>
        <row r="5563">
          <cell r="F5563">
            <v>6.3500000000000001E-2</v>
          </cell>
        </row>
        <row r="5564">
          <cell r="F5564">
            <v>5.9299999999999999E-2</v>
          </cell>
        </row>
        <row r="5565">
          <cell r="F5565">
            <v>6.1400000000000003E-2</v>
          </cell>
        </row>
        <row r="5566">
          <cell r="F5566">
            <v>5.9200000000000003E-2</v>
          </cell>
        </row>
        <row r="5567">
          <cell r="F5567">
            <v>5.9299999999999999E-2</v>
          </cell>
        </row>
        <row r="5568">
          <cell r="F5568">
            <v>6.0100000000000001E-2</v>
          </cell>
        </row>
        <row r="5569">
          <cell r="F5569">
            <v>6.1899999999999997E-2</v>
          </cell>
        </row>
        <row r="5570">
          <cell r="F5570">
            <v>6.6299999999999998E-2</v>
          </cell>
        </row>
        <row r="5571">
          <cell r="F5571">
            <v>9.4899999999999998E-2</v>
          </cell>
        </row>
        <row r="5572">
          <cell r="F5572">
            <v>9.3100000000000002E-2</v>
          </cell>
        </row>
        <row r="5573">
          <cell r="F5573">
            <v>8.7499999999999994E-2</v>
          </cell>
        </row>
        <row r="5574">
          <cell r="F5574">
            <v>8.5599999999999996E-2</v>
          </cell>
        </row>
        <row r="5575">
          <cell r="F5575">
            <v>8.4699999999999998E-2</v>
          </cell>
        </row>
        <row r="5576">
          <cell r="F5576">
            <v>8.4900000000000003E-2</v>
          </cell>
        </row>
        <row r="5577">
          <cell r="F5577">
            <v>7.9000000000000001E-2</v>
          </cell>
        </row>
        <row r="5578">
          <cell r="F5578">
            <v>9.0399999999999994E-2</v>
          </cell>
        </row>
        <row r="5579">
          <cell r="F5579">
            <v>8.6800000000000002E-2</v>
          </cell>
        </row>
        <row r="5580">
          <cell r="F5580">
            <v>8.3299999999999999E-2</v>
          </cell>
        </row>
        <row r="5581">
          <cell r="F5581">
            <v>8.1100000000000005E-2</v>
          </cell>
        </row>
        <row r="5582">
          <cell r="F5582">
            <v>8.5400000000000004E-2</v>
          </cell>
        </row>
        <row r="5583">
          <cell r="F5583">
            <v>6.83E-2</v>
          </cell>
        </row>
        <row r="5584">
          <cell r="F5584">
            <v>6.83E-2</v>
          </cell>
        </row>
        <row r="5585">
          <cell r="F5585">
            <v>6.4699999999999994E-2</v>
          </cell>
        </row>
        <row r="5586">
          <cell r="F5586">
            <v>6.6199999999999995E-2</v>
          </cell>
        </row>
        <row r="5587">
          <cell r="F5587">
            <v>6.3399999999999998E-2</v>
          </cell>
        </row>
        <row r="5588">
          <cell r="F5588">
            <v>6.2E-2</v>
          </cell>
        </row>
        <row r="5589">
          <cell r="F5589">
            <v>6.13E-2</v>
          </cell>
        </row>
        <row r="5590">
          <cell r="F5590">
            <v>6.1199999999999997E-2</v>
          </cell>
        </row>
        <row r="5591">
          <cell r="F5591">
            <v>6.2700000000000006E-2</v>
          </cell>
        </row>
        <row r="5592">
          <cell r="F5592">
            <v>6.2700000000000006E-2</v>
          </cell>
        </row>
        <row r="5593">
          <cell r="F5593">
            <v>6.6299999999999998E-2</v>
          </cell>
        </row>
        <row r="5594">
          <cell r="F5594">
            <v>6.8400000000000002E-2</v>
          </cell>
        </row>
        <row r="5595">
          <cell r="F5595">
            <v>8.2000000000000003E-2</v>
          </cell>
        </row>
        <row r="5596">
          <cell r="F5596">
            <v>8.2699999999999996E-2</v>
          </cell>
        </row>
        <row r="5597">
          <cell r="F5597">
            <v>8.1199999999999994E-2</v>
          </cell>
        </row>
        <row r="5598">
          <cell r="F5598">
            <v>7.4099999999999999E-2</v>
          </cell>
        </row>
        <row r="5599">
          <cell r="F5599">
            <v>7.4099999999999999E-2</v>
          </cell>
        </row>
        <row r="5600">
          <cell r="F5600">
            <v>7.5399999999999995E-2</v>
          </cell>
        </row>
        <row r="5601">
          <cell r="F5601">
            <v>7.6799999999999993E-2</v>
          </cell>
        </row>
        <row r="5602">
          <cell r="F5602">
            <v>8.6800000000000002E-2</v>
          </cell>
        </row>
        <row r="5603">
          <cell r="F5603">
            <v>8.6800000000000002E-2</v>
          </cell>
        </row>
        <row r="5604">
          <cell r="F5604">
            <v>7.8200000000000006E-2</v>
          </cell>
        </row>
        <row r="5605">
          <cell r="F5605">
            <v>7.6799999999999993E-2</v>
          </cell>
        </row>
        <row r="5606">
          <cell r="F5606">
            <v>7.8899999999999998E-2</v>
          </cell>
        </row>
        <row r="5607">
          <cell r="F5607">
            <v>7.2499999999999995E-2</v>
          </cell>
        </row>
        <row r="5608">
          <cell r="F5608">
            <v>6.2600000000000003E-2</v>
          </cell>
        </row>
        <row r="5609">
          <cell r="F5609">
            <v>5.8999999999999997E-2</v>
          </cell>
        </row>
        <row r="5610">
          <cell r="F5610">
            <v>5.9799999999999999E-2</v>
          </cell>
        </row>
        <row r="5611">
          <cell r="F5611">
            <v>5.7700000000000001E-2</v>
          </cell>
        </row>
        <row r="5612">
          <cell r="F5612">
            <v>5.8500000000000003E-2</v>
          </cell>
        </row>
        <row r="5613">
          <cell r="F5613">
            <v>5.79E-2</v>
          </cell>
        </row>
        <row r="5614">
          <cell r="F5614">
            <v>5.8900000000000001E-2</v>
          </cell>
        </row>
        <row r="5615">
          <cell r="F5615">
            <v>5.9299999999999999E-2</v>
          </cell>
        </row>
        <row r="5616">
          <cell r="F5616">
            <v>6.1899999999999997E-2</v>
          </cell>
        </row>
        <row r="5617">
          <cell r="F5617">
            <v>6.1800000000000001E-2</v>
          </cell>
        </row>
        <row r="5618">
          <cell r="F5618">
            <v>7.2999999999999995E-2</v>
          </cell>
        </row>
        <row r="5619">
          <cell r="F5619">
            <v>0.1124</v>
          </cell>
        </row>
        <row r="5620">
          <cell r="F5620">
            <v>9.6699999999999994E-2</v>
          </cell>
        </row>
        <row r="5621">
          <cell r="F5621">
            <v>8.7499999999999994E-2</v>
          </cell>
        </row>
        <row r="5622">
          <cell r="F5622">
            <v>8.6699999999999999E-2</v>
          </cell>
        </row>
        <row r="5623">
          <cell r="F5623">
            <v>8.6300000000000002E-2</v>
          </cell>
        </row>
        <row r="5624">
          <cell r="F5624">
            <v>8.3400000000000002E-2</v>
          </cell>
        </row>
        <row r="5625">
          <cell r="F5625">
            <v>7.8899999999999998E-2</v>
          </cell>
        </row>
        <row r="5626">
          <cell r="F5626">
            <v>7.9699999999999993E-2</v>
          </cell>
        </row>
        <row r="5627">
          <cell r="F5627">
            <v>7.9699999999999993E-2</v>
          </cell>
        </row>
        <row r="5628">
          <cell r="F5628">
            <v>7.9699999999999993E-2</v>
          </cell>
        </row>
        <row r="5629">
          <cell r="F5629">
            <v>7.9699999999999993E-2</v>
          </cell>
        </row>
        <row r="5630">
          <cell r="F5630">
            <v>7.8200000000000006E-2</v>
          </cell>
        </row>
        <row r="5631">
          <cell r="F5631">
            <v>7.8200000000000006E-2</v>
          </cell>
        </row>
        <row r="5632">
          <cell r="F5632">
            <v>6.4699999999999994E-2</v>
          </cell>
        </row>
        <row r="5633">
          <cell r="F5633">
            <v>6.2700000000000006E-2</v>
          </cell>
        </row>
        <row r="5634">
          <cell r="F5634">
            <v>6.2E-2</v>
          </cell>
        </row>
        <row r="5635">
          <cell r="F5635">
            <v>6.13E-2</v>
          </cell>
        </row>
        <row r="5636">
          <cell r="F5636">
            <v>5.8500000000000003E-2</v>
          </cell>
        </row>
        <row r="5637">
          <cell r="F5637">
            <v>5.9200000000000003E-2</v>
          </cell>
        </row>
        <row r="5638">
          <cell r="F5638">
            <v>6.7199999999999996E-2</v>
          </cell>
        </row>
        <row r="5639">
          <cell r="F5639">
            <v>6.0400000000000002E-2</v>
          </cell>
        </row>
        <row r="5640">
          <cell r="F5640">
            <v>6.1600000000000002E-2</v>
          </cell>
        </row>
        <row r="5641">
          <cell r="F5641">
            <v>6.2199999999999998E-2</v>
          </cell>
        </row>
        <row r="5642">
          <cell r="F5642">
            <v>8.2199999999999995E-2</v>
          </cell>
        </row>
        <row r="5643">
          <cell r="F5643">
            <v>0.1149</v>
          </cell>
        </row>
        <row r="5644">
          <cell r="F5644">
            <v>0.1052</v>
          </cell>
        </row>
        <row r="5645">
          <cell r="F5645">
            <v>0.11310000000000001</v>
          </cell>
        </row>
        <row r="5646">
          <cell r="F5646">
            <v>9.8000000000000004E-2</v>
          </cell>
        </row>
        <row r="5647">
          <cell r="F5647">
            <v>9.6199999999999994E-2</v>
          </cell>
        </row>
        <row r="5648">
          <cell r="F5648">
            <v>9.6199999999999994E-2</v>
          </cell>
        </row>
        <row r="5649">
          <cell r="F5649">
            <v>0.1018</v>
          </cell>
        </row>
        <row r="5650">
          <cell r="F5650">
            <v>9.8199999999999996E-2</v>
          </cell>
        </row>
        <row r="5651">
          <cell r="F5651">
            <v>8.8900000000000007E-2</v>
          </cell>
        </row>
        <row r="5652">
          <cell r="F5652">
            <v>9.0399999999999994E-2</v>
          </cell>
        </row>
        <row r="5653">
          <cell r="F5653">
            <v>8.8900000000000007E-2</v>
          </cell>
        </row>
        <row r="5654">
          <cell r="F5654">
            <v>8.8200000000000001E-2</v>
          </cell>
        </row>
        <row r="5655">
          <cell r="F5655">
            <v>8.6800000000000002E-2</v>
          </cell>
        </row>
        <row r="5656">
          <cell r="F5656">
            <v>7.9699999999999993E-2</v>
          </cell>
        </row>
        <row r="5657">
          <cell r="F5657">
            <v>6.9000000000000006E-2</v>
          </cell>
        </row>
        <row r="5658">
          <cell r="F5658">
            <v>6.7599999999999993E-2</v>
          </cell>
        </row>
        <row r="5659">
          <cell r="F5659">
            <v>6.6900000000000001E-2</v>
          </cell>
        </row>
        <row r="5660">
          <cell r="F5660">
            <v>6.6199999999999995E-2</v>
          </cell>
        </row>
        <row r="5661">
          <cell r="F5661">
            <v>6.6299999999999998E-2</v>
          </cell>
        </row>
        <row r="5662">
          <cell r="F5662">
            <v>6.7699999999999996E-2</v>
          </cell>
        </row>
        <row r="5663">
          <cell r="F5663">
            <v>6.7900000000000002E-2</v>
          </cell>
        </row>
        <row r="5664">
          <cell r="F5664">
            <v>6.8900000000000003E-2</v>
          </cell>
        </row>
        <row r="5665">
          <cell r="F5665">
            <v>7.5899999999999995E-2</v>
          </cell>
        </row>
        <row r="5666">
          <cell r="F5666">
            <v>1.9225000000000001</v>
          </cell>
        </row>
        <row r="5667">
          <cell r="F5667">
            <v>1.9643999999999999</v>
          </cell>
        </row>
        <row r="5668">
          <cell r="F5668">
            <v>1.8944000000000001</v>
          </cell>
        </row>
        <row r="5669">
          <cell r="F5669">
            <v>0.10780000000000001</v>
          </cell>
        </row>
        <row r="5670">
          <cell r="F5670">
            <v>0.1003</v>
          </cell>
        </row>
        <row r="5671">
          <cell r="F5671">
            <v>9.8599999999999993E-2</v>
          </cell>
        </row>
        <row r="5672">
          <cell r="F5672">
            <v>8.4699999999999998E-2</v>
          </cell>
        </row>
        <row r="5673">
          <cell r="F5673">
            <v>8.4000000000000005E-2</v>
          </cell>
        </row>
        <row r="5674">
          <cell r="F5674">
            <v>8.1100000000000005E-2</v>
          </cell>
        </row>
        <row r="5675">
          <cell r="F5675">
            <v>7.9699999999999993E-2</v>
          </cell>
        </row>
        <row r="5676">
          <cell r="F5676">
            <v>7.6100000000000001E-2</v>
          </cell>
        </row>
        <row r="5677">
          <cell r="F5677">
            <v>7.8200000000000006E-2</v>
          </cell>
        </row>
        <row r="5678">
          <cell r="F5678">
            <v>7.8899999999999998E-2</v>
          </cell>
        </row>
        <row r="5679">
          <cell r="F5679">
            <v>7.9799999999999996E-2</v>
          </cell>
        </row>
        <row r="5680">
          <cell r="F5680">
            <v>6.0400000000000002E-2</v>
          </cell>
        </row>
        <row r="5681">
          <cell r="F5681">
            <v>5.0500000000000003E-2</v>
          </cell>
        </row>
        <row r="5682">
          <cell r="F5682">
            <v>4.8399999999999999E-2</v>
          </cell>
        </row>
        <row r="5683">
          <cell r="F5683">
            <v>4.8500000000000001E-2</v>
          </cell>
        </row>
        <row r="5684">
          <cell r="F5684">
            <v>4.9099999999999998E-2</v>
          </cell>
        </row>
        <row r="5685">
          <cell r="F5685">
            <v>5.0500000000000003E-2</v>
          </cell>
        </row>
        <row r="5686">
          <cell r="F5686">
            <v>5.0500000000000003E-2</v>
          </cell>
        </row>
        <row r="5687">
          <cell r="F5687">
            <v>5.1299999999999998E-2</v>
          </cell>
        </row>
        <row r="5688">
          <cell r="F5688">
            <v>6.3799999999999996E-2</v>
          </cell>
        </row>
        <row r="5689">
          <cell r="F5689">
            <v>8.1699999999999995E-2</v>
          </cell>
        </row>
        <row r="5690">
          <cell r="F5690">
            <v>1.1866000000000001</v>
          </cell>
        </row>
        <row r="5691">
          <cell r="F5691">
            <v>1.2345999999999999</v>
          </cell>
        </row>
        <row r="5692">
          <cell r="F5692">
            <v>1.2605999999999999</v>
          </cell>
        </row>
        <row r="5693">
          <cell r="F5693">
            <v>1.3615999999999999</v>
          </cell>
        </row>
        <row r="5694">
          <cell r="F5694">
            <v>1.244</v>
          </cell>
        </row>
        <row r="5695">
          <cell r="F5695">
            <v>1.2404999999999999</v>
          </cell>
        </row>
        <row r="5696">
          <cell r="F5696">
            <v>9.8199999999999996E-2</v>
          </cell>
        </row>
        <row r="5697">
          <cell r="F5697">
            <v>8.5400000000000004E-2</v>
          </cell>
        </row>
        <row r="5698">
          <cell r="F5698">
            <v>8.6099999999999996E-2</v>
          </cell>
        </row>
        <row r="5699">
          <cell r="F5699">
            <v>8.6099999999999996E-2</v>
          </cell>
        </row>
        <row r="5700">
          <cell r="F5700">
            <v>8.6099999999999996E-2</v>
          </cell>
        </row>
        <row r="5701">
          <cell r="F5701">
            <v>8.1799999999999998E-2</v>
          </cell>
        </row>
        <row r="5702">
          <cell r="F5702">
            <v>8.1100000000000005E-2</v>
          </cell>
        </row>
        <row r="5703">
          <cell r="F5703">
            <v>8.0699999999999994E-2</v>
          </cell>
        </row>
        <row r="5704">
          <cell r="F5704">
            <v>7.0499999999999993E-2</v>
          </cell>
        </row>
        <row r="5705">
          <cell r="F5705">
            <v>5.74E-2</v>
          </cell>
        </row>
        <row r="5706">
          <cell r="F5706">
            <v>5.6099999999999997E-2</v>
          </cell>
        </row>
        <row r="5707">
          <cell r="F5707">
            <v>5.6899999999999999E-2</v>
          </cell>
        </row>
        <row r="5708">
          <cell r="F5708">
            <v>5.6899999999999999E-2</v>
          </cell>
        </row>
        <row r="5709">
          <cell r="F5709">
            <v>5.4699999999999999E-2</v>
          </cell>
        </row>
        <row r="5710">
          <cell r="F5710">
            <v>3.0499999999999999E-2</v>
          </cell>
        </row>
        <row r="5711">
          <cell r="F5711">
            <v>3.1199999999999999E-2</v>
          </cell>
        </row>
        <row r="5712">
          <cell r="F5712">
            <v>5.2299999999999999E-2</v>
          </cell>
        </row>
        <row r="5713">
          <cell r="F5713">
            <v>7.1999999999999995E-2</v>
          </cell>
        </row>
        <row r="5714">
          <cell r="F5714">
            <v>1.1657</v>
          </cell>
        </row>
        <row r="5715">
          <cell r="F5715">
            <v>1.2310000000000001</v>
          </cell>
        </row>
        <row r="5716">
          <cell r="F5716">
            <v>1.2525999999999999</v>
          </cell>
        </row>
        <row r="5717">
          <cell r="F5717">
            <v>1.3589</v>
          </cell>
        </row>
        <row r="5718">
          <cell r="F5718">
            <v>1.2434000000000001</v>
          </cell>
        </row>
        <row r="5719">
          <cell r="F5719">
            <v>1.2319</v>
          </cell>
        </row>
        <row r="5720">
          <cell r="F5720">
            <v>8.8900000000000007E-2</v>
          </cell>
        </row>
        <row r="5721">
          <cell r="F5721">
            <v>8.5400000000000004E-2</v>
          </cell>
        </row>
        <row r="5722">
          <cell r="F5722">
            <v>8.6099999999999996E-2</v>
          </cell>
        </row>
        <row r="5723">
          <cell r="F5723">
            <v>8.0399999999999999E-2</v>
          </cell>
        </row>
        <row r="5724">
          <cell r="F5724">
            <v>7.7499999999999999E-2</v>
          </cell>
        </row>
        <row r="5725">
          <cell r="F5725">
            <v>7.4700000000000003E-2</v>
          </cell>
        </row>
        <row r="5726">
          <cell r="F5726">
            <v>8.0399999999999999E-2</v>
          </cell>
        </row>
        <row r="5727">
          <cell r="F5727">
            <v>8.6199999999999999E-2</v>
          </cell>
        </row>
        <row r="5728">
          <cell r="F5728">
            <v>6.9699999999999998E-2</v>
          </cell>
        </row>
        <row r="5729">
          <cell r="F5729">
            <v>6.83E-2</v>
          </cell>
        </row>
        <row r="5730">
          <cell r="F5730">
            <v>6.7599999999999993E-2</v>
          </cell>
        </row>
        <row r="5731">
          <cell r="F5731">
            <v>6.6900000000000001E-2</v>
          </cell>
        </row>
        <row r="5732">
          <cell r="F5732">
            <v>6.6900000000000001E-2</v>
          </cell>
        </row>
        <row r="5733">
          <cell r="F5733">
            <v>6.7000000000000004E-2</v>
          </cell>
        </row>
        <row r="5734">
          <cell r="F5734">
            <v>6.7000000000000004E-2</v>
          </cell>
        </row>
        <row r="5735">
          <cell r="F5735">
            <v>6.7199999999999996E-2</v>
          </cell>
        </row>
        <row r="5736">
          <cell r="F5736">
            <v>6.93E-2</v>
          </cell>
        </row>
        <row r="5737">
          <cell r="F5737">
            <v>8.2900000000000001E-2</v>
          </cell>
        </row>
        <row r="5738">
          <cell r="F5738">
            <v>1.1786000000000001</v>
          </cell>
        </row>
        <row r="5739">
          <cell r="F5739">
            <v>1.2379</v>
          </cell>
        </row>
        <row r="5740">
          <cell r="F5740">
            <v>1.2607999999999999</v>
          </cell>
        </row>
        <row r="5741">
          <cell r="F5741">
            <v>1.3705000000000001</v>
          </cell>
        </row>
        <row r="5742">
          <cell r="F5742">
            <v>1.2464999999999999</v>
          </cell>
        </row>
        <row r="5743">
          <cell r="F5743">
            <v>1.2394000000000001</v>
          </cell>
        </row>
        <row r="5744">
          <cell r="F5744">
            <v>0.1055</v>
          </cell>
        </row>
        <row r="5745">
          <cell r="F5745">
            <v>9.6799999999999997E-2</v>
          </cell>
        </row>
        <row r="5746">
          <cell r="F5746">
            <v>9.5299999999999996E-2</v>
          </cell>
        </row>
        <row r="5747">
          <cell r="F5747">
            <v>9.3200000000000005E-2</v>
          </cell>
        </row>
        <row r="5748">
          <cell r="F5748">
            <v>8.9599999999999999E-2</v>
          </cell>
        </row>
        <row r="5749">
          <cell r="F5749">
            <v>8.9599999999999999E-2</v>
          </cell>
        </row>
        <row r="5750">
          <cell r="F5750">
            <v>9.3899999999999997E-2</v>
          </cell>
        </row>
        <row r="5751">
          <cell r="F5751">
            <v>9.7699999999999995E-2</v>
          </cell>
        </row>
        <row r="5752">
          <cell r="F5752">
            <v>8.1100000000000005E-2</v>
          </cell>
        </row>
        <row r="5753">
          <cell r="F5753">
            <v>7.6200000000000004E-2</v>
          </cell>
        </row>
        <row r="5754">
          <cell r="F5754">
            <v>7.6999999999999999E-2</v>
          </cell>
        </row>
        <row r="5755">
          <cell r="F5755">
            <v>7.6200000000000004E-2</v>
          </cell>
        </row>
        <row r="5756">
          <cell r="F5756">
            <v>7.4899999999999994E-2</v>
          </cell>
        </row>
        <row r="5757">
          <cell r="F5757">
            <v>7.5600000000000001E-2</v>
          </cell>
        </row>
        <row r="5758">
          <cell r="F5758">
            <v>7.5600000000000001E-2</v>
          </cell>
        </row>
        <row r="5759">
          <cell r="F5759">
            <v>7.5700000000000003E-2</v>
          </cell>
        </row>
        <row r="5760">
          <cell r="F5760">
            <v>7.7600000000000002E-2</v>
          </cell>
        </row>
        <row r="5761">
          <cell r="F5761">
            <v>9.7600000000000006E-2</v>
          </cell>
        </row>
        <row r="5762">
          <cell r="F5762">
            <v>1.1935</v>
          </cell>
        </row>
        <row r="5763">
          <cell r="F5763">
            <v>1.2105999999999999</v>
          </cell>
        </row>
        <row r="5764">
          <cell r="F5764">
            <v>1.2986</v>
          </cell>
        </row>
        <row r="5765">
          <cell r="F5765">
            <v>1.3825000000000001</v>
          </cell>
        </row>
        <row r="5766">
          <cell r="F5766">
            <v>1.2463</v>
          </cell>
        </row>
        <row r="5767">
          <cell r="F5767">
            <v>1.2771999999999999</v>
          </cell>
        </row>
        <row r="5768">
          <cell r="F5768">
            <v>0.1046</v>
          </cell>
        </row>
        <row r="5769">
          <cell r="F5769">
            <v>9.6799999999999997E-2</v>
          </cell>
        </row>
        <row r="5770">
          <cell r="F5770">
            <v>9.6799999999999997E-2</v>
          </cell>
        </row>
        <row r="5771">
          <cell r="F5771">
            <v>9.3200000000000005E-2</v>
          </cell>
        </row>
        <row r="5772">
          <cell r="F5772">
            <v>9.3200000000000005E-2</v>
          </cell>
        </row>
        <row r="5773">
          <cell r="F5773">
            <v>8.9599999999999999E-2</v>
          </cell>
        </row>
        <row r="5774">
          <cell r="F5774">
            <v>8.6800000000000002E-2</v>
          </cell>
        </row>
        <row r="5775">
          <cell r="F5775">
            <v>8.77E-2</v>
          </cell>
        </row>
        <row r="5776">
          <cell r="F5776">
            <v>8.8900000000000007E-2</v>
          </cell>
        </row>
        <row r="5777">
          <cell r="F5777">
            <v>7.5499999999999998E-2</v>
          </cell>
        </row>
        <row r="5778">
          <cell r="F5778">
            <v>7.6899999999999996E-2</v>
          </cell>
        </row>
        <row r="5779">
          <cell r="F5779">
            <v>7.5399999999999995E-2</v>
          </cell>
        </row>
        <row r="5780">
          <cell r="F5780">
            <v>7.5499999999999998E-2</v>
          </cell>
        </row>
        <row r="5781">
          <cell r="F5781">
            <v>7.6200000000000004E-2</v>
          </cell>
        </row>
        <row r="5782">
          <cell r="F5782">
            <v>7.6899999999999996E-2</v>
          </cell>
        </row>
        <row r="5783">
          <cell r="F5783">
            <v>7.6399999999999996E-2</v>
          </cell>
        </row>
        <row r="5784">
          <cell r="F5784">
            <v>7.9600000000000004E-2</v>
          </cell>
        </row>
        <row r="5785">
          <cell r="F5785">
            <v>9.9900000000000003E-2</v>
          </cell>
        </row>
        <row r="5786">
          <cell r="F5786">
            <v>1.2072000000000001</v>
          </cell>
        </row>
        <row r="5787">
          <cell r="F5787">
            <v>1.2134</v>
          </cell>
        </row>
        <row r="5788">
          <cell r="F5788">
            <v>1.2735000000000001</v>
          </cell>
        </row>
        <row r="5789">
          <cell r="F5789">
            <v>1.4167000000000001</v>
          </cell>
        </row>
        <row r="5790">
          <cell r="F5790">
            <v>1.2625</v>
          </cell>
        </row>
        <row r="5791">
          <cell r="F5791">
            <v>1.2364999999999999</v>
          </cell>
        </row>
        <row r="5792">
          <cell r="F5792">
            <v>0.1061</v>
          </cell>
        </row>
        <row r="5793">
          <cell r="F5793">
            <v>9.2499999999999999E-2</v>
          </cell>
        </row>
        <row r="5794">
          <cell r="F5794">
            <v>9.3200000000000005E-2</v>
          </cell>
        </row>
        <row r="5795">
          <cell r="F5795">
            <v>9.2499999999999999E-2</v>
          </cell>
        </row>
        <row r="5796">
          <cell r="F5796">
            <v>9.2499999999999999E-2</v>
          </cell>
        </row>
        <row r="5797">
          <cell r="F5797">
            <v>9.2499999999999999E-2</v>
          </cell>
        </row>
        <row r="5798">
          <cell r="F5798">
            <v>9.2499999999999999E-2</v>
          </cell>
        </row>
        <row r="5799">
          <cell r="F5799">
            <v>9.1999999999999998E-2</v>
          </cell>
        </row>
        <row r="5800">
          <cell r="F5800">
            <v>9.11E-2</v>
          </cell>
        </row>
        <row r="5801">
          <cell r="F5801">
            <v>7.9799999999999996E-2</v>
          </cell>
        </row>
        <row r="5802">
          <cell r="F5802">
            <v>7.85E-2</v>
          </cell>
        </row>
        <row r="5803">
          <cell r="F5803">
            <v>7.9899999999999999E-2</v>
          </cell>
        </row>
        <row r="5804">
          <cell r="F5804">
            <v>7.8600000000000003E-2</v>
          </cell>
        </row>
        <row r="5805">
          <cell r="F5805">
            <v>7.8200000000000006E-2</v>
          </cell>
        </row>
        <row r="5806">
          <cell r="F5806">
            <v>7.7799999999999994E-2</v>
          </cell>
        </row>
        <row r="5807">
          <cell r="F5807">
            <v>8.14E-2</v>
          </cell>
        </row>
        <row r="5808">
          <cell r="F5808">
            <v>9.4E-2</v>
          </cell>
        </row>
        <row r="5809">
          <cell r="F5809">
            <v>0.1095</v>
          </cell>
        </row>
        <row r="5810">
          <cell r="F5810">
            <v>1.2173</v>
          </cell>
        </row>
        <row r="5811">
          <cell r="F5811">
            <v>1.2242999999999999</v>
          </cell>
        </row>
        <row r="5812">
          <cell r="F5812">
            <v>1.3918999999999999</v>
          </cell>
        </row>
        <row r="5813">
          <cell r="F5813">
            <v>1.5291999999999999</v>
          </cell>
        </row>
        <row r="5814">
          <cell r="F5814">
            <v>1.2923</v>
          </cell>
        </row>
        <row r="5815">
          <cell r="F5815">
            <v>1.2517</v>
          </cell>
        </row>
        <row r="5816">
          <cell r="F5816">
            <v>0.1168</v>
          </cell>
        </row>
        <row r="5817">
          <cell r="F5817">
            <v>9.9599999999999994E-2</v>
          </cell>
        </row>
        <row r="5818">
          <cell r="F5818">
            <v>8.7499999999999994E-2</v>
          </cell>
        </row>
        <row r="5819">
          <cell r="F5819">
            <v>9.11E-2</v>
          </cell>
        </row>
        <row r="5820">
          <cell r="F5820">
            <v>8.8900000000000007E-2</v>
          </cell>
        </row>
        <row r="5821">
          <cell r="F5821">
            <v>9.0399999999999994E-2</v>
          </cell>
        </row>
        <row r="5822">
          <cell r="F5822">
            <v>7.9699999999999993E-2</v>
          </cell>
        </row>
        <row r="5823">
          <cell r="F5823">
            <v>7.9799999999999996E-2</v>
          </cell>
        </row>
        <row r="5824">
          <cell r="F5824">
            <v>6.9699999999999998E-2</v>
          </cell>
        </row>
        <row r="5825">
          <cell r="F5825">
            <v>6.0600000000000001E-2</v>
          </cell>
        </row>
        <row r="5826">
          <cell r="F5826">
            <v>6.08E-2</v>
          </cell>
        </row>
        <row r="5827">
          <cell r="F5827">
            <v>5.8700000000000002E-2</v>
          </cell>
        </row>
        <row r="5828">
          <cell r="F5828">
            <v>5.8099999999999999E-2</v>
          </cell>
        </row>
        <row r="5829">
          <cell r="F5829">
            <v>5.8299999999999998E-2</v>
          </cell>
        </row>
        <row r="5830">
          <cell r="F5830">
            <v>5.7700000000000001E-2</v>
          </cell>
        </row>
        <row r="5831">
          <cell r="F5831">
            <v>5.9799999999999999E-2</v>
          </cell>
        </row>
        <row r="5832">
          <cell r="F5832">
            <v>6.3399999999999998E-2</v>
          </cell>
        </row>
        <row r="5833">
          <cell r="F5833">
            <v>8.1199999999999994E-2</v>
          </cell>
        </row>
        <row r="5834">
          <cell r="F5834">
            <v>1.1791</v>
          </cell>
        </row>
        <row r="5835">
          <cell r="F5835">
            <v>1.2447999999999999</v>
          </cell>
        </row>
        <row r="5836">
          <cell r="F5836">
            <v>1.2690999999999999</v>
          </cell>
        </row>
        <row r="5837">
          <cell r="F5837">
            <v>1.3741000000000001</v>
          </cell>
        </row>
        <row r="5838">
          <cell r="F5838">
            <v>1.2436</v>
          </cell>
        </row>
        <row r="5839">
          <cell r="F5839">
            <v>1.2337</v>
          </cell>
        </row>
        <row r="5840">
          <cell r="F5840">
            <v>8.2699999999999996E-2</v>
          </cell>
        </row>
        <row r="5841">
          <cell r="F5841">
            <v>7.9699999999999993E-2</v>
          </cell>
        </row>
        <row r="5842">
          <cell r="F5842">
            <v>8.5199999999999998E-2</v>
          </cell>
        </row>
        <row r="5843">
          <cell r="F5843">
            <v>8.2400000000000001E-2</v>
          </cell>
        </row>
        <row r="5844">
          <cell r="F5844">
            <v>9.0899999999999995E-2</v>
          </cell>
        </row>
        <row r="5845">
          <cell r="F5845">
            <v>9.2999999999999999E-2</v>
          </cell>
        </row>
        <row r="5846">
          <cell r="F5846">
            <v>0.1016</v>
          </cell>
        </row>
        <row r="5847">
          <cell r="F5847">
            <v>9.8699999999999996E-2</v>
          </cell>
        </row>
        <row r="5848">
          <cell r="F5848">
            <v>7.2400000000000006E-2</v>
          </cell>
        </row>
        <row r="5849">
          <cell r="F5849">
            <v>6.7599999999999993E-2</v>
          </cell>
        </row>
        <row r="5850">
          <cell r="F5850">
            <v>6.6900000000000001E-2</v>
          </cell>
        </row>
        <row r="5851">
          <cell r="F5851">
            <v>6.6299999999999998E-2</v>
          </cell>
        </row>
        <row r="5852">
          <cell r="F5852">
            <v>6.6500000000000004E-2</v>
          </cell>
        </row>
        <row r="5853">
          <cell r="F5853">
            <v>6.59E-2</v>
          </cell>
        </row>
        <row r="5854">
          <cell r="F5854">
            <v>6.6900000000000001E-2</v>
          </cell>
        </row>
        <row r="5855">
          <cell r="F5855">
            <v>6.88E-2</v>
          </cell>
        </row>
        <row r="5856">
          <cell r="F5856">
            <v>6.9900000000000004E-2</v>
          </cell>
        </row>
        <row r="5857">
          <cell r="F5857">
            <v>9.5399999999999999E-2</v>
          </cell>
        </row>
        <row r="5858">
          <cell r="F5858">
            <v>0.22770000000000001</v>
          </cell>
        </row>
        <row r="5859">
          <cell r="F5859">
            <v>1.0728</v>
          </cell>
        </row>
        <row r="5860">
          <cell r="F5860">
            <v>1.4487000000000001</v>
          </cell>
        </row>
        <row r="5861">
          <cell r="F5861">
            <v>0.67320000000000002</v>
          </cell>
        </row>
        <row r="5862">
          <cell r="F5862">
            <v>0.26769999999999999</v>
          </cell>
        </row>
        <row r="5863">
          <cell r="F5863">
            <v>0.26579999999999998</v>
          </cell>
        </row>
        <row r="5864">
          <cell r="F5864">
            <v>0.1041</v>
          </cell>
        </row>
        <row r="5865">
          <cell r="F5865">
            <v>0.10299999999999999</v>
          </cell>
        </row>
        <row r="5866">
          <cell r="F5866">
            <v>0.10299999999999999</v>
          </cell>
        </row>
        <row r="5867">
          <cell r="F5867">
            <v>0.1023</v>
          </cell>
        </row>
        <row r="5868">
          <cell r="F5868">
            <v>9.8000000000000004E-2</v>
          </cell>
        </row>
        <row r="5869">
          <cell r="F5869">
            <v>9.5899999999999999E-2</v>
          </cell>
        </row>
        <row r="5870">
          <cell r="F5870">
            <v>9.3799999999999994E-2</v>
          </cell>
        </row>
        <row r="5871">
          <cell r="F5871">
            <v>9.3799999999999994E-2</v>
          </cell>
        </row>
        <row r="5872">
          <cell r="F5872">
            <v>6.7400000000000002E-2</v>
          </cell>
        </row>
        <row r="5873">
          <cell r="F5873">
            <v>5.11E-2</v>
          </cell>
        </row>
        <row r="5874">
          <cell r="F5874">
            <v>5.2499999999999998E-2</v>
          </cell>
        </row>
        <row r="5875">
          <cell r="F5875">
            <v>3.1800000000000002E-2</v>
          </cell>
        </row>
        <row r="5876">
          <cell r="F5876">
            <v>2.76E-2</v>
          </cell>
        </row>
        <row r="5877">
          <cell r="F5877">
            <v>2.4E-2</v>
          </cell>
        </row>
        <row r="5878">
          <cell r="F5878">
            <v>4.8300000000000003E-2</v>
          </cell>
        </row>
        <row r="5879">
          <cell r="F5879">
            <v>4.6899999999999997E-2</v>
          </cell>
        </row>
        <row r="5880">
          <cell r="F5880">
            <v>4.9200000000000001E-2</v>
          </cell>
        </row>
        <row r="5881">
          <cell r="F5881">
            <v>6.3100000000000003E-2</v>
          </cell>
        </row>
        <row r="5882">
          <cell r="F5882">
            <v>7.7299999999999994E-2</v>
          </cell>
        </row>
        <row r="5883">
          <cell r="F5883">
            <v>8.9399999999999993E-2</v>
          </cell>
        </row>
        <row r="5884">
          <cell r="F5884">
            <v>9.0300000000000005E-2</v>
          </cell>
        </row>
        <row r="5885">
          <cell r="F5885">
            <v>8.8900000000000007E-2</v>
          </cell>
        </row>
        <row r="5886">
          <cell r="F5886">
            <v>8.8200000000000001E-2</v>
          </cell>
        </row>
        <row r="5887">
          <cell r="F5887">
            <v>8.7900000000000006E-2</v>
          </cell>
        </row>
        <row r="5888">
          <cell r="F5888">
            <v>9.8799999999999999E-2</v>
          </cell>
        </row>
        <row r="5889">
          <cell r="F5889">
            <v>9.8799999999999999E-2</v>
          </cell>
        </row>
        <row r="5890">
          <cell r="F5890">
            <v>9.8799999999999999E-2</v>
          </cell>
        </row>
        <row r="5891">
          <cell r="F5891">
            <v>9.8699999999999996E-2</v>
          </cell>
        </row>
        <row r="5892">
          <cell r="F5892">
            <v>9.7299999999999998E-2</v>
          </cell>
        </row>
        <row r="5893">
          <cell r="F5893">
            <v>9.4500000000000001E-2</v>
          </cell>
        </row>
        <row r="5894">
          <cell r="F5894">
            <v>8.8800000000000004E-2</v>
          </cell>
        </row>
        <row r="5895">
          <cell r="F5895">
            <v>9.0200000000000002E-2</v>
          </cell>
        </row>
        <row r="5896">
          <cell r="F5896">
            <v>7.3899999999999993E-2</v>
          </cell>
        </row>
        <row r="5897">
          <cell r="F5897">
            <v>6.9699999999999998E-2</v>
          </cell>
        </row>
        <row r="5898">
          <cell r="F5898">
            <v>6.83E-2</v>
          </cell>
        </row>
        <row r="5899">
          <cell r="F5899">
            <v>7.5499999999999998E-2</v>
          </cell>
        </row>
        <row r="5900">
          <cell r="F5900">
            <v>7.4899999999999994E-2</v>
          </cell>
        </row>
        <row r="5901">
          <cell r="F5901">
            <v>6.7100000000000007E-2</v>
          </cell>
        </row>
        <row r="5902">
          <cell r="F5902">
            <v>6.7000000000000004E-2</v>
          </cell>
        </row>
        <row r="5903">
          <cell r="F5903">
            <v>6.6299999999999998E-2</v>
          </cell>
        </row>
        <row r="5904">
          <cell r="F5904">
            <v>6.7199999999999996E-2</v>
          </cell>
        </row>
        <row r="5905">
          <cell r="F5905">
            <v>9.3600000000000003E-2</v>
          </cell>
        </row>
        <row r="5906">
          <cell r="F5906">
            <v>0.23119999999999999</v>
          </cell>
        </row>
        <row r="5907">
          <cell r="F5907">
            <v>1.0590999999999999</v>
          </cell>
        </row>
        <row r="5908">
          <cell r="F5908">
            <v>1.4325000000000001</v>
          </cell>
        </row>
        <row r="5909">
          <cell r="F5909">
            <v>0.67730000000000001</v>
          </cell>
        </row>
        <row r="5910">
          <cell r="F5910">
            <v>0.26390000000000002</v>
          </cell>
        </row>
        <row r="5911">
          <cell r="F5911">
            <v>0.26379999999999998</v>
          </cell>
        </row>
        <row r="5912">
          <cell r="F5912">
            <v>0.10970000000000001</v>
          </cell>
        </row>
        <row r="5913">
          <cell r="F5913">
            <v>0.1002</v>
          </cell>
        </row>
        <row r="5914">
          <cell r="F5914">
            <v>9.8799999999999999E-2</v>
          </cell>
        </row>
        <row r="5915">
          <cell r="F5915">
            <v>9.2299999999999993E-2</v>
          </cell>
        </row>
        <row r="5916">
          <cell r="F5916">
            <v>8.9499999999999996E-2</v>
          </cell>
        </row>
        <row r="5917">
          <cell r="F5917">
            <v>8.6599999999999996E-2</v>
          </cell>
        </row>
        <row r="5918">
          <cell r="F5918">
            <v>9.5200000000000007E-2</v>
          </cell>
        </row>
        <row r="5919">
          <cell r="F5919">
            <v>0.1002</v>
          </cell>
        </row>
        <row r="5920">
          <cell r="F5920">
            <v>7.7399999999999997E-2</v>
          </cell>
        </row>
        <row r="5921">
          <cell r="F5921">
            <v>7.7399999999999997E-2</v>
          </cell>
        </row>
        <row r="5922">
          <cell r="F5922">
            <v>7.5300000000000006E-2</v>
          </cell>
        </row>
        <row r="5923">
          <cell r="F5923">
            <v>7.46E-2</v>
          </cell>
        </row>
        <row r="5924">
          <cell r="F5924">
            <v>7.46E-2</v>
          </cell>
        </row>
        <row r="5925">
          <cell r="F5925">
            <v>7.6100000000000001E-2</v>
          </cell>
        </row>
        <row r="5926">
          <cell r="F5926">
            <v>7.3999999999999996E-2</v>
          </cell>
        </row>
        <row r="5927">
          <cell r="F5927">
            <v>7.5499999999999998E-2</v>
          </cell>
        </row>
        <row r="5928">
          <cell r="F5928">
            <v>8.2000000000000003E-2</v>
          </cell>
        </row>
        <row r="5929">
          <cell r="F5929">
            <v>0.1003</v>
          </cell>
        </row>
        <row r="5930">
          <cell r="F5930">
            <v>0.2336</v>
          </cell>
        </row>
        <row r="5931">
          <cell r="F5931">
            <v>1.0712999999999999</v>
          </cell>
        </row>
        <row r="5932">
          <cell r="F5932">
            <v>1.4357</v>
          </cell>
        </row>
        <row r="5933">
          <cell r="F5933">
            <v>0.67879999999999996</v>
          </cell>
        </row>
        <row r="5934">
          <cell r="F5934">
            <v>0.26440000000000002</v>
          </cell>
        </row>
        <row r="5935">
          <cell r="F5935">
            <v>0.26440000000000002</v>
          </cell>
        </row>
        <row r="5936">
          <cell r="F5936">
            <v>0.1111</v>
          </cell>
        </row>
        <row r="5937">
          <cell r="F5937">
            <v>0.1023</v>
          </cell>
        </row>
        <row r="5938">
          <cell r="F5938">
            <v>9.8699999999999996E-2</v>
          </cell>
        </row>
        <row r="5939">
          <cell r="F5939">
            <v>9.4500000000000001E-2</v>
          </cell>
        </row>
        <row r="5940">
          <cell r="F5940">
            <v>9.0200000000000002E-2</v>
          </cell>
        </row>
        <row r="5941">
          <cell r="F5941">
            <v>8.9499999999999996E-2</v>
          </cell>
        </row>
        <row r="5942">
          <cell r="F5942">
            <v>9.3799999999999994E-2</v>
          </cell>
        </row>
        <row r="5943">
          <cell r="F5943">
            <v>9.6600000000000005E-2</v>
          </cell>
        </row>
        <row r="5944">
          <cell r="F5944">
            <v>7.8100000000000003E-2</v>
          </cell>
        </row>
        <row r="5945">
          <cell r="F5945">
            <v>6.8199999999999997E-2</v>
          </cell>
        </row>
        <row r="5946">
          <cell r="F5946">
            <v>6.7400000000000002E-2</v>
          </cell>
        </row>
        <row r="5947">
          <cell r="F5947">
            <v>6.7500000000000004E-2</v>
          </cell>
        </row>
        <row r="5948">
          <cell r="F5948">
            <v>6.6799999999999998E-2</v>
          </cell>
        </row>
        <row r="5949">
          <cell r="F5949">
            <v>6.6799999999999998E-2</v>
          </cell>
        </row>
        <row r="5950">
          <cell r="F5950">
            <v>6.6799999999999998E-2</v>
          </cell>
        </row>
        <row r="5951">
          <cell r="F5951">
            <v>6.7599999999999993E-2</v>
          </cell>
        </row>
        <row r="5952">
          <cell r="F5952">
            <v>6.7599999999999993E-2</v>
          </cell>
        </row>
        <row r="5953">
          <cell r="F5953">
            <v>9.9500000000000005E-2</v>
          </cell>
        </row>
        <row r="5954">
          <cell r="F5954">
            <v>0.2349</v>
          </cell>
        </row>
        <row r="5955">
          <cell r="F5955">
            <v>1.0403</v>
          </cell>
        </row>
        <row r="5956">
          <cell r="F5956">
            <v>1.4679</v>
          </cell>
        </row>
        <row r="5957">
          <cell r="F5957">
            <v>0.76490000000000002</v>
          </cell>
        </row>
        <row r="5958">
          <cell r="F5958">
            <v>0.27029999999999998</v>
          </cell>
        </row>
        <row r="5959">
          <cell r="F5959">
            <v>0.26500000000000001</v>
          </cell>
        </row>
        <row r="5960">
          <cell r="F5960">
            <v>0.109</v>
          </cell>
        </row>
        <row r="5961">
          <cell r="F5961">
            <v>0.1016</v>
          </cell>
        </row>
        <row r="5962">
          <cell r="F5962">
            <v>0.1023</v>
          </cell>
        </row>
        <row r="5963">
          <cell r="F5963">
            <v>0.1023</v>
          </cell>
        </row>
        <row r="5964">
          <cell r="F5964">
            <v>9.7299999999999998E-2</v>
          </cell>
        </row>
        <row r="5965">
          <cell r="F5965">
            <v>0.1023</v>
          </cell>
        </row>
        <row r="5966">
          <cell r="F5966">
            <v>0.1023</v>
          </cell>
        </row>
        <row r="5967">
          <cell r="F5967">
            <v>0.1002</v>
          </cell>
        </row>
        <row r="5968">
          <cell r="F5968">
            <v>8.4500000000000006E-2</v>
          </cell>
        </row>
        <row r="5969">
          <cell r="F5969">
            <v>7.7399999999999997E-2</v>
          </cell>
        </row>
        <row r="5970">
          <cell r="F5970">
            <v>7.7399999999999997E-2</v>
          </cell>
        </row>
        <row r="5971">
          <cell r="F5971">
            <v>7.6799999999999993E-2</v>
          </cell>
        </row>
        <row r="5972">
          <cell r="F5972">
            <v>7.6799999999999993E-2</v>
          </cell>
        </row>
        <row r="5973">
          <cell r="F5973">
            <v>7.6100000000000001E-2</v>
          </cell>
        </row>
        <row r="5974">
          <cell r="F5974">
            <v>7.5300000000000006E-2</v>
          </cell>
        </row>
        <row r="5975">
          <cell r="F5975">
            <v>7.6100000000000001E-2</v>
          </cell>
        </row>
        <row r="5976">
          <cell r="F5976">
            <v>7.7499999999999999E-2</v>
          </cell>
        </row>
        <row r="5977">
          <cell r="F5977">
            <v>0.11360000000000001</v>
          </cell>
        </row>
        <row r="5978">
          <cell r="F5978">
            <v>0.24340000000000001</v>
          </cell>
        </row>
        <row r="5979">
          <cell r="F5979">
            <v>1.1351</v>
          </cell>
        </row>
        <row r="5980">
          <cell r="F5980">
            <v>1.4277</v>
          </cell>
        </row>
        <row r="5981">
          <cell r="F5981">
            <v>0.68269999999999997</v>
          </cell>
        </row>
        <row r="5982">
          <cell r="F5982">
            <v>0.26379999999999998</v>
          </cell>
        </row>
        <row r="5983">
          <cell r="F5983">
            <v>0.26429999999999998</v>
          </cell>
        </row>
        <row r="5984">
          <cell r="F5984">
            <v>0.1118</v>
          </cell>
        </row>
        <row r="5985">
          <cell r="F5985">
            <v>9.9500000000000005E-2</v>
          </cell>
        </row>
        <row r="5986">
          <cell r="F5986">
            <v>9.6000000000000002E-2</v>
          </cell>
        </row>
        <row r="5987">
          <cell r="F5987">
            <v>9.2399999999999996E-2</v>
          </cell>
        </row>
        <row r="5988">
          <cell r="F5988">
            <v>8.8800000000000004E-2</v>
          </cell>
        </row>
        <row r="5989">
          <cell r="F5989">
            <v>8.6599999999999996E-2</v>
          </cell>
        </row>
        <row r="5990">
          <cell r="F5990">
            <v>8.9499999999999996E-2</v>
          </cell>
        </row>
        <row r="5991">
          <cell r="F5991">
            <v>7.7399999999999997E-2</v>
          </cell>
        </row>
        <row r="5992">
          <cell r="F5992">
            <v>7.0300000000000001E-2</v>
          </cell>
        </row>
        <row r="5993">
          <cell r="F5993">
            <v>6.0999999999999999E-2</v>
          </cell>
        </row>
        <row r="5994">
          <cell r="F5994">
            <v>5.96E-2</v>
          </cell>
        </row>
        <row r="5995">
          <cell r="F5995">
            <v>5.96E-2</v>
          </cell>
        </row>
        <row r="5996">
          <cell r="F5996">
            <v>6.0400000000000002E-2</v>
          </cell>
        </row>
        <row r="5997">
          <cell r="F5997">
            <v>5.9799999999999999E-2</v>
          </cell>
        </row>
        <row r="5998">
          <cell r="F5998">
            <v>5.9799999999999999E-2</v>
          </cell>
        </row>
        <row r="5999">
          <cell r="F5999">
            <v>6.7599999999999993E-2</v>
          </cell>
        </row>
        <row r="6000">
          <cell r="F6000">
            <v>5.9799999999999999E-2</v>
          </cell>
        </row>
        <row r="6001">
          <cell r="F6001">
            <v>8.4500000000000006E-2</v>
          </cell>
        </row>
        <row r="6002">
          <cell r="F6002">
            <v>0.21490000000000001</v>
          </cell>
        </row>
        <row r="6003">
          <cell r="F6003">
            <v>1.0676000000000001</v>
          </cell>
        </row>
        <row r="6004">
          <cell r="F6004">
            <v>1.4605999999999999</v>
          </cell>
        </row>
        <row r="6005">
          <cell r="F6005">
            <v>0.65639999999999998</v>
          </cell>
        </row>
        <row r="6006">
          <cell r="F6006">
            <v>0.25819999999999999</v>
          </cell>
        </row>
        <row r="6007">
          <cell r="F6007">
            <v>0.25580000000000003</v>
          </cell>
        </row>
        <row r="6008">
          <cell r="F6008">
            <v>7.8399999999999997E-2</v>
          </cell>
        </row>
        <row r="6009">
          <cell r="F6009">
            <v>6.5299999999999997E-2</v>
          </cell>
        </row>
        <row r="6010">
          <cell r="F6010">
            <v>7.3800000000000004E-2</v>
          </cell>
        </row>
        <row r="6011">
          <cell r="F6011">
            <v>7.4499999999999997E-2</v>
          </cell>
        </row>
        <row r="6012">
          <cell r="F6012">
            <v>7.3800000000000004E-2</v>
          </cell>
        </row>
        <row r="6013">
          <cell r="F6013">
            <v>7.3800000000000004E-2</v>
          </cell>
        </row>
        <row r="6014">
          <cell r="F6014">
            <v>8.8800000000000004E-2</v>
          </cell>
        </row>
        <row r="6015">
          <cell r="F6015">
            <v>8.9499999999999996E-2</v>
          </cell>
        </row>
        <row r="6016">
          <cell r="F6016">
            <v>7.6799999999999993E-2</v>
          </cell>
        </row>
        <row r="6017">
          <cell r="F6017">
            <v>5.8200000000000002E-2</v>
          </cell>
        </row>
        <row r="6018">
          <cell r="F6018">
            <v>9.7000000000000003E-3</v>
          </cell>
        </row>
        <row r="6019">
          <cell r="F6019">
            <v>9.7000000000000003E-3</v>
          </cell>
        </row>
        <row r="6020">
          <cell r="F6020">
            <v>9.7000000000000003E-3</v>
          </cell>
        </row>
        <row r="6021">
          <cell r="F6021">
            <v>9.7000000000000003E-3</v>
          </cell>
        </row>
        <row r="6022">
          <cell r="F6022">
            <v>9.7000000000000003E-3</v>
          </cell>
        </row>
        <row r="6023">
          <cell r="F6023">
            <v>2.6100000000000002E-2</v>
          </cell>
        </row>
        <row r="6024">
          <cell r="F6024">
            <v>9.7000000000000003E-3</v>
          </cell>
        </row>
        <row r="6025">
          <cell r="F6025">
            <v>3.15E-2</v>
          </cell>
        </row>
        <row r="6026">
          <cell r="F6026">
            <v>0.2054</v>
          </cell>
        </row>
        <row r="6027">
          <cell r="F6027">
            <v>1.0484</v>
          </cell>
        </row>
        <row r="6028">
          <cell r="F6028">
            <v>1.4185000000000001</v>
          </cell>
        </row>
        <row r="6029">
          <cell r="F6029">
            <v>0.66100000000000003</v>
          </cell>
        </row>
        <row r="6030">
          <cell r="F6030">
            <v>0.2581</v>
          </cell>
        </row>
        <row r="6031">
          <cell r="F6031">
            <v>0.25800000000000001</v>
          </cell>
        </row>
        <row r="6032">
          <cell r="F6032">
            <v>9.8400000000000001E-2</v>
          </cell>
        </row>
        <row r="6033">
          <cell r="F6033">
            <v>8.7300000000000003E-2</v>
          </cell>
        </row>
        <row r="6034">
          <cell r="F6034">
            <v>9.8699999999999996E-2</v>
          </cell>
        </row>
        <row r="6035">
          <cell r="F6035">
            <v>9.5200000000000007E-2</v>
          </cell>
        </row>
        <row r="6036">
          <cell r="F6036">
            <v>8.2400000000000001E-2</v>
          </cell>
        </row>
        <row r="6037">
          <cell r="F6037">
            <v>8.1699999999999995E-2</v>
          </cell>
        </row>
        <row r="6038">
          <cell r="F6038">
            <v>8.3099999999999993E-2</v>
          </cell>
        </row>
        <row r="6039">
          <cell r="F6039">
            <v>7.17E-2</v>
          </cell>
        </row>
        <row r="6040">
          <cell r="F6040">
            <v>6.88E-2</v>
          </cell>
        </row>
        <row r="6041">
          <cell r="F6041">
            <v>3.3300000000000003E-2</v>
          </cell>
        </row>
        <row r="6042">
          <cell r="F6042">
            <v>8.3000000000000001E-3</v>
          </cell>
        </row>
        <row r="6043">
          <cell r="F6043">
            <v>8.3999999999999995E-3</v>
          </cell>
        </row>
        <row r="6044">
          <cell r="F6044">
            <v>6.8999999999999999E-3</v>
          </cell>
        </row>
        <row r="6045">
          <cell r="F6045">
            <v>7.0000000000000001E-3</v>
          </cell>
        </row>
        <row r="6046">
          <cell r="F6046">
            <v>7.0000000000000001E-3</v>
          </cell>
        </row>
        <row r="6047">
          <cell r="F6047">
            <v>1.1599999999999999E-2</v>
          </cell>
        </row>
        <row r="6048">
          <cell r="F6048">
            <v>1.43E-2</v>
          </cell>
        </row>
        <row r="6049">
          <cell r="F6049">
            <v>3.0700000000000002E-2</v>
          </cell>
        </row>
        <row r="6050">
          <cell r="F6050">
            <v>0.20200000000000001</v>
          </cell>
        </row>
        <row r="6051">
          <cell r="F6051">
            <v>1.0508999999999999</v>
          </cell>
        </row>
        <row r="6052">
          <cell r="F6052">
            <v>1.4245000000000001</v>
          </cell>
        </row>
        <row r="6053">
          <cell r="F6053">
            <v>0.66920000000000002</v>
          </cell>
        </row>
        <row r="6054">
          <cell r="F6054">
            <v>0.26790000000000003</v>
          </cell>
        </row>
        <row r="6055">
          <cell r="F6055">
            <v>0.26300000000000001</v>
          </cell>
        </row>
        <row r="6056">
          <cell r="F6056">
            <v>0.1031</v>
          </cell>
        </row>
        <row r="6057">
          <cell r="F6057">
            <v>9.5000000000000001E-2</v>
          </cell>
        </row>
        <row r="6058">
          <cell r="F6058">
            <v>8.5599999999999996E-2</v>
          </cell>
        </row>
        <row r="6059">
          <cell r="F6059">
            <v>8.7800000000000003E-2</v>
          </cell>
        </row>
        <row r="6060">
          <cell r="F6060">
            <v>9.2999999999999999E-2</v>
          </cell>
        </row>
        <row r="6061">
          <cell r="F6061">
            <v>9.3799999999999994E-2</v>
          </cell>
        </row>
        <row r="6062">
          <cell r="F6062">
            <v>9.4500000000000001E-2</v>
          </cell>
        </row>
        <row r="6063">
          <cell r="F6063">
            <v>9.2299999999999993E-2</v>
          </cell>
        </row>
        <row r="6064">
          <cell r="F6064">
            <v>8.8099999999999998E-2</v>
          </cell>
        </row>
        <row r="6065">
          <cell r="F6065">
            <v>6.8099999999999994E-2</v>
          </cell>
        </row>
        <row r="6066">
          <cell r="F6066">
            <v>6.1699999999999998E-2</v>
          </cell>
        </row>
        <row r="6067">
          <cell r="F6067">
            <v>3.6799999999999999E-2</v>
          </cell>
        </row>
        <row r="6068">
          <cell r="F6068">
            <v>3.6799999999999999E-2</v>
          </cell>
        </row>
        <row r="6069">
          <cell r="F6069">
            <v>3.61E-2</v>
          </cell>
        </row>
        <row r="6070">
          <cell r="F6070">
            <v>4.87E-2</v>
          </cell>
        </row>
        <row r="6071">
          <cell r="F6071">
            <v>4.1799999999999997E-2</v>
          </cell>
        </row>
        <row r="6072">
          <cell r="F6072">
            <v>4.1200000000000001E-2</v>
          </cell>
        </row>
        <row r="6073">
          <cell r="F6073">
            <v>6.9099999999999995E-2</v>
          </cell>
        </row>
        <row r="6074">
          <cell r="F6074">
            <v>8.6499999999999994E-2</v>
          </cell>
        </row>
        <row r="6075">
          <cell r="F6075">
            <v>0.1114</v>
          </cell>
        </row>
        <row r="6076">
          <cell r="F6076">
            <v>0.1205</v>
          </cell>
        </row>
        <row r="6077">
          <cell r="F6077">
            <v>0.121</v>
          </cell>
        </row>
        <row r="6078">
          <cell r="F6078">
            <v>0.1203</v>
          </cell>
        </row>
        <row r="6079">
          <cell r="F6079">
            <v>9.9500000000000005E-2</v>
          </cell>
        </row>
        <row r="6080">
          <cell r="F6080">
            <v>9.9500000000000005E-2</v>
          </cell>
        </row>
        <row r="6081">
          <cell r="F6081">
            <v>9.9500000000000005E-2</v>
          </cell>
        </row>
        <row r="6082">
          <cell r="F6082">
            <v>0.1023</v>
          </cell>
        </row>
        <row r="6083">
          <cell r="F6083">
            <v>9.8699999999999996E-2</v>
          </cell>
        </row>
        <row r="6084">
          <cell r="F6084">
            <v>9.2299999999999993E-2</v>
          </cell>
        </row>
        <row r="6085">
          <cell r="F6085">
            <v>8.0199999999999994E-2</v>
          </cell>
        </row>
        <row r="6086">
          <cell r="F6086">
            <v>7.9500000000000001E-2</v>
          </cell>
        </row>
        <row r="6087">
          <cell r="F6087">
            <v>7.8100000000000003E-2</v>
          </cell>
        </row>
        <row r="6088">
          <cell r="F6088">
            <v>7.5300000000000006E-2</v>
          </cell>
        </row>
        <row r="6089">
          <cell r="F6089">
            <v>7.1999999999999995E-2</v>
          </cell>
        </row>
        <row r="6090">
          <cell r="F6090">
            <v>6.3899999999999998E-2</v>
          </cell>
        </row>
        <row r="6091">
          <cell r="F6091">
            <v>5.8900000000000001E-2</v>
          </cell>
        </row>
        <row r="6092">
          <cell r="F6092">
            <v>5.4600000000000003E-2</v>
          </cell>
        </row>
        <row r="6093">
          <cell r="F6093">
            <v>5.3900000000000003E-2</v>
          </cell>
        </row>
        <row r="6094">
          <cell r="F6094">
            <v>5.4699999999999999E-2</v>
          </cell>
        </row>
        <row r="6095">
          <cell r="F6095">
            <v>5.6800000000000003E-2</v>
          </cell>
        </row>
        <row r="6096">
          <cell r="F6096">
            <v>6.1899999999999997E-2</v>
          </cell>
        </row>
        <row r="6097">
          <cell r="F6097">
            <v>7.1800000000000003E-2</v>
          </cell>
        </row>
        <row r="6098">
          <cell r="F6098">
            <v>8.6800000000000002E-2</v>
          </cell>
        </row>
        <row r="6099">
          <cell r="F6099">
            <v>0.1226</v>
          </cell>
        </row>
        <row r="6100">
          <cell r="F6100">
            <v>8.8400000000000006E-2</v>
          </cell>
        </row>
        <row r="6101">
          <cell r="F6101">
            <v>0.10829999999999999</v>
          </cell>
        </row>
        <row r="6102">
          <cell r="F6102">
            <v>9.3899999999999997E-2</v>
          </cell>
        </row>
        <row r="6103">
          <cell r="F6103">
            <v>9.3799999999999994E-2</v>
          </cell>
        </row>
        <row r="6104">
          <cell r="F6104">
            <v>9.3799999999999994E-2</v>
          </cell>
        </row>
        <row r="6105">
          <cell r="F6105">
            <v>9.3799999999999994E-2</v>
          </cell>
        </row>
        <row r="6106">
          <cell r="F6106">
            <v>9.0899999999999995E-2</v>
          </cell>
        </row>
        <row r="6107">
          <cell r="F6107">
            <v>8.8099999999999998E-2</v>
          </cell>
        </row>
        <row r="6108">
          <cell r="F6108">
            <v>8.4500000000000006E-2</v>
          </cell>
        </row>
        <row r="6109">
          <cell r="F6109">
            <v>8.3799999999999999E-2</v>
          </cell>
        </row>
        <row r="6110">
          <cell r="F6110">
            <v>8.8099999999999998E-2</v>
          </cell>
        </row>
        <row r="6111">
          <cell r="F6111">
            <v>9.0200000000000002E-2</v>
          </cell>
        </row>
        <row r="6112">
          <cell r="F6112">
            <v>7.5999999999999998E-2</v>
          </cell>
        </row>
        <row r="6113">
          <cell r="F6113">
            <v>7.46E-2</v>
          </cell>
        </row>
        <row r="6114">
          <cell r="F6114">
            <v>7.46E-2</v>
          </cell>
        </row>
        <row r="6115">
          <cell r="F6115">
            <v>7.46E-2</v>
          </cell>
        </row>
        <row r="6116">
          <cell r="F6116">
            <v>7.3899999999999993E-2</v>
          </cell>
        </row>
        <row r="6117">
          <cell r="F6117">
            <v>7.2499999999999995E-2</v>
          </cell>
        </row>
        <row r="6118">
          <cell r="F6118">
            <v>7.46E-2</v>
          </cell>
        </row>
        <row r="6119">
          <cell r="F6119">
            <v>7.46E-2</v>
          </cell>
        </row>
        <row r="6120">
          <cell r="F6120">
            <v>7.6100000000000001E-2</v>
          </cell>
        </row>
        <row r="6121">
          <cell r="F6121">
            <v>7.8200000000000006E-2</v>
          </cell>
        </row>
        <row r="6122">
          <cell r="F6122">
            <v>9.6699999999999994E-2</v>
          </cell>
        </row>
        <row r="6123">
          <cell r="F6123">
            <v>8.7900000000000006E-2</v>
          </cell>
        </row>
        <row r="6124">
          <cell r="F6124">
            <v>0.12889999999999999</v>
          </cell>
        </row>
        <row r="6125">
          <cell r="F6125">
            <v>0.1618</v>
          </cell>
        </row>
        <row r="6126">
          <cell r="F6126">
            <v>0.1021</v>
          </cell>
        </row>
        <row r="6127">
          <cell r="F6127">
            <v>9.3799999999999994E-2</v>
          </cell>
        </row>
        <row r="6128">
          <cell r="F6128">
            <v>9.8000000000000004E-2</v>
          </cell>
        </row>
        <row r="6129">
          <cell r="F6129">
            <v>9.4500000000000001E-2</v>
          </cell>
        </row>
        <row r="6130">
          <cell r="F6130">
            <v>9.4500000000000001E-2</v>
          </cell>
        </row>
        <row r="6131">
          <cell r="F6131">
            <v>9.2999999999999999E-2</v>
          </cell>
        </row>
        <row r="6132">
          <cell r="F6132">
            <v>8.9499999999999996E-2</v>
          </cell>
        </row>
        <row r="6133">
          <cell r="F6133">
            <v>8.8800000000000004E-2</v>
          </cell>
        </row>
        <row r="6134">
          <cell r="F6134">
            <v>9.0200000000000002E-2</v>
          </cell>
        </row>
        <row r="6135">
          <cell r="F6135">
            <v>9.4500000000000001E-2</v>
          </cell>
        </row>
        <row r="6136">
          <cell r="F6136">
            <v>8.8800000000000004E-2</v>
          </cell>
        </row>
        <row r="6137">
          <cell r="F6137">
            <v>7.5399999999999995E-2</v>
          </cell>
        </row>
        <row r="6138">
          <cell r="F6138">
            <v>7.4700000000000003E-2</v>
          </cell>
        </row>
        <row r="6139">
          <cell r="F6139">
            <v>7.3899999999999993E-2</v>
          </cell>
        </row>
        <row r="6140">
          <cell r="F6140">
            <v>7.46E-2</v>
          </cell>
        </row>
        <row r="6141">
          <cell r="F6141">
            <v>7.5300000000000006E-2</v>
          </cell>
        </row>
        <row r="6142">
          <cell r="F6142">
            <v>7.46E-2</v>
          </cell>
        </row>
        <row r="6143">
          <cell r="F6143">
            <v>7.5300000000000006E-2</v>
          </cell>
        </row>
        <row r="6144">
          <cell r="F6144">
            <v>7.5300000000000006E-2</v>
          </cell>
        </row>
        <row r="6145">
          <cell r="F6145">
            <v>0.1028</v>
          </cell>
        </row>
        <row r="6146">
          <cell r="F6146">
            <v>0.2361</v>
          </cell>
        </row>
        <row r="6147">
          <cell r="F6147">
            <v>1.0616000000000001</v>
          </cell>
        </row>
        <row r="6148">
          <cell r="F6148">
            <v>1.4292</v>
          </cell>
        </row>
        <row r="6149">
          <cell r="F6149">
            <v>0.66869999999999996</v>
          </cell>
        </row>
        <row r="6150">
          <cell r="F6150">
            <v>0.26390000000000002</v>
          </cell>
        </row>
        <row r="6151">
          <cell r="F6151">
            <v>0.2651</v>
          </cell>
        </row>
        <row r="6152">
          <cell r="F6152">
            <v>0.10539999999999999</v>
          </cell>
        </row>
        <row r="6153">
          <cell r="F6153">
            <v>9.3799999999999994E-2</v>
          </cell>
        </row>
        <row r="6154">
          <cell r="F6154">
            <v>9.5200000000000007E-2</v>
          </cell>
        </row>
        <row r="6155">
          <cell r="F6155">
            <v>9.4500000000000001E-2</v>
          </cell>
        </row>
        <row r="6156">
          <cell r="F6156">
            <v>9.3799999999999994E-2</v>
          </cell>
        </row>
        <row r="6157">
          <cell r="F6157">
            <v>9.3100000000000002E-2</v>
          </cell>
        </row>
        <row r="6158">
          <cell r="F6158">
            <v>9.3100000000000002E-2</v>
          </cell>
        </row>
        <row r="6159">
          <cell r="F6159">
            <v>9.4500000000000001E-2</v>
          </cell>
        </row>
        <row r="6160">
          <cell r="F6160">
            <v>9.0200000000000002E-2</v>
          </cell>
        </row>
        <row r="6161">
          <cell r="F6161">
            <v>6.25E-2</v>
          </cell>
        </row>
        <row r="6162">
          <cell r="F6162">
            <v>5.6800000000000003E-2</v>
          </cell>
        </row>
        <row r="6163">
          <cell r="F6163">
            <v>5.5300000000000002E-2</v>
          </cell>
        </row>
        <row r="6164">
          <cell r="F6164">
            <v>5.8200000000000002E-2</v>
          </cell>
        </row>
        <row r="6165">
          <cell r="F6165">
            <v>5.8200000000000002E-2</v>
          </cell>
        </row>
        <row r="6166">
          <cell r="F6166">
            <v>6.25E-2</v>
          </cell>
        </row>
        <row r="6167">
          <cell r="F6167">
            <v>6.4699999999999994E-2</v>
          </cell>
        </row>
        <row r="6168">
          <cell r="F6168">
            <v>6.6100000000000006E-2</v>
          </cell>
        </row>
        <row r="6169">
          <cell r="F6169">
            <v>8.2199999999999995E-2</v>
          </cell>
        </row>
        <row r="6170">
          <cell r="F6170">
            <v>0.20330000000000001</v>
          </cell>
        </row>
        <row r="6171">
          <cell r="F6171">
            <v>1.0278</v>
          </cell>
        </row>
        <row r="6172">
          <cell r="F6172">
            <v>1.3993</v>
          </cell>
        </row>
        <row r="6173">
          <cell r="F6173">
            <v>0.64049999999999996</v>
          </cell>
        </row>
        <row r="6174">
          <cell r="F6174">
            <v>0.23949999999999999</v>
          </cell>
        </row>
        <row r="6175">
          <cell r="F6175">
            <v>0.23799999999999999</v>
          </cell>
        </row>
        <row r="6176">
          <cell r="F6176">
            <v>9.3299999999999994E-2</v>
          </cell>
        </row>
        <row r="6177">
          <cell r="F6177">
            <v>6.3799999999999996E-2</v>
          </cell>
        </row>
        <row r="6178">
          <cell r="F6178">
            <v>8.5900000000000004E-2</v>
          </cell>
        </row>
        <row r="6179">
          <cell r="F6179">
            <v>8.0199999999999994E-2</v>
          </cell>
        </row>
        <row r="6180">
          <cell r="F6180">
            <v>6.5299999999999997E-2</v>
          </cell>
        </row>
        <row r="6181">
          <cell r="F6181">
            <v>6.3899999999999998E-2</v>
          </cell>
        </row>
        <row r="6182">
          <cell r="F6182">
            <v>6.6699999999999995E-2</v>
          </cell>
        </row>
        <row r="6183">
          <cell r="F6183">
            <v>6.6699999999999995E-2</v>
          </cell>
        </row>
        <row r="6184">
          <cell r="F6184">
            <v>6.4600000000000005E-2</v>
          </cell>
        </row>
        <row r="6185">
          <cell r="F6185">
            <v>0</v>
          </cell>
        </row>
        <row r="6186">
          <cell r="F6186">
            <v>0</v>
          </cell>
        </row>
        <row r="6187">
          <cell r="F6187">
            <v>2.5999999999999999E-3</v>
          </cell>
        </row>
        <row r="6188">
          <cell r="F6188">
            <v>2.5999999999999999E-3</v>
          </cell>
        </row>
        <row r="6189">
          <cell r="F6189">
            <v>0</v>
          </cell>
        </row>
        <row r="6190">
          <cell r="F6190">
            <v>1E-4</v>
          </cell>
        </row>
        <row r="6191">
          <cell r="F6191">
            <v>4.5999999999999999E-3</v>
          </cell>
        </row>
        <row r="6192">
          <cell r="F6192">
            <v>5.0000000000000001E-4</v>
          </cell>
        </row>
        <row r="6193">
          <cell r="F6193">
            <v>2.46E-2</v>
          </cell>
        </row>
        <row r="6194">
          <cell r="F6194">
            <v>0.14860000000000001</v>
          </cell>
        </row>
        <row r="6195">
          <cell r="F6195">
            <v>1.0390999999999999</v>
          </cell>
        </row>
        <row r="6196">
          <cell r="F6196">
            <v>1.4111</v>
          </cell>
        </row>
        <row r="6197">
          <cell r="F6197">
            <v>0.6522</v>
          </cell>
        </row>
        <row r="6198">
          <cell r="F6198">
            <v>0.24260000000000001</v>
          </cell>
        </row>
        <row r="6199">
          <cell r="F6199">
            <v>0.2432</v>
          </cell>
        </row>
        <row r="6200">
          <cell r="F6200">
            <v>8.2699999999999996E-2</v>
          </cell>
        </row>
        <row r="6201">
          <cell r="F6201">
            <v>7.8100000000000003E-2</v>
          </cell>
        </row>
        <row r="6202">
          <cell r="F6202">
            <v>7.2400000000000006E-2</v>
          </cell>
        </row>
        <row r="6203">
          <cell r="F6203">
            <v>7.8799999999999995E-2</v>
          </cell>
        </row>
        <row r="6204">
          <cell r="F6204">
            <v>7.6700000000000004E-2</v>
          </cell>
        </row>
        <row r="6205">
          <cell r="F6205">
            <v>7.6700000000000004E-2</v>
          </cell>
        </row>
        <row r="6206">
          <cell r="F6206">
            <v>7.6700000000000004E-2</v>
          </cell>
        </row>
        <row r="6207">
          <cell r="F6207">
            <v>7.5999999999999998E-2</v>
          </cell>
        </row>
        <row r="6208">
          <cell r="F6208">
            <v>6.5299999999999997E-2</v>
          </cell>
        </row>
        <row r="6209">
          <cell r="F6209">
            <v>1.4E-2</v>
          </cell>
        </row>
        <row r="6210">
          <cell r="F6210">
            <v>1.4E-2</v>
          </cell>
        </row>
        <row r="6211">
          <cell r="F6211">
            <v>1.4E-2</v>
          </cell>
        </row>
        <row r="6212">
          <cell r="F6212">
            <v>1.41E-2</v>
          </cell>
        </row>
        <row r="6213">
          <cell r="F6213">
            <v>1.41E-2</v>
          </cell>
        </row>
        <row r="6214">
          <cell r="F6214">
            <v>2.5999999999999999E-3</v>
          </cell>
        </row>
        <row r="6215">
          <cell r="F6215">
            <v>2.0000000000000001E-4</v>
          </cell>
        </row>
        <row r="6216">
          <cell r="F6216">
            <v>4.0000000000000002E-4</v>
          </cell>
        </row>
        <row r="6217">
          <cell r="F6217">
            <v>8.9999999999999998E-4</v>
          </cell>
        </row>
        <row r="6218">
          <cell r="F6218">
            <v>3.1199999999999999E-2</v>
          </cell>
        </row>
        <row r="6219">
          <cell r="F6219">
            <v>9.5600000000000004E-2</v>
          </cell>
        </row>
        <row r="6220">
          <cell r="F6220">
            <v>9.2700000000000005E-2</v>
          </cell>
        </row>
        <row r="6221">
          <cell r="F6221">
            <v>8.9200000000000002E-2</v>
          </cell>
        </row>
        <row r="6222">
          <cell r="F6222">
            <v>9.01E-2</v>
          </cell>
        </row>
        <row r="6223">
          <cell r="F6223">
            <v>8.9099999999999999E-2</v>
          </cell>
        </row>
        <row r="6224">
          <cell r="F6224">
            <v>8.8099999999999998E-2</v>
          </cell>
        </row>
        <row r="6225">
          <cell r="F6225">
            <v>8.9499999999999996E-2</v>
          </cell>
        </row>
        <row r="6226">
          <cell r="F6226">
            <v>8.5900000000000004E-2</v>
          </cell>
        </row>
        <row r="6227">
          <cell r="F6227">
            <v>8.4500000000000006E-2</v>
          </cell>
        </row>
        <row r="6228">
          <cell r="F6228">
            <v>8.4500000000000006E-2</v>
          </cell>
        </row>
        <row r="6229">
          <cell r="F6229">
            <v>8.1699999999999995E-2</v>
          </cell>
        </row>
        <row r="6230">
          <cell r="F6230">
            <v>8.3099999999999993E-2</v>
          </cell>
        </row>
        <row r="6231">
          <cell r="F6231">
            <v>8.6599999999999996E-2</v>
          </cell>
        </row>
        <row r="6232">
          <cell r="F6232">
            <v>7.7399999999999997E-2</v>
          </cell>
        </row>
        <row r="6233">
          <cell r="F6233">
            <v>6.8900000000000003E-2</v>
          </cell>
        </row>
        <row r="6234">
          <cell r="F6234">
            <v>6.6799999999999998E-2</v>
          </cell>
        </row>
        <row r="6235">
          <cell r="F6235">
            <v>6.6100000000000006E-2</v>
          </cell>
        </row>
        <row r="6236">
          <cell r="F6236">
            <v>6.6199999999999995E-2</v>
          </cell>
        </row>
        <row r="6237">
          <cell r="F6237">
            <v>6.5699999999999995E-2</v>
          </cell>
        </row>
        <row r="6238">
          <cell r="F6238">
            <v>6.59E-2</v>
          </cell>
        </row>
        <row r="6239">
          <cell r="F6239">
            <v>6.2899999999999998E-2</v>
          </cell>
        </row>
        <row r="6240">
          <cell r="F6240">
            <v>6.5699999999999995E-2</v>
          </cell>
        </row>
        <row r="6241">
          <cell r="F6241">
            <v>6.8500000000000005E-2</v>
          </cell>
        </row>
        <row r="6242">
          <cell r="F6242">
            <v>8.3000000000000004E-2</v>
          </cell>
        </row>
        <row r="6243">
          <cell r="F6243">
            <v>9.2100000000000001E-2</v>
          </cell>
        </row>
        <row r="6244">
          <cell r="F6244">
            <v>8.4699999999999998E-2</v>
          </cell>
        </row>
        <row r="6245">
          <cell r="F6245">
            <v>8.5500000000000007E-2</v>
          </cell>
        </row>
        <row r="6246">
          <cell r="F6246">
            <v>8.6400000000000005E-2</v>
          </cell>
        </row>
        <row r="6247">
          <cell r="F6247">
            <v>8.9899999999999994E-2</v>
          </cell>
        </row>
        <row r="6248">
          <cell r="F6248">
            <v>0.1144</v>
          </cell>
        </row>
        <row r="6249">
          <cell r="F6249">
            <v>0.10440000000000001</v>
          </cell>
        </row>
        <row r="6250">
          <cell r="F6250">
            <v>0.1016</v>
          </cell>
        </row>
        <row r="6251">
          <cell r="F6251">
            <v>9.8000000000000004E-2</v>
          </cell>
        </row>
        <row r="6252">
          <cell r="F6252">
            <v>9.8000000000000004E-2</v>
          </cell>
        </row>
        <row r="6253">
          <cell r="F6253">
            <v>9.9500000000000005E-2</v>
          </cell>
        </row>
        <row r="6254">
          <cell r="F6254">
            <v>9.5899999999999999E-2</v>
          </cell>
        </row>
        <row r="6255">
          <cell r="F6255">
            <v>8.9499999999999996E-2</v>
          </cell>
        </row>
        <row r="6256">
          <cell r="F6256">
            <v>7.7399999999999997E-2</v>
          </cell>
        </row>
        <row r="6257">
          <cell r="F6257">
            <v>7.46E-2</v>
          </cell>
        </row>
        <row r="6258">
          <cell r="F6258">
            <v>7.46E-2</v>
          </cell>
        </row>
        <row r="6259">
          <cell r="F6259">
            <v>7.46E-2</v>
          </cell>
        </row>
        <row r="6260">
          <cell r="F6260">
            <v>7.3300000000000004E-2</v>
          </cell>
        </row>
        <row r="6261">
          <cell r="F6261">
            <v>7.3400000000000007E-2</v>
          </cell>
        </row>
        <row r="6262">
          <cell r="F6262">
            <v>7.3499999999999996E-2</v>
          </cell>
        </row>
        <row r="6263">
          <cell r="F6263">
            <v>7.3700000000000002E-2</v>
          </cell>
        </row>
        <row r="6264">
          <cell r="F6264">
            <v>7.3700000000000002E-2</v>
          </cell>
        </row>
        <row r="6265">
          <cell r="F6265">
            <v>7.5899999999999995E-2</v>
          </cell>
        </row>
        <row r="6266">
          <cell r="F6266">
            <v>9.5799999999999996E-2</v>
          </cell>
        </row>
        <row r="6267">
          <cell r="F6267">
            <v>0.1143</v>
          </cell>
        </row>
        <row r="6268">
          <cell r="F6268">
            <v>9.74E-2</v>
          </cell>
        </row>
        <row r="6269">
          <cell r="F6269">
            <v>0.151</v>
          </cell>
        </row>
        <row r="6270">
          <cell r="F6270">
            <v>9.5600000000000004E-2</v>
          </cell>
        </row>
        <row r="6271">
          <cell r="F6271">
            <v>9.2200000000000004E-2</v>
          </cell>
        </row>
        <row r="6272">
          <cell r="F6272">
            <v>9.7299999999999998E-2</v>
          </cell>
        </row>
        <row r="6273">
          <cell r="F6273">
            <v>9.8000000000000004E-2</v>
          </cell>
        </row>
        <row r="6274">
          <cell r="F6274">
            <v>9.5899999999999999E-2</v>
          </cell>
        </row>
        <row r="6275">
          <cell r="F6275">
            <v>9.8000000000000004E-2</v>
          </cell>
        </row>
        <row r="6276">
          <cell r="F6276">
            <v>9.8699999999999996E-2</v>
          </cell>
        </row>
        <row r="6277">
          <cell r="F6277">
            <v>9.8699999999999996E-2</v>
          </cell>
        </row>
        <row r="6278">
          <cell r="F6278">
            <v>9.7299999999999998E-2</v>
          </cell>
        </row>
        <row r="6279">
          <cell r="F6279">
            <v>9.5200000000000007E-2</v>
          </cell>
        </row>
        <row r="6280">
          <cell r="F6280">
            <v>8.1699999999999995E-2</v>
          </cell>
        </row>
        <row r="6281">
          <cell r="F6281">
            <v>7.46E-2</v>
          </cell>
        </row>
        <row r="6282">
          <cell r="F6282">
            <v>7.3099999999999998E-2</v>
          </cell>
        </row>
        <row r="6283">
          <cell r="F6283">
            <v>7.3800000000000004E-2</v>
          </cell>
        </row>
        <row r="6284">
          <cell r="F6284">
            <v>7.3099999999999998E-2</v>
          </cell>
        </row>
        <row r="6285">
          <cell r="F6285">
            <v>7.2400000000000006E-2</v>
          </cell>
        </row>
        <row r="6286">
          <cell r="F6286">
            <v>6.8099999999999994E-2</v>
          </cell>
        </row>
        <row r="6287">
          <cell r="F6287">
            <v>7.17E-2</v>
          </cell>
        </row>
        <row r="6288">
          <cell r="F6288">
            <v>6.5299999999999997E-2</v>
          </cell>
        </row>
        <row r="6289">
          <cell r="F6289">
            <v>6.8099999999999994E-2</v>
          </cell>
        </row>
        <row r="6290">
          <cell r="F6290">
            <v>8.9499999999999996E-2</v>
          </cell>
        </row>
        <row r="6291">
          <cell r="F6291">
            <v>9.1600000000000001E-2</v>
          </cell>
        </row>
        <row r="6292">
          <cell r="F6292">
            <v>8.7400000000000005E-2</v>
          </cell>
        </row>
        <row r="6293">
          <cell r="F6293">
            <v>9.0399999999999994E-2</v>
          </cell>
        </row>
        <row r="6294">
          <cell r="F6294">
            <v>8.9599999999999999E-2</v>
          </cell>
        </row>
        <row r="6295">
          <cell r="F6295">
            <v>9.0200000000000002E-2</v>
          </cell>
        </row>
        <row r="6296">
          <cell r="F6296">
            <v>8.2400000000000001E-2</v>
          </cell>
        </row>
        <row r="6297">
          <cell r="F6297">
            <v>0.1052</v>
          </cell>
        </row>
        <row r="6298">
          <cell r="F6298">
            <v>0.10299999999999999</v>
          </cell>
        </row>
        <row r="6299">
          <cell r="F6299">
            <v>0.1021</v>
          </cell>
        </row>
        <row r="6300">
          <cell r="F6300">
            <v>8.8800000000000004E-2</v>
          </cell>
        </row>
        <row r="6301">
          <cell r="F6301">
            <v>8.0199999999999994E-2</v>
          </cell>
        </row>
        <row r="6302">
          <cell r="F6302">
            <v>9.2299999999999993E-2</v>
          </cell>
        </row>
        <row r="6303">
          <cell r="F6303">
            <v>8.0199999999999994E-2</v>
          </cell>
        </row>
        <row r="6304">
          <cell r="F6304">
            <v>6.3899999999999998E-2</v>
          </cell>
        </row>
        <row r="6305">
          <cell r="F6305">
            <v>5.0500000000000003E-2</v>
          </cell>
        </row>
        <row r="6306">
          <cell r="F6306">
            <v>4.3999999999999997E-2</v>
          </cell>
        </row>
        <row r="6307">
          <cell r="F6307">
            <v>4.9599999999999998E-2</v>
          </cell>
        </row>
        <row r="6308">
          <cell r="F6308">
            <v>4.82E-2</v>
          </cell>
        </row>
        <row r="6309">
          <cell r="F6309">
            <v>4.82E-2</v>
          </cell>
        </row>
        <row r="6310">
          <cell r="F6310">
            <v>4.6800000000000001E-2</v>
          </cell>
        </row>
        <row r="6311">
          <cell r="F6311">
            <v>4.2599999999999999E-2</v>
          </cell>
        </row>
        <row r="6312">
          <cell r="F6312">
            <v>4.5400000000000003E-2</v>
          </cell>
        </row>
        <row r="6313">
          <cell r="F6313">
            <v>7.1499999999999994E-2</v>
          </cell>
        </row>
        <row r="6314">
          <cell r="F6314">
            <v>0.2019</v>
          </cell>
        </row>
        <row r="6315">
          <cell r="F6315">
            <v>1.0705</v>
          </cell>
        </row>
        <row r="6316">
          <cell r="F6316">
            <v>1.4180999999999999</v>
          </cell>
        </row>
        <row r="6317">
          <cell r="F6317">
            <v>0.66549999999999998</v>
          </cell>
        </row>
        <row r="6318">
          <cell r="F6318">
            <v>0.26440000000000002</v>
          </cell>
        </row>
        <row r="6319">
          <cell r="F6319">
            <v>0.251</v>
          </cell>
        </row>
        <row r="6320">
          <cell r="F6320">
            <v>9.2799999999999994E-2</v>
          </cell>
        </row>
        <row r="6321">
          <cell r="F6321">
            <v>7.5999999999999998E-2</v>
          </cell>
        </row>
        <row r="6322">
          <cell r="F6322">
            <v>7.8100000000000003E-2</v>
          </cell>
        </row>
        <row r="6323">
          <cell r="F6323">
            <v>7.8799999999999995E-2</v>
          </cell>
        </row>
        <row r="6324">
          <cell r="F6324">
            <v>7.8100000000000003E-2</v>
          </cell>
        </row>
        <row r="6325">
          <cell r="F6325">
            <v>7.8799999999999995E-2</v>
          </cell>
        </row>
        <row r="6326">
          <cell r="F6326">
            <v>7.8100000000000003E-2</v>
          </cell>
        </row>
        <row r="6327">
          <cell r="F6327">
            <v>7.8100000000000003E-2</v>
          </cell>
        </row>
        <row r="6328">
          <cell r="F6328">
            <v>7.8799999999999995E-2</v>
          </cell>
        </row>
        <row r="6329">
          <cell r="F6329">
            <v>6.6000000000000003E-2</v>
          </cell>
        </row>
        <row r="6330">
          <cell r="F6330">
            <v>5.3900000000000003E-2</v>
          </cell>
        </row>
        <row r="6331">
          <cell r="F6331">
            <v>5.0999999999999997E-2</v>
          </cell>
        </row>
        <row r="6332">
          <cell r="F6332">
            <v>5.96E-2</v>
          </cell>
        </row>
        <row r="6333">
          <cell r="F6333">
            <v>5.1799999999999999E-2</v>
          </cell>
        </row>
        <row r="6334">
          <cell r="F6334">
            <v>3.5400000000000001E-2</v>
          </cell>
        </row>
        <row r="6335">
          <cell r="F6335">
            <v>4.53E-2</v>
          </cell>
        </row>
        <row r="6336">
          <cell r="F6336">
            <v>4.4600000000000001E-2</v>
          </cell>
        </row>
        <row r="6337">
          <cell r="F6337">
            <v>4.8899999999999999E-2</v>
          </cell>
        </row>
        <row r="6338">
          <cell r="F6338">
            <v>7.2400000000000006E-2</v>
          </cell>
        </row>
        <row r="6339">
          <cell r="F6339">
            <v>9.5200000000000007E-2</v>
          </cell>
        </row>
        <row r="6340">
          <cell r="F6340">
            <v>8.8800000000000004E-2</v>
          </cell>
        </row>
        <row r="6341">
          <cell r="F6341">
            <v>9.0899999999999995E-2</v>
          </cell>
        </row>
        <row r="6342">
          <cell r="F6342">
            <v>9.1700000000000004E-2</v>
          </cell>
        </row>
        <row r="6343">
          <cell r="F6343">
            <v>9.1600000000000001E-2</v>
          </cell>
        </row>
        <row r="6344">
          <cell r="F6344">
            <v>7.8100000000000003E-2</v>
          </cell>
        </row>
        <row r="6345">
          <cell r="F6345">
            <v>7.2400000000000006E-2</v>
          </cell>
        </row>
        <row r="6346">
          <cell r="F6346">
            <v>7.7399999999999997E-2</v>
          </cell>
        </row>
        <row r="6347">
          <cell r="F6347">
            <v>7.3099999999999998E-2</v>
          </cell>
        </row>
        <row r="6348">
          <cell r="F6348">
            <v>7.5999999999999998E-2</v>
          </cell>
        </row>
        <row r="6349">
          <cell r="F6349">
            <v>8.2400000000000001E-2</v>
          </cell>
        </row>
        <row r="6350">
          <cell r="F6350">
            <v>8.2400000000000001E-2</v>
          </cell>
        </row>
        <row r="6351">
          <cell r="F6351">
            <v>8.3799999999999999E-2</v>
          </cell>
        </row>
        <row r="6352">
          <cell r="F6352">
            <v>6.0999999999999999E-2</v>
          </cell>
        </row>
        <row r="6353">
          <cell r="F6353">
            <v>4.6800000000000001E-2</v>
          </cell>
        </row>
        <row r="6354">
          <cell r="F6354">
            <v>4.0500000000000001E-2</v>
          </cell>
        </row>
        <row r="6355">
          <cell r="F6355">
            <v>0.04</v>
          </cell>
        </row>
        <row r="6356">
          <cell r="F6356">
            <v>3.3E-3</v>
          </cell>
        </row>
        <row r="6357">
          <cell r="F6357">
            <v>3.5999999999999999E-3</v>
          </cell>
        </row>
        <row r="6358">
          <cell r="F6358">
            <v>3.8E-3</v>
          </cell>
        </row>
        <row r="6359">
          <cell r="F6359">
            <v>1.77E-2</v>
          </cell>
        </row>
        <row r="6360">
          <cell r="F6360">
            <v>1.9E-3</v>
          </cell>
        </row>
        <row r="6361">
          <cell r="F6361">
            <v>1.8200000000000001E-2</v>
          </cell>
        </row>
        <row r="6362">
          <cell r="F6362">
            <v>6.3700000000000007E-2</v>
          </cell>
        </row>
        <row r="6363">
          <cell r="F6363">
            <v>0.1082</v>
          </cell>
        </row>
        <row r="6364">
          <cell r="F6364">
            <v>8.9700000000000002E-2</v>
          </cell>
        </row>
        <row r="6365">
          <cell r="F6365">
            <v>9.1200000000000003E-2</v>
          </cell>
        </row>
        <row r="6366">
          <cell r="F6366">
            <v>9.0300000000000005E-2</v>
          </cell>
        </row>
        <row r="6367">
          <cell r="F6367">
            <v>9.0499999999999997E-2</v>
          </cell>
        </row>
        <row r="6368">
          <cell r="F6368">
            <v>8.6699999999999999E-2</v>
          </cell>
        </row>
        <row r="6369">
          <cell r="F6369">
            <v>7.5499999999999998E-2</v>
          </cell>
        </row>
        <row r="6370">
          <cell r="F6370">
            <v>7.6899999999999996E-2</v>
          </cell>
        </row>
        <row r="6371">
          <cell r="F6371">
            <v>7.4800000000000005E-2</v>
          </cell>
        </row>
        <row r="6372">
          <cell r="F6372">
            <v>7.9000000000000001E-2</v>
          </cell>
        </row>
        <row r="6373">
          <cell r="F6373">
            <v>7.9699999999999993E-2</v>
          </cell>
        </row>
        <row r="6374">
          <cell r="F6374">
            <v>7.9699999999999993E-2</v>
          </cell>
        </row>
        <row r="6375">
          <cell r="F6375">
            <v>8.4500000000000006E-2</v>
          </cell>
        </row>
        <row r="6376">
          <cell r="F6376">
            <v>5.6000000000000001E-2</v>
          </cell>
        </row>
        <row r="6377">
          <cell r="F6377">
            <v>2.0000000000000001E-4</v>
          </cell>
        </row>
        <row r="6378">
          <cell r="F6378">
            <v>2.5999999999999999E-3</v>
          </cell>
        </row>
        <row r="6379">
          <cell r="F6379">
            <v>0</v>
          </cell>
        </row>
        <row r="6380">
          <cell r="F6380">
            <v>0</v>
          </cell>
        </row>
        <row r="6381">
          <cell r="F6381">
            <v>0</v>
          </cell>
        </row>
        <row r="6382">
          <cell r="F6382">
            <v>0</v>
          </cell>
        </row>
        <row r="6383">
          <cell r="F6383">
            <v>6.7000000000000002E-3</v>
          </cell>
        </row>
        <row r="6384">
          <cell r="F6384">
            <v>1.38E-2</v>
          </cell>
        </row>
        <row r="6385">
          <cell r="F6385">
            <v>1.9E-3</v>
          </cell>
        </row>
        <row r="6386">
          <cell r="F6386">
            <v>6.5500000000000003E-2</v>
          </cell>
        </row>
        <row r="6387">
          <cell r="F6387">
            <v>9.5899999999999999E-2</v>
          </cell>
        </row>
        <row r="6388">
          <cell r="F6388">
            <v>8.9599999999999999E-2</v>
          </cell>
        </row>
        <row r="6389">
          <cell r="F6389">
            <v>9.0399999999999994E-2</v>
          </cell>
        </row>
        <row r="6390">
          <cell r="F6390">
            <v>8.9300000000000004E-2</v>
          </cell>
        </row>
        <row r="6391">
          <cell r="F6391">
            <v>9.0200000000000002E-2</v>
          </cell>
        </row>
        <row r="6392">
          <cell r="F6392">
            <v>8.3099999999999993E-2</v>
          </cell>
        </row>
        <row r="6393">
          <cell r="F6393">
            <v>9.0200000000000002E-2</v>
          </cell>
        </row>
        <row r="6394">
          <cell r="F6394">
            <v>9.2299999999999993E-2</v>
          </cell>
        </row>
        <row r="6395">
          <cell r="F6395">
            <v>9.1600000000000001E-2</v>
          </cell>
        </row>
        <row r="6396">
          <cell r="F6396">
            <v>9.0899999999999995E-2</v>
          </cell>
        </row>
        <row r="6397">
          <cell r="F6397">
            <v>8.9499999999999996E-2</v>
          </cell>
        </row>
        <row r="6398">
          <cell r="F6398">
            <v>8.1699999999999995E-2</v>
          </cell>
        </row>
        <row r="6399">
          <cell r="F6399">
            <v>8.0199999999999994E-2</v>
          </cell>
        </row>
        <row r="6400">
          <cell r="F6400">
            <v>7.6700000000000004E-2</v>
          </cell>
        </row>
        <row r="6401">
          <cell r="F6401">
            <v>6.3200000000000006E-2</v>
          </cell>
        </row>
        <row r="6402">
          <cell r="F6402">
            <v>6.25E-2</v>
          </cell>
        </row>
        <row r="6403">
          <cell r="F6403">
            <v>6.9699999999999998E-2</v>
          </cell>
        </row>
        <row r="6404">
          <cell r="F6404">
            <v>6.2600000000000003E-2</v>
          </cell>
        </row>
        <row r="6405">
          <cell r="F6405">
            <v>6.2E-2</v>
          </cell>
        </row>
        <row r="6406">
          <cell r="F6406">
            <v>5.9200000000000003E-2</v>
          </cell>
        </row>
        <row r="6407">
          <cell r="F6407">
            <v>5.3600000000000002E-2</v>
          </cell>
        </row>
        <row r="6408">
          <cell r="F6408">
            <v>5.5300000000000002E-2</v>
          </cell>
        </row>
        <row r="6409">
          <cell r="F6409">
            <v>6.2700000000000006E-2</v>
          </cell>
        </row>
        <row r="6410">
          <cell r="F6410">
            <v>9.4899999999999998E-2</v>
          </cell>
        </row>
        <row r="6411">
          <cell r="F6411">
            <v>0.10100000000000001</v>
          </cell>
        </row>
        <row r="6412">
          <cell r="F6412">
            <v>9.5799999999999996E-2</v>
          </cell>
        </row>
        <row r="6413">
          <cell r="F6413">
            <v>9.6299999999999997E-2</v>
          </cell>
        </row>
        <row r="6414">
          <cell r="F6414">
            <v>9.4E-2</v>
          </cell>
        </row>
        <row r="6415">
          <cell r="F6415">
            <v>8.8300000000000003E-2</v>
          </cell>
        </row>
        <row r="6416">
          <cell r="F6416">
            <v>8.3699999999999997E-2</v>
          </cell>
        </row>
        <row r="6417">
          <cell r="F6417">
            <v>8.3599999999999994E-2</v>
          </cell>
        </row>
        <row r="6418">
          <cell r="F6418">
            <v>8.5099999999999995E-2</v>
          </cell>
        </row>
        <row r="6419">
          <cell r="F6419">
            <v>8.5099999999999995E-2</v>
          </cell>
        </row>
        <row r="6420">
          <cell r="F6420">
            <v>8.2900000000000001E-2</v>
          </cell>
        </row>
        <row r="6421">
          <cell r="F6421">
            <v>8.3599999999999994E-2</v>
          </cell>
        </row>
        <row r="6422">
          <cell r="F6422">
            <v>8.2900000000000001E-2</v>
          </cell>
        </row>
        <row r="6423">
          <cell r="F6423">
            <v>8.3599999999999994E-2</v>
          </cell>
        </row>
        <row r="6424">
          <cell r="F6424">
            <v>7.85E-2</v>
          </cell>
        </row>
        <row r="6425">
          <cell r="F6425">
            <v>6.8199999999999997E-2</v>
          </cell>
        </row>
        <row r="6426">
          <cell r="F6426">
            <v>6.3200000000000006E-2</v>
          </cell>
        </row>
        <row r="6427">
          <cell r="F6427">
            <v>6.25E-2</v>
          </cell>
        </row>
        <row r="6428">
          <cell r="F6428">
            <v>5.57E-2</v>
          </cell>
        </row>
        <row r="6429">
          <cell r="F6429">
            <v>5.5399999999999998E-2</v>
          </cell>
        </row>
        <row r="6430">
          <cell r="F6430">
            <v>5.6099999999999997E-2</v>
          </cell>
        </row>
        <row r="6431">
          <cell r="F6431">
            <v>5.8299999999999998E-2</v>
          </cell>
        </row>
        <row r="6432">
          <cell r="F6432">
            <v>6.1100000000000002E-2</v>
          </cell>
        </row>
        <row r="6433">
          <cell r="F6433">
            <v>7.2099999999999997E-2</v>
          </cell>
        </row>
        <row r="6434">
          <cell r="F6434">
            <v>0.1145</v>
          </cell>
        </row>
        <row r="6435">
          <cell r="F6435">
            <v>0.1062</v>
          </cell>
        </row>
        <row r="6436">
          <cell r="F6436">
            <v>0.1022</v>
          </cell>
        </row>
        <row r="6437">
          <cell r="F6437">
            <v>8.6199999999999999E-2</v>
          </cell>
        </row>
        <row r="6438">
          <cell r="F6438">
            <v>8.3599999999999994E-2</v>
          </cell>
        </row>
        <row r="6439">
          <cell r="F6439">
            <v>0.12039999999999999</v>
          </cell>
        </row>
        <row r="6440">
          <cell r="F6440">
            <v>0.1074</v>
          </cell>
        </row>
        <row r="6441">
          <cell r="F6441">
            <v>0.1045</v>
          </cell>
        </row>
        <row r="6442">
          <cell r="F6442">
            <v>0.1023</v>
          </cell>
        </row>
        <row r="6443">
          <cell r="F6443">
            <v>0.1008</v>
          </cell>
        </row>
        <row r="6444">
          <cell r="F6444">
            <v>9.5100000000000004E-2</v>
          </cell>
        </row>
        <row r="6445">
          <cell r="F6445">
            <v>9.1600000000000001E-2</v>
          </cell>
        </row>
        <row r="6446">
          <cell r="F6446">
            <v>9.8699999999999996E-2</v>
          </cell>
        </row>
        <row r="6447">
          <cell r="F6447">
            <v>9.5200000000000007E-2</v>
          </cell>
        </row>
        <row r="6448">
          <cell r="F6448">
            <v>8.5300000000000001E-2</v>
          </cell>
        </row>
        <row r="6449">
          <cell r="F6449">
            <v>6.9000000000000006E-2</v>
          </cell>
        </row>
        <row r="6450">
          <cell r="F6450">
            <v>6.5699999999999995E-2</v>
          </cell>
        </row>
        <row r="6451">
          <cell r="F6451">
            <v>6.7599999999999993E-2</v>
          </cell>
        </row>
        <row r="6452">
          <cell r="F6452">
            <v>7.51E-2</v>
          </cell>
        </row>
        <row r="6453">
          <cell r="F6453">
            <v>7.4700000000000003E-2</v>
          </cell>
        </row>
        <row r="6454">
          <cell r="F6454">
            <v>6.8500000000000005E-2</v>
          </cell>
        </row>
        <row r="6455">
          <cell r="F6455">
            <v>6.8000000000000005E-2</v>
          </cell>
        </row>
        <row r="6456">
          <cell r="F6456">
            <v>6.8199999999999997E-2</v>
          </cell>
        </row>
        <row r="6457">
          <cell r="F6457">
            <v>6.9000000000000006E-2</v>
          </cell>
        </row>
        <row r="6458">
          <cell r="F6458">
            <v>9.5200000000000007E-2</v>
          </cell>
        </row>
        <row r="6459">
          <cell r="F6459">
            <v>0.11899999999999999</v>
          </cell>
        </row>
        <row r="6460">
          <cell r="F6460">
            <v>0.11799999999999999</v>
          </cell>
        </row>
        <row r="6461">
          <cell r="F6461">
            <v>9.5899999999999999E-2</v>
          </cell>
        </row>
        <row r="6462">
          <cell r="F6462">
            <v>9.6699999999999994E-2</v>
          </cell>
        </row>
        <row r="6463">
          <cell r="F6463">
            <v>9.6199999999999994E-2</v>
          </cell>
        </row>
        <row r="6464">
          <cell r="F6464">
            <v>0.1023</v>
          </cell>
        </row>
        <row r="6465">
          <cell r="F6465">
            <v>0.1023</v>
          </cell>
        </row>
        <row r="6466">
          <cell r="F6466">
            <v>9.0899999999999995E-2</v>
          </cell>
        </row>
        <row r="6467">
          <cell r="F6467">
            <v>8.09E-2</v>
          </cell>
        </row>
        <row r="6468">
          <cell r="F6468">
            <v>8.0199999999999994E-2</v>
          </cell>
        </row>
        <row r="6469">
          <cell r="F6469">
            <v>8.0199999999999994E-2</v>
          </cell>
        </row>
        <row r="6470">
          <cell r="F6470">
            <v>8.8099999999999998E-2</v>
          </cell>
        </row>
        <row r="6471">
          <cell r="F6471">
            <v>7.9500000000000001E-2</v>
          </cell>
        </row>
        <row r="6472">
          <cell r="F6472">
            <v>6.88E-2</v>
          </cell>
        </row>
        <row r="6473">
          <cell r="F6473">
            <v>6.1199999999999997E-2</v>
          </cell>
        </row>
        <row r="6474">
          <cell r="F6474">
            <v>5.4699999999999999E-2</v>
          </cell>
        </row>
        <row r="6475">
          <cell r="F6475">
            <v>5.3999999999999999E-2</v>
          </cell>
        </row>
        <row r="6476">
          <cell r="F6476">
            <v>5.2499999999999998E-2</v>
          </cell>
        </row>
        <row r="6477">
          <cell r="F6477">
            <v>5.2600000000000001E-2</v>
          </cell>
        </row>
        <row r="6478">
          <cell r="F6478">
            <v>5.3400000000000003E-2</v>
          </cell>
        </row>
        <row r="6479">
          <cell r="F6479">
            <v>5.3699999999999998E-2</v>
          </cell>
        </row>
        <row r="6480">
          <cell r="F6480">
            <v>5.2499999999999998E-2</v>
          </cell>
        </row>
        <row r="6481">
          <cell r="F6481">
            <v>5.7700000000000001E-2</v>
          </cell>
        </row>
        <row r="6482">
          <cell r="F6482">
            <v>8.6900000000000005E-2</v>
          </cell>
        </row>
        <row r="6483">
          <cell r="F6483">
            <v>0.12039999999999999</v>
          </cell>
        </row>
        <row r="6484">
          <cell r="F6484">
            <v>0.1338</v>
          </cell>
        </row>
        <row r="6485">
          <cell r="F6485">
            <v>9.5500000000000002E-2</v>
          </cell>
        </row>
        <row r="6486">
          <cell r="F6486">
            <v>9.5799999999999996E-2</v>
          </cell>
        </row>
        <row r="6487">
          <cell r="F6487">
            <v>0.1089</v>
          </cell>
        </row>
        <row r="6488">
          <cell r="F6488">
            <v>9.5200000000000007E-2</v>
          </cell>
        </row>
        <row r="6489">
          <cell r="F6489">
            <v>9.6600000000000005E-2</v>
          </cell>
        </row>
        <row r="6490">
          <cell r="F6490">
            <v>9.4500000000000001E-2</v>
          </cell>
        </row>
        <row r="6491">
          <cell r="F6491">
            <v>9.0200000000000002E-2</v>
          </cell>
        </row>
        <row r="6492">
          <cell r="F6492">
            <v>8.1699999999999995E-2</v>
          </cell>
        </row>
        <row r="6493">
          <cell r="F6493">
            <v>8.3099999999999993E-2</v>
          </cell>
        </row>
        <row r="6494">
          <cell r="F6494">
            <v>8.5900000000000004E-2</v>
          </cell>
        </row>
        <row r="6495">
          <cell r="F6495">
            <v>6.88E-2</v>
          </cell>
        </row>
        <row r="6496">
          <cell r="F6496">
            <v>6.2399999999999997E-2</v>
          </cell>
        </row>
        <row r="6497">
          <cell r="F6497">
            <v>6.0299999999999999E-2</v>
          </cell>
        </row>
        <row r="6498">
          <cell r="F6498">
            <v>6.4699999999999994E-2</v>
          </cell>
        </row>
        <row r="6499">
          <cell r="F6499">
            <v>5.6099999999999997E-2</v>
          </cell>
        </row>
        <row r="6500">
          <cell r="F6500">
            <v>5.6000000000000001E-2</v>
          </cell>
        </row>
        <row r="6501">
          <cell r="F6501">
            <v>5.3900000000000003E-2</v>
          </cell>
        </row>
        <row r="6502">
          <cell r="F6502">
            <v>5.1799999999999999E-2</v>
          </cell>
        </row>
        <row r="6503">
          <cell r="F6503">
            <v>5.11E-2</v>
          </cell>
        </row>
        <row r="6504">
          <cell r="F6504">
            <v>5.33E-2</v>
          </cell>
        </row>
        <row r="6505">
          <cell r="F6505">
            <v>6.1199999999999997E-2</v>
          </cell>
        </row>
        <row r="6506">
          <cell r="F6506">
            <v>8.0299999999999996E-2</v>
          </cell>
        </row>
        <row r="6507">
          <cell r="F6507">
            <v>0.11849999999999999</v>
          </cell>
        </row>
        <row r="6508">
          <cell r="F6508">
            <v>0.12139999999999999</v>
          </cell>
        </row>
        <row r="6509">
          <cell r="F6509">
            <v>0.1158</v>
          </cell>
        </row>
        <row r="6510">
          <cell r="F6510">
            <v>8.1100000000000005E-2</v>
          </cell>
        </row>
        <row r="6511">
          <cell r="F6511">
            <v>8.0299999999999996E-2</v>
          </cell>
        </row>
        <row r="6512">
          <cell r="F6512">
            <v>8.3099999999999993E-2</v>
          </cell>
        </row>
        <row r="6513">
          <cell r="F6513">
            <v>8.8099999999999998E-2</v>
          </cell>
        </row>
        <row r="6514">
          <cell r="F6514">
            <v>8.09E-2</v>
          </cell>
        </row>
        <row r="6515">
          <cell r="F6515">
            <v>8.7400000000000005E-2</v>
          </cell>
        </row>
        <row r="6516">
          <cell r="F6516">
            <v>7.8100000000000003E-2</v>
          </cell>
        </row>
        <row r="6517">
          <cell r="F6517">
            <v>7.5999999999999998E-2</v>
          </cell>
        </row>
        <row r="6518">
          <cell r="F6518">
            <v>7.5999999999999998E-2</v>
          </cell>
        </row>
        <row r="6519">
          <cell r="F6519">
            <v>6.0999999999999999E-2</v>
          </cell>
        </row>
        <row r="6520">
          <cell r="F6520">
            <v>6.0299999999999999E-2</v>
          </cell>
        </row>
        <row r="6521">
          <cell r="F6521">
            <v>5.0299999999999997E-2</v>
          </cell>
        </row>
        <row r="6522">
          <cell r="F6522">
            <v>2.5999999999999999E-3</v>
          </cell>
        </row>
        <row r="6523">
          <cell r="F6523">
            <v>2.5999999999999999E-3</v>
          </cell>
        </row>
        <row r="6524">
          <cell r="F6524">
            <v>2.5999999999999999E-3</v>
          </cell>
        </row>
        <row r="6525">
          <cell r="F6525">
            <v>1.1999999999999999E-3</v>
          </cell>
        </row>
        <row r="6526">
          <cell r="F6526">
            <v>1.1999999999999999E-3</v>
          </cell>
        </row>
        <row r="6527">
          <cell r="F6527">
            <v>2.7000000000000001E-3</v>
          </cell>
        </row>
        <row r="6528">
          <cell r="F6528">
            <v>4.7500000000000001E-2</v>
          </cell>
        </row>
        <row r="6529">
          <cell r="F6529">
            <v>5.96E-2</v>
          </cell>
        </row>
        <row r="6530">
          <cell r="F6530">
            <v>9.2999999999999999E-2</v>
          </cell>
        </row>
        <row r="6531">
          <cell r="F6531">
            <v>0.11849999999999999</v>
          </cell>
        </row>
        <row r="6532">
          <cell r="F6532">
            <v>9.6000000000000002E-2</v>
          </cell>
        </row>
        <row r="6533">
          <cell r="F6533">
            <v>9.3899999999999997E-2</v>
          </cell>
        </row>
        <row r="6534">
          <cell r="F6534">
            <v>9.3899999999999997E-2</v>
          </cell>
        </row>
        <row r="6535">
          <cell r="F6535">
            <v>8.8400000000000006E-2</v>
          </cell>
        </row>
        <row r="6536">
          <cell r="F6536">
            <v>8.77E-2</v>
          </cell>
        </row>
        <row r="6537">
          <cell r="F6537">
            <v>7.5200000000000003E-2</v>
          </cell>
        </row>
        <row r="6538">
          <cell r="F6538">
            <v>7.5200000000000003E-2</v>
          </cell>
        </row>
        <row r="6539">
          <cell r="F6539">
            <v>7.5200000000000003E-2</v>
          </cell>
        </row>
        <row r="6540">
          <cell r="F6540">
            <v>7.5200000000000003E-2</v>
          </cell>
        </row>
        <row r="6541">
          <cell r="F6541">
            <v>7.5200000000000003E-2</v>
          </cell>
        </row>
        <row r="6542">
          <cell r="F6542">
            <v>7.5200000000000003E-2</v>
          </cell>
        </row>
        <row r="6543">
          <cell r="F6543">
            <v>7.5999999999999998E-2</v>
          </cell>
        </row>
        <row r="6544">
          <cell r="F6544">
            <v>6.0999999999999999E-2</v>
          </cell>
        </row>
        <row r="6545">
          <cell r="F6545">
            <v>5.1700000000000003E-2</v>
          </cell>
        </row>
        <row r="6546">
          <cell r="F6546">
            <v>3.9600000000000003E-2</v>
          </cell>
        </row>
        <row r="6547">
          <cell r="F6547">
            <v>2.6800000000000001E-2</v>
          </cell>
        </row>
        <row r="6548">
          <cell r="F6548">
            <v>4.7500000000000001E-2</v>
          </cell>
        </row>
        <row r="6549">
          <cell r="F6549">
            <v>4.1799999999999997E-2</v>
          </cell>
        </row>
        <row r="6550">
          <cell r="F6550">
            <v>3.8899999999999997E-2</v>
          </cell>
        </row>
        <row r="6551">
          <cell r="F6551">
            <v>4.7500000000000001E-2</v>
          </cell>
        </row>
        <row r="6552">
          <cell r="F6552">
            <v>5.3900000000000003E-2</v>
          </cell>
        </row>
        <row r="6553">
          <cell r="F6553">
            <v>6.1699999999999998E-2</v>
          </cell>
        </row>
        <row r="6554">
          <cell r="F6554">
            <v>9.3799999999999994E-2</v>
          </cell>
        </row>
        <row r="6555">
          <cell r="F6555">
            <v>9.2399999999999996E-2</v>
          </cell>
        </row>
        <row r="6556">
          <cell r="F6556">
            <v>9.1700000000000004E-2</v>
          </cell>
        </row>
        <row r="6557">
          <cell r="F6557">
            <v>9.0999999999999998E-2</v>
          </cell>
        </row>
        <row r="6558">
          <cell r="F6558">
            <v>9.0300000000000005E-2</v>
          </cell>
        </row>
        <row r="6559">
          <cell r="F6559">
            <v>0.1052</v>
          </cell>
        </row>
        <row r="6560">
          <cell r="F6560">
            <v>0.1002</v>
          </cell>
        </row>
        <row r="6561">
          <cell r="F6561">
            <v>9.8699999999999996E-2</v>
          </cell>
        </row>
        <row r="6562">
          <cell r="F6562">
            <v>0.1032</v>
          </cell>
        </row>
        <row r="6563">
          <cell r="F6563">
            <v>9.3200000000000005E-2</v>
          </cell>
        </row>
        <row r="6564">
          <cell r="F6564">
            <v>9.0300000000000005E-2</v>
          </cell>
        </row>
        <row r="6565">
          <cell r="F6565">
            <v>8.8200000000000001E-2</v>
          </cell>
        </row>
        <row r="6566">
          <cell r="F6566">
            <v>9.3200000000000005E-2</v>
          </cell>
        </row>
        <row r="6567">
          <cell r="F6567">
            <v>0.1017</v>
          </cell>
        </row>
        <row r="6568">
          <cell r="F6568">
            <v>7.3899999999999993E-2</v>
          </cell>
        </row>
        <row r="6569">
          <cell r="F6569">
            <v>7.7499999999999999E-2</v>
          </cell>
        </row>
        <row r="6570">
          <cell r="F6570">
            <v>7.5399999999999995E-2</v>
          </cell>
        </row>
        <row r="6571">
          <cell r="F6571">
            <v>7.6100000000000001E-2</v>
          </cell>
        </row>
        <row r="6572">
          <cell r="F6572">
            <v>6.8199999999999997E-2</v>
          </cell>
        </row>
        <row r="6573">
          <cell r="F6573">
            <v>6.7599999999999993E-2</v>
          </cell>
        </row>
        <row r="6574">
          <cell r="F6574">
            <v>6.6199999999999995E-2</v>
          </cell>
        </row>
        <row r="6575">
          <cell r="F6575">
            <v>6.6100000000000006E-2</v>
          </cell>
        </row>
        <row r="6576">
          <cell r="F6576">
            <v>6.8199999999999997E-2</v>
          </cell>
        </row>
        <row r="6577">
          <cell r="F6577">
            <v>7.5399999999999995E-2</v>
          </cell>
        </row>
        <row r="6578">
          <cell r="F6578">
            <v>0.1067</v>
          </cell>
        </row>
        <row r="6579">
          <cell r="F6579">
            <v>0.125</v>
          </cell>
        </row>
        <row r="6580">
          <cell r="F6580">
            <v>0.1157</v>
          </cell>
        </row>
        <row r="6581">
          <cell r="F6581">
            <v>0.1037</v>
          </cell>
        </row>
        <row r="6582">
          <cell r="F6582">
            <v>9.4700000000000006E-2</v>
          </cell>
        </row>
        <row r="6583">
          <cell r="F6583">
            <v>9.6799999999999997E-2</v>
          </cell>
        </row>
        <row r="6584">
          <cell r="F6584">
            <v>0.1081</v>
          </cell>
        </row>
        <row r="6585">
          <cell r="F6585">
            <v>0.1024</v>
          </cell>
        </row>
        <row r="6586">
          <cell r="F6586">
            <v>0.10249999999999999</v>
          </cell>
        </row>
        <row r="6587">
          <cell r="F6587">
            <v>9.8900000000000002E-2</v>
          </cell>
        </row>
        <row r="6588">
          <cell r="F6588">
            <v>9.5299999999999996E-2</v>
          </cell>
        </row>
        <row r="6589">
          <cell r="F6589">
            <v>9.8199999999999996E-2</v>
          </cell>
        </row>
        <row r="6590">
          <cell r="F6590">
            <v>0.10249999999999999</v>
          </cell>
        </row>
        <row r="6591">
          <cell r="F6591">
            <v>0.1017</v>
          </cell>
        </row>
        <row r="6592">
          <cell r="F6592">
            <v>8.8900000000000007E-2</v>
          </cell>
        </row>
        <row r="6593">
          <cell r="F6593">
            <v>7.6799999999999993E-2</v>
          </cell>
        </row>
        <row r="6594">
          <cell r="F6594">
            <v>7.6799999999999993E-2</v>
          </cell>
        </row>
        <row r="6595">
          <cell r="F6595">
            <v>7.7600000000000002E-2</v>
          </cell>
        </row>
        <row r="6596">
          <cell r="F6596">
            <v>7.8299999999999995E-2</v>
          </cell>
        </row>
        <row r="6597">
          <cell r="F6597">
            <v>7.9200000000000007E-2</v>
          </cell>
        </row>
        <row r="6598">
          <cell r="F6598">
            <v>7.7799999999999994E-2</v>
          </cell>
        </row>
        <row r="6599">
          <cell r="F6599">
            <v>8.0100000000000005E-2</v>
          </cell>
        </row>
        <row r="6600">
          <cell r="F6600">
            <v>8.0799999999999997E-2</v>
          </cell>
        </row>
        <row r="6601">
          <cell r="F6601">
            <v>9.0800000000000006E-2</v>
          </cell>
        </row>
        <row r="6602">
          <cell r="F6602">
            <v>0.108</v>
          </cell>
        </row>
        <row r="6603">
          <cell r="F6603">
            <v>9.2799999999999994E-2</v>
          </cell>
        </row>
        <row r="6604">
          <cell r="F6604">
            <v>0.1106</v>
          </cell>
        </row>
        <row r="6605">
          <cell r="F6605">
            <v>0.10009999999999999</v>
          </cell>
        </row>
        <row r="6606">
          <cell r="F6606">
            <v>9.4100000000000003E-2</v>
          </cell>
        </row>
        <row r="6607">
          <cell r="F6607">
            <v>0.10539999999999999</v>
          </cell>
        </row>
        <row r="6608">
          <cell r="F6608">
            <v>9.7500000000000003E-2</v>
          </cell>
        </row>
        <row r="6609">
          <cell r="F6609">
            <v>9.8199999999999996E-2</v>
          </cell>
        </row>
        <row r="6610">
          <cell r="F6610">
            <v>9.5299999999999996E-2</v>
          </cell>
        </row>
        <row r="6611">
          <cell r="F6611">
            <v>9.3899999999999997E-2</v>
          </cell>
        </row>
        <row r="6612">
          <cell r="F6612">
            <v>9.3899999999999997E-2</v>
          </cell>
        </row>
        <row r="6613">
          <cell r="F6613">
            <v>9.2499999999999999E-2</v>
          </cell>
        </row>
        <row r="6614">
          <cell r="F6614">
            <v>8.8900000000000007E-2</v>
          </cell>
        </row>
        <row r="6615">
          <cell r="F6615">
            <v>8.3199999999999996E-2</v>
          </cell>
        </row>
        <row r="6616">
          <cell r="F6616">
            <v>8.3900000000000002E-2</v>
          </cell>
        </row>
        <row r="6617">
          <cell r="F6617">
            <v>7.0400000000000004E-2</v>
          </cell>
        </row>
        <row r="6618">
          <cell r="F6618">
            <v>6.9699999999999998E-2</v>
          </cell>
        </row>
        <row r="6619">
          <cell r="F6619">
            <v>6.6799999999999998E-2</v>
          </cell>
        </row>
        <row r="6620">
          <cell r="F6620">
            <v>6.7500000000000004E-2</v>
          </cell>
        </row>
        <row r="6621">
          <cell r="F6621">
            <v>6.6799999999999998E-2</v>
          </cell>
        </row>
        <row r="6622">
          <cell r="F6622">
            <v>6.6799999999999998E-2</v>
          </cell>
        </row>
        <row r="6623">
          <cell r="F6623">
            <v>6.83E-2</v>
          </cell>
        </row>
        <row r="6624">
          <cell r="F6624">
            <v>6.83E-2</v>
          </cell>
        </row>
        <row r="6625">
          <cell r="F6625">
            <v>8.6800000000000002E-2</v>
          </cell>
        </row>
        <row r="6626">
          <cell r="F6626">
            <v>0.1074</v>
          </cell>
        </row>
        <row r="6627">
          <cell r="F6627">
            <v>8.7999999999999995E-2</v>
          </cell>
        </row>
        <row r="6628">
          <cell r="F6628">
            <v>0.12709999999999999</v>
          </cell>
        </row>
        <row r="6629">
          <cell r="F6629">
            <v>9.3899999999999997E-2</v>
          </cell>
        </row>
        <row r="6630">
          <cell r="F6630">
            <v>9.4600000000000004E-2</v>
          </cell>
        </row>
        <row r="6631">
          <cell r="F6631">
            <v>0.1003</v>
          </cell>
        </row>
        <row r="6632">
          <cell r="F6632">
            <v>9.4600000000000004E-2</v>
          </cell>
        </row>
        <row r="6633">
          <cell r="F6633">
            <v>9.4600000000000004E-2</v>
          </cell>
        </row>
        <row r="6634">
          <cell r="F6634">
            <v>9.8100000000000007E-2</v>
          </cell>
        </row>
        <row r="6635">
          <cell r="F6635">
            <v>9.4600000000000004E-2</v>
          </cell>
        </row>
        <row r="6636">
          <cell r="F6636">
            <v>8.3400000000000002E-2</v>
          </cell>
        </row>
        <row r="6637">
          <cell r="F6637">
            <v>8.2000000000000003E-2</v>
          </cell>
        </row>
        <row r="6638">
          <cell r="F6638">
            <v>7.0400000000000004E-2</v>
          </cell>
        </row>
        <row r="6639">
          <cell r="F6639">
            <v>6.6799999999999998E-2</v>
          </cell>
        </row>
        <row r="6640">
          <cell r="F6640">
            <v>6.25E-2</v>
          </cell>
        </row>
        <row r="6641">
          <cell r="F6641">
            <v>6.1100000000000002E-2</v>
          </cell>
        </row>
        <row r="6642">
          <cell r="F6642">
            <v>5.5399999999999998E-2</v>
          </cell>
        </row>
        <row r="6643">
          <cell r="F6643">
            <v>5.5500000000000001E-2</v>
          </cell>
        </row>
        <row r="6644">
          <cell r="F6644">
            <v>5.3400000000000003E-2</v>
          </cell>
        </row>
        <row r="6645">
          <cell r="F6645">
            <v>5.3499999999999999E-2</v>
          </cell>
        </row>
        <row r="6646">
          <cell r="F6646">
            <v>5.3499999999999999E-2</v>
          </cell>
        </row>
        <row r="6647">
          <cell r="F6647">
            <v>5.3699999999999998E-2</v>
          </cell>
        </row>
        <row r="6648">
          <cell r="F6648">
            <v>5.3800000000000001E-2</v>
          </cell>
        </row>
        <row r="6649">
          <cell r="F6649">
            <v>5.8900000000000001E-2</v>
          </cell>
        </row>
        <row r="6650">
          <cell r="F6650">
            <v>7.7700000000000005E-2</v>
          </cell>
        </row>
        <row r="6651">
          <cell r="F6651">
            <v>7.9699999999999993E-2</v>
          </cell>
        </row>
        <row r="6652">
          <cell r="F6652">
            <v>7.7399999999999997E-2</v>
          </cell>
        </row>
        <row r="6653">
          <cell r="F6653">
            <v>7.7399999999999997E-2</v>
          </cell>
        </row>
        <row r="6654">
          <cell r="F6654">
            <v>7.7299999999999994E-2</v>
          </cell>
        </row>
        <row r="6655">
          <cell r="F6655">
            <v>7.9299999999999995E-2</v>
          </cell>
        </row>
        <row r="6656">
          <cell r="F6656">
            <v>7.8600000000000003E-2</v>
          </cell>
        </row>
        <row r="6657">
          <cell r="F6657">
            <v>7.9299999999999995E-2</v>
          </cell>
        </row>
        <row r="6658">
          <cell r="F6658">
            <v>8.0699999999999994E-2</v>
          </cell>
        </row>
        <row r="6659">
          <cell r="F6659">
            <v>0.08</v>
          </cell>
        </row>
        <row r="6660">
          <cell r="F6660">
            <v>7.6100000000000001E-2</v>
          </cell>
        </row>
        <row r="6661">
          <cell r="F6661">
            <v>7.7499999999999999E-2</v>
          </cell>
        </row>
        <row r="6662">
          <cell r="F6662">
            <v>7.6799999999999993E-2</v>
          </cell>
        </row>
        <row r="6663">
          <cell r="F6663">
            <v>7.5399999999999995E-2</v>
          </cell>
        </row>
        <row r="6664">
          <cell r="F6664">
            <v>6.8199999999999997E-2</v>
          </cell>
        </row>
        <row r="6665">
          <cell r="F6665">
            <v>6.1199999999999997E-2</v>
          </cell>
        </row>
        <row r="6666">
          <cell r="F6666">
            <v>6.0499999999999998E-2</v>
          </cell>
        </row>
        <row r="6667">
          <cell r="F6667">
            <v>5.9900000000000002E-2</v>
          </cell>
        </row>
        <row r="6668">
          <cell r="F6668">
            <v>0.06</v>
          </cell>
        </row>
        <row r="6669">
          <cell r="F6669">
            <v>5.9299999999999999E-2</v>
          </cell>
        </row>
        <row r="6670">
          <cell r="F6670">
            <v>5.9400000000000001E-2</v>
          </cell>
        </row>
        <row r="6671">
          <cell r="F6671">
            <v>6.1100000000000002E-2</v>
          </cell>
        </row>
        <row r="6672">
          <cell r="F6672">
            <v>6.1400000000000003E-2</v>
          </cell>
        </row>
        <row r="6673">
          <cell r="F6673">
            <v>6.3100000000000003E-2</v>
          </cell>
        </row>
        <row r="6674">
          <cell r="F6674">
            <v>7.9699999999999993E-2</v>
          </cell>
        </row>
        <row r="6675">
          <cell r="F6675">
            <v>7.3800000000000004E-2</v>
          </cell>
        </row>
        <row r="6676">
          <cell r="F6676">
            <v>7.4800000000000005E-2</v>
          </cell>
        </row>
        <row r="6677">
          <cell r="F6677">
            <v>7.2499999999999995E-2</v>
          </cell>
        </row>
        <row r="6678">
          <cell r="F6678">
            <v>7.22E-2</v>
          </cell>
        </row>
        <row r="6679">
          <cell r="F6679">
            <v>8.4000000000000005E-2</v>
          </cell>
        </row>
        <row r="6680">
          <cell r="F6680">
            <v>8.3900000000000002E-2</v>
          </cell>
        </row>
        <row r="6681">
          <cell r="F6681">
            <v>6.7500000000000004E-2</v>
          </cell>
        </row>
        <row r="6682">
          <cell r="F6682">
            <v>7.9600000000000004E-2</v>
          </cell>
        </row>
        <row r="6683">
          <cell r="F6683">
            <v>7.9600000000000004E-2</v>
          </cell>
        </row>
        <row r="6684">
          <cell r="F6684">
            <v>8.0299999999999996E-2</v>
          </cell>
        </row>
        <row r="6685">
          <cell r="F6685">
            <v>8.3199999999999996E-2</v>
          </cell>
        </row>
        <row r="6686">
          <cell r="F6686">
            <v>7.7499999999999999E-2</v>
          </cell>
        </row>
        <row r="6687">
          <cell r="F6687">
            <v>6.54E-2</v>
          </cell>
        </row>
        <row r="6688">
          <cell r="F6688">
            <v>6.7500000000000004E-2</v>
          </cell>
        </row>
        <row r="6689">
          <cell r="F6689">
            <v>5.33E-2</v>
          </cell>
        </row>
        <row r="6690">
          <cell r="F6690">
            <v>5.0599999999999999E-2</v>
          </cell>
        </row>
        <row r="6691">
          <cell r="F6691">
            <v>4.8599999999999997E-2</v>
          </cell>
        </row>
        <row r="6692">
          <cell r="F6692">
            <v>4.7500000000000001E-2</v>
          </cell>
        </row>
        <row r="6693">
          <cell r="F6693">
            <v>4.87E-2</v>
          </cell>
        </row>
        <row r="6694">
          <cell r="F6694">
            <v>4.7300000000000002E-2</v>
          </cell>
        </row>
        <row r="6695">
          <cell r="F6695">
            <v>5.3400000000000003E-2</v>
          </cell>
        </row>
        <row r="6696">
          <cell r="F6696">
            <v>5.5E-2</v>
          </cell>
        </row>
        <row r="6697">
          <cell r="F6697">
            <v>5.7799999999999997E-2</v>
          </cell>
        </row>
        <row r="6698">
          <cell r="F6698">
            <v>9.11E-2</v>
          </cell>
        </row>
        <row r="6699">
          <cell r="F6699">
            <v>9.11E-2</v>
          </cell>
        </row>
        <row r="6700">
          <cell r="F6700">
            <v>8.9200000000000002E-2</v>
          </cell>
        </row>
        <row r="6701">
          <cell r="F6701">
            <v>7.9600000000000004E-2</v>
          </cell>
        </row>
        <row r="6702">
          <cell r="F6702">
            <v>7.8399999999999997E-2</v>
          </cell>
        </row>
        <row r="6703">
          <cell r="F6703">
            <v>0.1037</v>
          </cell>
        </row>
        <row r="6704">
          <cell r="F6704">
            <v>9.4700000000000006E-2</v>
          </cell>
        </row>
        <row r="6705">
          <cell r="F6705">
            <v>8.1100000000000005E-2</v>
          </cell>
        </row>
        <row r="6706">
          <cell r="F6706">
            <v>8.1100000000000005E-2</v>
          </cell>
        </row>
        <row r="6707">
          <cell r="F6707">
            <v>7.4700000000000003E-2</v>
          </cell>
        </row>
        <row r="6708">
          <cell r="F6708">
            <v>7.3899999999999993E-2</v>
          </cell>
        </row>
        <row r="6709">
          <cell r="F6709">
            <v>7.3200000000000001E-2</v>
          </cell>
        </row>
        <row r="6710">
          <cell r="F6710">
            <v>7.2499999999999995E-2</v>
          </cell>
        </row>
        <row r="6711">
          <cell r="F6711">
            <v>7.1099999999999997E-2</v>
          </cell>
        </row>
        <row r="6712">
          <cell r="F6712">
            <v>6.3299999999999995E-2</v>
          </cell>
        </row>
        <row r="6713">
          <cell r="F6713">
            <v>2.12E-2</v>
          </cell>
        </row>
        <row r="6714">
          <cell r="F6714">
            <v>2.8E-3</v>
          </cell>
        </row>
        <row r="6715">
          <cell r="F6715">
            <v>3.0000000000000001E-3</v>
          </cell>
        </row>
        <row r="6716">
          <cell r="F6716">
            <v>3.0999999999999999E-3</v>
          </cell>
        </row>
        <row r="6717">
          <cell r="F6717">
            <v>3.5999999999999999E-3</v>
          </cell>
        </row>
        <row r="6718">
          <cell r="F6718">
            <v>4.1000000000000003E-3</v>
          </cell>
        </row>
        <row r="6719">
          <cell r="F6719">
            <v>5.3E-3</v>
          </cell>
        </row>
        <row r="6720">
          <cell r="F6720">
            <v>2.8000000000000001E-2</v>
          </cell>
        </row>
        <row r="6721">
          <cell r="F6721">
            <v>5.5500000000000001E-2</v>
          </cell>
        </row>
        <row r="6722">
          <cell r="F6722">
            <v>8.4400000000000003E-2</v>
          </cell>
        </row>
        <row r="6723">
          <cell r="F6723">
            <v>0.1018</v>
          </cell>
        </row>
        <row r="6724">
          <cell r="F6724">
            <v>9.8299999999999998E-2</v>
          </cell>
        </row>
        <row r="6725">
          <cell r="F6725">
            <v>8.8900000000000007E-2</v>
          </cell>
        </row>
        <row r="6726">
          <cell r="F6726">
            <v>8.1299999999999997E-2</v>
          </cell>
        </row>
        <row r="6727">
          <cell r="F6727">
            <v>0.10879999999999999</v>
          </cell>
        </row>
        <row r="6728">
          <cell r="F6728">
            <v>9.1200000000000003E-2</v>
          </cell>
        </row>
        <row r="6729">
          <cell r="F6729">
            <v>7.9899999999999999E-2</v>
          </cell>
        </row>
        <row r="6730">
          <cell r="F6730">
            <v>9.5299999999999996E-2</v>
          </cell>
        </row>
        <row r="6731">
          <cell r="F6731">
            <v>8.72E-2</v>
          </cell>
        </row>
        <row r="6732">
          <cell r="F6732">
            <v>8.5300000000000001E-2</v>
          </cell>
        </row>
        <row r="6733">
          <cell r="F6733">
            <v>8.4599999999999995E-2</v>
          </cell>
        </row>
        <row r="6734">
          <cell r="F6734">
            <v>8.5999999999999993E-2</v>
          </cell>
        </row>
        <row r="6735">
          <cell r="F6735">
            <v>9.8199999999999996E-2</v>
          </cell>
        </row>
        <row r="6736">
          <cell r="F6736">
            <v>7.8899999999999998E-2</v>
          </cell>
        </row>
        <row r="6737">
          <cell r="F6737">
            <v>6.1800000000000001E-2</v>
          </cell>
        </row>
        <row r="6738">
          <cell r="F6738">
            <v>5.1799999999999999E-2</v>
          </cell>
        </row>
        <row r="6739">
          <cell r="F6739">
            <v>5.11E-2</v>
          </cell>
        </row>
        <row r="6740">
          <cell r="F6740">
            <v>4.9799999999999997E-2</v>
          </cell>
        </row>
        <row r="6741">
          <cell r="F6741">
            <v>5.0500000000000003E-2</v>
          </cell>
        </row>
        <row r="6742">
          <cell r="F6742">
            <v>5.0500000000000003E-2</v>
          </cell>
        </row>
        <row r="6743">
          <cell r="F6743">
            <v>4.9799999999999997E-2</v>
          </cell>
        </row>
        <row r="6744">
          <cell r="F6744">
            <v>4.9099999999999998E-2</v>
          </cell>
        </row>
        <row r="6745">
          <cell r="F6745">
            <v>5.1200000000000002E-2</v>
          </cell>
        </row>
        <row r="6746">
          <cell r="F6746">
            <v>9.0399999999999994E-2</v>
          </cell>
        </row>
        <row r="6747">
          <cell r="F6747">
            <v>9.0499999999999997E-2</v>
          </cell>
        </row>
        <row r="6748">
          <cell r="F6748">
            <v>8.0699999999999994E-2</v>
          </cell>
        </row>
        <row r="6749">
          <cell r="F6749">
            <v>8.1600000000000006E-2</v>
          </cell>
        </row>
        <row r="6750">
          <cell r="F6750">
            <v>8.1600000000000006E-2</v>
          </cell>
        </row>
        <row r="6751">
          <cell r="F6751">
            <v>8.1299999999999997E-2</v>
          </cell>
        </row>
        <row r="6752">
          <cell r="F6752">
            <v>7.3400000000000007E-2</v>
          </cell>
        </row>
        <row r="6753">
          <cell r="F6753">
            <v>7.1900000000000006E-2</v>
          </cell>
        </row>
        <row r="6754">
          <cell r="F6754">
            <v>7.1999999999999995E-2</v>
          </cell>
        </row>
        <row r="6755">
          <cell r="F6755">
            <v>8.6900000000000005E-2</v>
          </cell>
        </row>
        <row r="6756">
          <cell r="F6756">
            <v>8.6199999999999999E-2</v>
          </cell>
        </row>
        <row r="6757">
          <cell r="F6757">
            <v>8.3299999999999999E-2</v>
          </cell>
        </row>
        <row r="6758">
          <cell r="F6758">
            <v>7.1199999999999999E-2</v>
          </cell>
        </row>
        <row r="6759">
          <cell r="F6759">
            <v>7.1900000000000006E-2</v>
          </cell>
        </row>
        <row r="6760">
          <cell r="F6760">
            <v>7.8200000000000006E-2</v>
          </cell>
        </row>
        <row r="6761">
          <cell r="F6761">
            <v>6.6199999999999995E-2</v>
          </cell>
        </row>
        <row r="6762">
          <cell r="F6762">
            <v>5.2699999999999997E-2</v>
          </cell>
        </row>
        <row r="6763">
          <cell r="F6763">
            <v>4.9399999999999999E-2</v>
          </cell>
        </row>
        <row r="6764">
          <cell r="F6764">
            <v>5.04E-2</v>
          </cell>
        </row>
        <row r="6765">
          <cell r="F6765">
            <v>4.9299999999999997E-2</v>
          </cell>
        </row>
        <row r="6766">
          <cell r="F6766">
            <v>5.2499999999999998E-2</v>
          </cell>
        </row>
        <row r="6767">
          <cell r="F6767">
            <v>5.2200000000000003E-2</v>
          </cell>
        </row>
        <row r="6768">
          <cell r="F6768">
            <v>5.16E-2</v>
          </cell>
        </row>
        <row r="6769">
          <cell r="F6769">
            <v>5.5899999999999998E-2</v>
          </cell>
        </row>
        <row r="6770">
          <cell r="F6770">
            <v>9.2799999999999994E-2</v>
          </cell>
        </row>
        <row r="6771">
          <cell r="F6771">
            <v>9.1499999999999998E-2</v>
          </cell>
        </row>
        <row r="6772">
          <cell r="F6772">
            <v>8.77E-2</v>
          </cell>
        </row>
        <row r="6773">
          <cell r="F6773">
            <v>8.2100000000000006E-2</v>
          </cell>
        </row>
        <row r="6774">
          <cell r="F6774">
            <v>8.1799999999999998E-2</v>
          </cell>
        </row>
        <row r="6775">
          <cell r="F6775">
            <v>0.11119999999999999</v>
          </cell>
        </row>
        <row r="6776">
          <cell r="F6776">
            <v>9.8199999999999996E-2</v>
          </cell>
        </row>
        <row r="6777">
          <cell r="F6777">
            <v>9.1700000000000004E-2</v>
          </cell>
        </row>
        <row r="6778">
          <cell r="F6778">
            <v>9.0399999999999994E-2</v>
          </cell>
        </row>
        <row r="6779">
          <cell r="F6779">
            <v>9.2399999999999996E-2</v>
          </cell>
        </row>
        <row r="6780">
          <cell r="F6780">
            <v>8.3199999999999996E-2</v>
          </cell>
        </row>
        <row r="6781">
          <cell r="F6781">
            <v>8.5300000000000001E-2</v>
          </cell>
        </row>
        <row r="6782">
          <cell r="F6782">
            <v>9.4600000000000004E-2</v>
          </cell>
        </row>
        <row r="6783">
          <cell r="F6783">
            <v>9.8900000000000002E-2</v>
          </cell>
        </row>
        <row r="6784">
          <cell r="F6784">
            <v>8.3199999999999996E-2</v>
          </cell>
        </row>
        <row r="6785">
          <cell r="F6785">
            <v>6.9699999999999998E-2</v>
          </cell>
        </row>
        <row r="6786">
          <cell r="F6786">
            <v>6.3299999999999995E-2</v>
          </cell>
        </row>
        <row r="6787">
          <cell r="F6787">
            <v>5.5500000000000001E-2</v>
          </cell>
        </row>
        <row r="6788">
          <cell r="F6788">
            <v>5.4899999999999997E-2</v>
          </cell>
        </row>
        <row r="6789">
          <cell r="F6789">
            <v>5.5599999999999997E-2</v>
          </cell>
        </row>
        <row r="6790">
          <cell r="F6790">
            <v>5.57E-2</v>
          </cell>
        </row>
        <row r="6791">
          <cell r="F6791">
            <v>5.5100000000000003E-2</v>
          </cell>
        </row>
        <row r="6792">
          <cell r="F6792">
            <v>5.5899999999999998E-2</v>
          </cell>
        </row>
        <row r="6793">
          <cell r="F6793">
            <v>5.7200000000000001E-2</v>
          </cell>
        </row>
        <row r="6794">
          <cell r="F6794">
            <v>8.5800000000000001E-2</v>
          </cell>
        </row>
        <row r="6795">
          <cell r="F6795">
            <v>7.4800000000000005E-2</v>
          </cell>
        </row>
        <row r="6796">
          <cell r="F6796">
            <v>8.48E-2</v>
          </cell>
        </row>
        <row r="6797">
          <cell r="F6797">
            <v>8.9200000000000002E-2</v>
          </cell>
        </row>
        <row r="6798">
          <cell r="F6798">
            <v>9.1999999999999998E-2</v>
          </cell>
        </row>
        <row r="6799">
          <cell r="F6799">
            <v>7.7600000000000002E-2</v>
          </cell>
        </row>
        <row r="6800">
          <cell r="F6800">
            <v>0.1074</v>
          </cell>
        </row>
        <row r="6801">
          <cell r="F6801">
            <v>0.1024</v>
          </cell>
        </row>
        <row r="6802">
          <cell r="F6802">
            <v>9.3200000000000005E-2</v>
          </cell>
        </row>
        <row r="6803">
          <cell r="F6803">
            <v>8.3199999999999996E-2</v>
          </cell>
        </row>
        <row r="6804">
          <cell r="F6804">
            <v>8.3199999999999996E-2</v>
          </cell>
        </row>
        <row r="6805">
          <cell r="F6805">
            <v>8.3199999999999996E-2</v>
          </cell>
        </row>
        <row r="6806">
          <cell r="F6806">
            <v>9.0999999999999998E-2</v>
          </cell>
        </row>
        <row r="6807">
          <cell r="F6807">
            <v>0.10390000000000001</v>
          </cell>
        </row>
        <row r="6808">
          <cell r="F6808">
            <v>9.7500000000000003E-2</v>
          </cell>
        </row>
        <row r="6809">
          <cell r="F6809">
            <v>8.0399999999999999E-2</v>
          </cell>
        </row>
        <row r="6810">
          <cell r="F6810">
            <v>7.8899999999999998E-2</v>
          </cell>
        </row>
        <row r="6811">
          <cell r="F6811">
            <v>8.1100000000000005E-2</v>
          </cell>
        </row>
        <row r="6812">
          <cell r="F6812">
            <v>9.4E-2</v>
          </cell>
        </row>
        <row r="6813">
          <cell r="F6813">
            <v>0.1021</v>
          </cell>
        </row>
        <row r="6814">
          <cell r="F6814">
            <v>0.1037</v>
          </cell>
        </row>
        <row r="6815">
          <cell r="F6815">
            <v>9.6500000000000002E-2</v>
          </cell>
        </row>
        <row r="6816">
          <cell r="F6816">
            <v>8.8300000000000003E-2</v>
          </cell>
        </row>
        <row r="6817">
          <cell r="F6817">
            <v>9.9099999999999994E-2</v>
          </cell>
        </row>
        <row r="6818">
          <cell r="F6818">
            <v>0.1019</v>
          </cell>
        </row>
        <row r="6819">
          <cell r="F6819">
            <v>0.10730000000000001</v>
          </cell>
        </row>
        <row r="6820">
          <cell r="F6820">
            <v>9.5200000000000007E-2</v>
          </cell>
        </row>
        <row r="6821">
          <cell r="F6821">
            <v>9.8199999999999996E-2</v>
          </cell>
        </row>
        <row r="6822">
          <cell r="F6822">
            <v>9.5799999999999996E-2</v>
          </cell>
        </row>
        <row r="6823">
          <cell r="F6823">
            <v>9.3100000000000002E-2</v>
          </cell>
        </row>
        <row r="6824">
          <cell r="F6824">
            <v>9.2200000000000004E-2</v>
          </cell>
        </row>
        <row r="6825">
          <cell r="F6825">
            <v>9.11E-2</v>
          </cell>
        </row>
        <row r="6826">
          <cell r="F6826">
            <v>9.11E-2</v>
          </cell>
        </row>
        <row r="6827">
          <cell r="F6827">
            <v>9.11E-2</v>
          </cell>
        </row>
        <row r="6828">
          <cell r="F6828">
            <v>9.0399999999999994E-2</v>
          </cell>
        </row>
        <row r="6829">
          <cell r="F6829">
            <v>9.0399999999999994E-2</v>
          </cell>
        </row>
        <row r="6830">
          <cell r="F6830">
            <v>7.2499999999999995E-2</v>
          </cell>
        </row>
        <row r="6831">
          <cell r="F6831">
            <v>7.6499999999999999E-2</v>
          </cell>
        </row>
        <row r="6832">
          <cell r="F6832">
            <v>8.6499999999999994E-2</v>
          </cell>
        </row>
        <row r="6833">
          <cell r="F6833">
            <v>6.9599999999999995E-2</v>
          </cell>
        </row>
        <row r="6834">
          <cell r="F6834">
            <v>6.0400000000000002E-2</v>
          </cell>
        </row>
        <row r="6835">
          <cell r="F6835">
            <v>5.9700000000000003E-2</v>
          </cell>
        </row>
        <row r="6836">
          <cell r="F6836">
            <v>5.9700000000000003E-2</v>
          </cell>
        </row>
        <row r="6837">
          <cell r="F6837">
            <v>5.9799999999999999E-2</v>
          </cell>
        </row>
        <row r="6838">
          <cell r="F6838">
            <v>5.91E-2</v>
          </cell>
        </row>
        <row r="6839">
          <cell r="F6839">
            <v>6.13E-2</v>
          </cell>
        </row>
        <row r="6840">
          <cell r="F6840">
            <v>6.0600000000000001E-2</v>
          </cell>
        </row>
        <row r="6841">
          <cell r="F6841">
            <v>6.13E-2</v>
          </cell>
        </row>
        <row r="6842">
          <cell r="F6842">
            <v>6.2600000000000003E-2</v>
          </cell>
        </row>
        <row r="6843">
          <cell r="F6843">
            <v>8.3299999999999999E-2</v>
          </cell>
        </row>
        <row r="6844">
          <cell r="F6844">
            <v>9.6799999999999997E-2</v>
          </cell>
        </row>
        <row r="6845">
          <cell r="F6845">
            <v>8.6199999999999999E-2</v>
          </cell>
        </row>
        <row r="6846">
          <cell r="F6846">
            <v>7.9799999999999996E-2</v>
          </cell>
        </row>
        <row r="6847">
          <cell r="F6847">
            <v>7.3999999999999996E-2</v>
          </cell>
        </row>
        <row r="6848">
          <cell r="F6848">
            <v>7.46E-2</v>
          </cell>
        </row>
        <row r="6849">
          <cell r="F6849">
            <v>7.46E-2</v>
          </cell>
        </row>
        <row r="6850">
          <cell r="F6850">
            <v>7.3200000000000001E-2</v>
          </cell>
        </row>
        <row r="6851">
          <cell r="F6851">
            <v>6.6100000000000006E-2</v>
          </cell>
        </row>
        <row r="6852">
          <cell r="F6852">
            <v>6.8199999999999997E-2</v>
          </cell>
        </row>
        <row r="6853">
          <cell r="F6853">
            <v>6.54E-2</v>
          </cell>
        </row>
        <row r="6854">
          <cell r="F6854">
            <v>7.1800000000000003E-2</v>
          </cell>
        </row>
        <row r="6855">
          <cell r="F6855">
            <v>7.1099999999999997E-2</v>
          </cell>
        </row>
        <row r="6856">
          <cell r="F6856">
            <v>7.5399999999999995E-2</v>
          </cell>
        </row>
        <row r="6857">
          <cell r="F6857">
            <v>2.12E-2</v>
          </cell>
        </row>
        <row r="6858">
          <cell r="F6858">
            <v>1E-4</v>
          </cell>
        </row>
        <row r="6859">
          <cell r="F6859">
            <v>2.0000000000000001E-4</v>
          </cell>
        </row>
        <row r="6860">
          <cell r="F6860">
            <v>2.0000000000000001E-4</v>
          </cell>
        </row>
        <row r="6861">
          <cell r="F6861">
            <v>2.0000000000000001E-4</v>
          </cell>
        </row>
        <row r="6862">
          <cell r="F6862">
            <v>2.0000000000000001E-4</v>
          </cell>
        </row>
        <row r="6863">
          <cell r="F6863">
            <v>9.2999999999999992E-3</v>
          </cell>
        </row>
        <row r="6864">
          <cell r="F6864">
            <v>2.0000000000000001E-4</v>
          </cell>
        </row>
        <row r="6865">
          <cell r="F6865">
            <v>1.5299999999999999E-2</v>
          </cell>
        </row>
        <row r="6866">
          <cell r="F6866">
            <v>5.6300000000000003E-2</v>
          </cell>
        </row>
        <row r="6867">
          <cell r="F6867">
            <v>8.9700000000000002E-2</v>
          </cell>
        </row>
        <row r="6868">
          <cell r="F6868">
            <v>8.0399999999999999E-2</v>
          </cell>
        </row>
        <row r="6869">
          <cell r="F6869">
            <v>7.46E-2</v>
          </cell>
        </row>
        <row r="6870">
          <cell r="F6870">
            <v>7.3200000000000001E-2</v>
          </cell>
        </row>
        <row r="6871">
          <cell r="F6871">
            <v>7.3599999999999999E-2</v>
          </cell>
        </row>
        <row r="6872">
          <cell r="F6872">
            <v>7.2099999999999997E-2</v>
          </cell>
        </row>
        <row r="6873">
          <cell r="F6873">
            <v>9.4600000000000004E-2</v>
          </cell>
        </row>
        <row r="6874">
          <cell r="F6874">
            <v>9.3899999999999997E-2</v>
          </cell>
        </row>
        <row r="6875">
          <cell r="F6875">
            <v>9.3899999999999997E-2</v>
          </cell>
        </row>
        <row r="6876">
          <cell r="F6876">
            <v>8.5699999999999998E-2</v>
          </cell>
        </row>
        <row r="6877">
          <cell r="F6877">
            <v>8.4900000000000003E-2</v>
          </cell>
        </row>
        <row r="6878">
          <cell r="F6878">
            <v>9.3200000000000005E-2</v>
          </cell>
        </row>
        <row r="6879">
          <cell r="F6879">
            <v>8.2000000000000003E-2</v>
          </cell>
        </row>
        <row r="6880">
          <cell r="F6880">
            <v>6.2100000000000002E-2</v>
          </cell>
        </row>
        <row r="6881">
          <cell r="F6881">
            <v>3.61E-2</v>
          </cell>
        </row>
        <row r="6882">
          <cell r="F6882">
            <v>0</v>
          </cell>
        </row>
        <row r="6883">
          <cell r="F6883">
            <v>0</v>
          </cell>
        </row>
        <row r="6884">
          <cell r="F6884">
            <v>0</v>
          </cell>
        </row>
        <row r="6885">
          <cell r="F6885">
            <v>1.3299999999999999E-2</v>
          </cell>
        </row>
        <row r="6886">
          <cell r="F6886">
            <v>1E-4</v>
          </cell>
        </row>
        <row r="6887">
          <cell r="F6887">
            <v>2.0000000000000001E-4</v>
          </cell>
        </row>
        <row r="6888">
          <cell r="F6888">
            <v>4.0000000000000002E-4</v>
          </cell>
        </row>
        <row r="6889">
          <cell r="F6889">
            <v>1.7399999999999999E-2</v>
          </cell>
        </row>
        <row r="6890">
          <cell r="F6890">
            <v>6.2399999999999997E-2</v>
          </cell>
        </row>
        <row r="6891">
          <cell r="F6891">
            <v>9.8599999999999993E-2</v>
          </cell>
        </row>
        <row r="6892">
          <cell r="F6892">
            <v>9.6799999999999997E-2</v>
          </cell>
        </row>
        <row r="6893">
          <cell r="F6893">
            <v>9.1399999999999995E-2</v>
          </cell>
        </row>
        <row r="6894">
          <cell r="F6894">
            <v>9.1200000000000003E-2</v>
          </cell>
        </row>
        <row r="6895">
          <cell r="F6895">
            <v>9.0700000000000003E-2</v>
          </cell>
        </row>
        <row r="6896">
          <cell r="F6896">
            <v>8.1900000000000001E-2</v>
          </cell>
        </row>
        <row r="6897">
          <cell r="F6897">
            <v>9.8900000000000002E-2</v>
          </cell>
        </row>
        <row r="6898">
          <cell r="F6898">
            <v>9.8199999999999996E-2</v>
          </cell>
        </row>
        <row r="6899">
          <cell r="F6899">
            <v>9.1700000000000004E-2</v>
          </cell>
        </row>
        <row r="6900">
          <cell r="F6900">
            <v>8.8800000000000004E-2</v>
          </cell>
        </row>
        <row r="6901">
          <cell r="F6901">
            <v>8.9499999999999996E-2</v>
          </cell>
        </row>
        <row r="6902">
          <cell r="F6902">
            <v>9.3100000000000002E-2</v>
          </cell>
        </row>
        <row r="6903">
          <cell r="F6903">
            <v>9.8199999999999996E-2</v>
          </cell>
        </row>
        <row r="6904">
          <cell r="F6904">
            <v>8.4599999999999995E-2</v>
          </cell>
        </row>
        <row r="6905">
          <cell r="F6905">
            <v>7.1099999999999997E-2</v>
          </cell>
        </row>
        <row r="6906">
          <cell r="F6906">
            <v>6.7500000000000004E-2</v>
          </cell>
        </row>
        <row r="6907">
          <cell r="F6907">
            <v>6.6799999999999998E-2</v>
          </cell>
        </row>
        <row r="6908">
          <cell r="F6908">
            <v>6.4600000000000005E-2</v>
          </cell>
        </row>
        <row r="6909">
          <cell r="F6909">
            <v>6.5299999999999997E-2</v>
          </cell>
        </row>
        <row r="6910">
          <cell r="F6910">
            <v>6.25E-2</v>
          </cell>
        </row>
        <row r="6911">
          <cell r="F6911">
            <v>5.9700000000000003E-2</v>
          </cell>
        </row>
        <row r="6912">
          <cell r="F6912">
            <v>6.8199999999999997E-2</v>
          </cell>
        </row>
        <row r="6913">
          <cell r="F6913">
            <v>7.1800000000000003E-2</v>
          </cell>
        </row>
        <row r="6914">
          <cell r="F6914">
            <v>9.3899999999999997E-2</v>
          </cell>
        </row>
        <row r="6915">
          <cell r="F6915">
            <v>8.7499999999999994E-2</v>
          </cell>
        </row>
        <row r="6916">
          <cell r="F6916">
            <v>7.6399999999999996E-2</v>
          </cell>
        </row>
        <row r="6917">
          <cell r="F6917">
            <v>7.6600000000000001E-2</v>
          </cell>
        </row>
        <row r="6918">
          <cell r="F6918">
            <v>7.7899999999999997E-2</v>
          </cell>
        </row>
        <row r="6919">
          <cell r="F6919">
            <v>7.85E-2</v>
          </cell>
        </row>
        <row r="6920">
          <cell r="F6920">
            <v>9.6000000000000002E-2</v>
          </cell>
        </row>
        <row r="6921">
          <cell r="F6921">
            <v>9.5299999999999996E-2</v>
          </cell>
        </row>
        <row r="6922">
          <cell r="F6922">
            <v>8.6499999999999994E-2</v>
          </cell>
        </row>
        <row r="6923">
          <cell r="F6923">
            <v>8.4400000000000003E-2</v>
          </cell>
        </row>
        <row r="6924">
          <cell r="F6924">
            <v>7.8E-2</v>
          </cell>
        </row>
        <row r="6925">
          <cell r="F6925">
            <v>8.1600000000000006E-2</v>
          </cell>
        </row>
        <row r="6926">
          <cell r="F6926">
            <v>8.5099999999999995E-2</v>
          </cell>
        </row>
        <row r="6927">
          <cell r="F6927">
            <v>9.3899999999999997E-2</v>
          </cell>
        </row>
        <row r="6928">
          <cell r="F6928">
            <v>7.5200000000000003E-2</v>
          </cell>
        </row>
        <row r="6929">
          <cell r="F6929">
            <v>5.96E-2</v>
          </cell>
        </row>
        <row r="6930">
          <cell r="F6930">
            <v>5.8900000000000001E-2</v>
          </cell>
        </row>
        <row r="6931">
          <cell r="F6931">
            <v>5.6099999999999997E-2</v>
          </cell>
        </row>
        <row r="6932">
          <cell r="F6932">
            <v>5.6099999999999997E-2</v>
          </cell>
        </row>
        <row r="6933">
          <cell r="F6933">
            <v>5.4699999999999999E-2</v>
          </cell>
        </row>
        <row r="6934">
          <cell r="F6934">
            <v>5.5399999999999998E-2</v>
          </cell>
        </row>
        <row r="6935">
          <cell r="F6935">
            <v>6.1899999999999997E-2</v>
          </cell>
        </row>
        <row r="6936">
          <cell r="F6936">
            <v>6.3299999999999995E-2</v>
          </cell>
        </row>
        <row r="6937">
          <cell r="F6937">
            <v>5.8400000000000001E-2</v>
          </cell>
        </row>
        <row r="6938">
          <cell r="F6938">
            <v>8.5500000000000007E-2</v>
          </cell>
        </row>
        <row r="6939">
          <cell r="F6939">
            <v>9.7699999999999995E-2</v>
          </cell>
        </row>
        <row r="6940">
          <cell r="F6940">
            <v>0.1012</v>
          </cell>
        </row>
        <row r="6941">
          <cell r="F6941">
            <v>9.4200000000000006E-2</v>
          </cell>
        </row>
        <row r="6942">
          <cell r="F6942">
            <v>9.4100000000000003E-2</v>
          </cell>
        </row>
        <row r="6943">
          <cell r="F6943">
            <v>9.4E-2</v>
          </cell>
        </row>
        <row r="6944">
          <cell r="F6944">
            <v>9.9599999999999994E-2</v>
          </cell>
        </row>
        <row r="6945">
          <cell r="F6945">
            <v>0.1017</v>
          </cell>
        </row>
        <row r="6946">
          <cell r="F6946">
            <v>9.8199999999999996E-2</v>
          </cell>
        </row>
        <row r="6947">
          <cell r="F6947">
            <v>8.77E-2</v>
          </cell>
        </row>
        <row r="6948">
          <cell r="F6948">
            <v>8.4099999999999994E-2</v>
          </cell>
        </row>
        <row r="6949">
          <cell r="F6949">
            <v>8.48E-2</v>
          </cell>
        </row>
        <row r="6950">
          <cell r="F6950">
            <v>9.1899999999999996E-2</v>
          </cell>
        </row>
        <row r="6951">
          <cell r="F6951">
            <v>7.0400000000000004E-2</v>
          </cell>
        </row>
        <row r="6952">
          <cell r="F6952">
            <v>6.8199999999999997E-2</v>
          </cell>
        </row>
        <row r="6953">
          <cell r="F6953">
            <v>6.6100000000000006E-2</v>
          </cell>
        </row>
        <row r="6954">
          <cell r="F6954">
            <v>6.1100000000000002E-2</v>
          </cell>
        </row>
        <row r="6955">
          <cell r="F6955">
            <v>6.0400000000000002E-2</v>
          </cell>
        </row>
        <row r="6956">
          <cell r="F6956">
            <v>5.8999999999999997E-2</v>
          </cell>
        </row>
        <row r="6957">
          <cell r="F6957">
            <v>5.8299999999999998E-2</v>
          </cell>
        </row>
        <row r="6958">
          <cell r="F6958">
            <v>5.6800000000000003E-2</v>
          </cell>
        </row>
        <row r="6959">
          <cell r="F6959">
            <v>5.5399999999999998E-2</v>
          </cell>
        </row>
        <row r="6960">
          <cell r="F6960">
            <v>5.6899999999999999E-2</v>
          </cell>
        </row>
        <row r="6961">
          <cell r="F6961">
            <v>6.6100000000000006E-2</v>
          </cell>
        </row>
        <row r="6962">
          <cell r="F6962">
            <v>9.3200000000000005E-2</v>
          </cell>
        </row>
        <row r="6963">
          <cell r="F6963">
            <v>0.11550000000000001</v>
          </cell>
        </row>
        <row r="6964">
          <cell r="F6964">
            <v>9.3299999999999994E-2</v>
          </cell>
        </row>
        <row r="6965">
          <cell r="F6965">
            <v>9.4200000000000006E-2</v>
          </cell>
        </row>
        <row r="6966">
          <cell r="F6966">
            <v>9.4100000000000003E-2</v>
          </cell>
        </row>
        <row r="6967">
          <cell r="F6967">
            <v>9.01E-2</v>
          </cell>
        </row>
        <row r="6968">
          <cell r="F6968">
            <v>8.5300000000000001E-2</v>
          </cell>
        </row>
        <row r="6969">
          <cell r="F6969">
            <v>7.5300000000000006E-2</v>
          </cell>
        </row>
        <row r="6970">
          <cell r="F6970">
            <v>8.2500000000000004E-2</v>
          </cell>
        </row>
        <row r="6971">
          <cell r="F6971">
            <v>8.1000000000000003E-2</v>
          </cell>
        </row>
        <row r="6972">
          <cell r="F6972">
            <v>8.0299999999999996E-2</v>
          </cell>
        </row>
        <row r="6973">
          <cell r="F6973">
            <v>8.0299999999999996E-2</v>
          </cell>
        </row>
        <row r="6974">
          <cell r="F6974">
            <v>8.2500000000000004E-2</v>
          </cell>
        </row>
        <row r="6975">
          <cell r="F6975">
            <v>8.2100000000000006E-2</v>
          </cell>
        </row>
        <row r="6976">
          <cell r="F6976">
            <v>8.2799999999999999E-2</v>
          </cell>
        </row>
        <row r="6977">
          <cell r="F6977">
            <v>6.9000000000000006E-2</v>
          </cell>
        </row>
        <row r="6978">
          <cell r="F6978">
            <v>6.83E-2</v>
          </cell>
        </row>
        <row r="6979">
          <cell r="F6979">
            <v>6.8400000000000002E-2</v>
          </cell>
        </row>
        <row r="6980">
          <cell r="F6980">
            <v>6.7699999999999996E-2</v>
          </cell>
        </row>
        <row r="6981">
          <cell r="F6981">
            <v>6.0699999999999997E-2</v>
          </cell>
        </row>
        <row r="6982">
          <cell r="F6982">
            <v>6.7100000000000007E-2</v>
          </cell>
        </row>
        <row r="6983">
          <cell r="F6983">
            <v>6.8099999999999994E-2</v>
          </cell>
        </row>
        <row r="6984">
          <cell r="F6984">
            <v>7.0099999999999996E-2</v>
          </cell>
        </row>
        <row r="6985">
          <cell r="F6985">
            <v>7.8700000000000006E-2</v>
          </cell>
        </row>
        <row r="6986">
          <cell r="F6986">
            <v>0.109</v>
          </cell>
        </row>
        <row r="6987">
          <cell r="F6987">
            <v>0.1037</v>
          </cell>
        </row>
        <row r="6988">
          <cell r="F6988">
            <v>8.9499999999999996E-2</v>
          </cell>
        </row>
        <row r="6989">
          <cell r="F6989">
            <v>8.6800000000000002E-2</v>
          </cell>
        </row>
        <row r="6990">
          <cell r="F6990">
            <v>8.6599999999999996E-2</v>
          </cell>
        </row>
        <row r="6991">
          <cell r="F6991">
            <v>0.1104</v>
          </cell>
        </row>
        <row r="6992">
          <cell r="F6992">
            <v>0.1046</v>
          </cell>
        </row>
        <row r="6993">
          <cell r="F6993">
            <v>9.0999999999999998E-2</v>
          </cell>
        </row>
        <row r="6994">
          <cell r="F6994">
            <v>0.10100000000000001</v>
          </cell>
        </row>
        <row r="6995">
          <cell r="F6995">
            <v>9.8900000000000002E-2</v>
          </cell>
        </row>
        <row r="6996">
          <cell r="F6996">
            <v>9.8900000000000002E-2</v>
          </cell>
        </row>
        <row r="6997">
          <cell r="F6997">
            <v>9.8900000000000002E-2</v>
          </cell>
        </row>
        <row r="6998">
          <cell r="F6998">
            <v>9.8900000000000002E-2</v>
          </cell>
        </row>
        <row r="6999">
          <cell r="F6999">
            <v>9.9599999999999994E-2</v>
          </cell>
        </row>
        <row r="7000">
          <cell r="F7000">
            <v>9.0300000000000005E-2</v>
          </cell>
        </row>
        <row r="7001">
          <cell r="F7001">
            <v>6.1100000000000002E-2</v>
          </cell>
        </row>
        <row r="7002">
          <cell r="F7002">
            <v>6.0400000000000002E-2</v>
          </cell>
        </row>
        <row r="7003">
          <cell r="F7003">
            <v>6.0499999999999998E-2</v>
          </cell>
        </row>
        <row r="7004">
          <cell r="F7004">
            <v>6.0499999999999998E-2</v>
          </cell>
        </row>
        <row r="7005">
          <cell r="F7005">
            <v>6.0699999999999997E-2</v>
          </cell>
        </row>
        <row r="7006">
          <cell r="F7006">
            <v>5.8099999999999999E-2</v>
          </cell>
        </row>
        <row r="7007">
          <cell r="F7007">
            <v>6.0299999999999999E-2</v>
          </cell>
        </row>
        <row r="7008">
          <cell r="F7008">
            <v>6.3100000000000003E-2</v>
          </cell>
        </row>
        <row r="7009">
          <cell r="F7009">
            <v>6.7900000000000002E-2</v>
          </cell>
        </row>
        <row r="7010">
          <cell r="F7010">
            <v>0.1096</v>
          </cell>
        </row>
        <row r="7011">
          <cell r="F7011">
            <v>0.1061</v>
          </cell>
        </row>
        <row r="7012">
          <cell r="F7012">
            <v>9.8000000000000004E-2</v>
          </cell>
        </row>
        <row r="7013">
          <cell r="F7013">
            <v>9.4700000000000006E-2</v>
          </cell>
        </row>
        <row r="7014">
          <cell r="F7014">
            <v>8.7599999999999997E-2</v>
          </cell>
        </row>
        <row r="7015">
          <cell r="F7015">
            <v>8.1799999999999998E-2</v>
          </cell>
        </row>
        <row r="7016">
          <cell r="F7016">
            <v>8.1199999999999994E-2</v>
          </cell>
        </row>
        <row r="7017">
          <cell r="F7017">
            <v>8.1100000000000005E-2</v>
          </cell>
        </row>
        <row r="7018">
          <cell r="F7018">
            <v>8.1799999999999998E-2</v>
          </cell>
        </row>
        <row r="7019">
          <cell r="F7019">
            <v>8.1799999999999998E-2</v>
          </cell>
        </row>
        <row r="7020">
          <cell r="F7020">
            <v>7.8899999999999998E-2</v>
          </cell>
        </row>
        <row r="7021">
          <cell r="F7021">
            <v>8.6800000000000002E-2</v>
          </cell>
        </row>
        <row r="7022">
          <cell r="F7022">
            <v>8.5999999999999993E-2</v>
          </cell>
        </row>
        <row r="7023">
          <cell r="F7023">
            <v>8.5999999999999993E-2</v>
          </cell>
        </row>
        <row r="7024">
          <cell r="F7024">
            <v>7.3899999999999993E-2</v>
          </cell>
        </row>
        <row r="7025">
          <cell r="F7025">
            <v>5.5399999999999998E-2</v>
          </cell>
        </row>
        <row r="7026">
          <cell r="F7026">
            <v>5.5500000000000001E-2</v>
          </cell>
        </row>
        <row r="7027">
          <cell r="F7027">
            <v>5.7099999999999998E-2</v>
          </cell>
        </row>
        <row r="7028">
          <cell r="F7028">
            <v>5.74E-2</v>
          </cell>
        </row>
        <row r="7029">
          <cell r="F7029">
            <v>5.5500000000000001E-2</v>
          </cell>
        </row>
        <row r="7030">
          <cell r="F7030">
            <v>5.7099999999999998E-2</v>
          </cell>
        </row>
        <row r="7031">
          <cell r="F7031">
            <v>5.6899999999999999E-2</v>
          </cell>
        </row>
        <row r="7032">
          <cell r="F7032">
            <v>6.2E-2</v>
          </cell>
        </row>
        <row r="7033">
          <cell r="F7033">
            <v>6.3700000000000007E-2</v>
          </cell>
        </row>
        <row r="7034">
          <cell r="F7034">
            <v>0.1014</v>
          </cell>
        </row>
        <row r="7035">
          <cell r="F7035">
            <v>8.4500000000000006E-2</v>
          </cell>
        </row>
        <row r="7036">
          <cell r="F7036">
            <v>8.3400000000000002E-2</v>
          </cell>
        </row>
        <row r="7037">
          <cell r="F7037">
            <v>8.1699999999999995E-2</v>
          </cell>
        </row>
        <row r="7038">
          <cell r="F7038">
            <v>8.0600000000000005E-2</v>
          </cell>
        </row>
        <row r="7039">
          <cell r="F7039">
            <v>8.1900000000000001E-2</v>
          </cell>
        </row>
        <row r="7040">
          <cell r="F7040">
            <v>7.9500000000000001E-2</v>
          </cell>
        </row>
        <row r="7041">
          <cell r="F7041">
            <v>8.09E-2</v>
          </cell>
        </row>
        <row r="7042">
          <cell r="F7042">
            <v>8.3099999999999993E-2</v>
          </cell>
        </row>
        <row r="7043">
          <cell r="F7043">
            <v>8.09E-2</v>
          </cell>
        </row>
        <row r="7044">
          <cell r="F7044">
            <v>8.2400000000000001E-2</v>
          </cell>
        </row>
        <row r="7045">
          <cell r="F7045">
            <v>8.1000000000000003E-2</v>
          </cell>
        </row>
        <row r="7046">
          <cell r="F7046">
            <v>8.3199999999999996E-2</v>
          </cell>
        </row>
        <row r="7047">
          <cell r="F7047">
            <v>8.3900000000000002E-2</v>
          </cell>
        </row>
        <row r="7048">
          <cell r="F7048">
            <v>7.0400000000000004E-2</v>
          </cell>
        </row>
        <row r="7049">
          <cell r="F7049">
            <v>4.9700000000000001E-2</v>
          </cell>
        </row>
        <row r="7050">
          <cell r="F7050">
            <v>2.5999999999999999E-3</v>
          </cell>
        </row>
        <row r="7051">
          <cell r="F7051">
            <v>2.7000000000000001E-3</v>
          </cell>
        </row>
        <row r="7052">
          <cell r="F7052">
            <v>2.7000000000000001E-3</v>
          </cell>
        </row>
        <row r="7053">
          <cell r="F7053">
            <v>2.7000000000000001E-3</v>
          </cell>
        </row>
        <row r="7054">
          <cell r="F7054">
            <v>2.7000000000000001E-3</v>
          </cell>
        </row>
        <row r="7055">
          <cell r="F7055">
            <v>5.5999999999999999E-3</v>
          </cell>
        </row>
        <row r="7056">
          <cell r="F7056">
            <v>1.8499999999999999E-2</v>
          </cell>
        </row>
        <row r="7057">
          <cell r="F7057">
            <v>0.02</v>
          </cell>
        </row>
        <row r="7058">
          <cell r="F7058">
            <v>8.9899999999999994E-2</v>
          </cell>
        </row>
        <row r="7059">
          <cell r="F7059">
            <v>8.6999999999999994E-2</v>
          </cell>
        </row>
        <row r="7060">
          <cell r="F7060">
            <v>8.6199999999999999E-2</v>
          </cell>
        </row>
        <row r="7061">
          <cell r="F7061">
            <v>8.4900000000000003E-2</v>
          </cell>
        </row>
        <row r="7062">
          <cell r="F7062">
            <v>7.3200000000000001E-2</v>
          </cell>
        </row>
        <row r="7063">
          <cell r="F7063">
            <v>8.7499999999999994E-2</v>
          </cell>
        </row>
        <row r="7064">
          <cell r="F7064">
            <v>8.6699999999999999E-2</v>
          </cell>
        </row>
        <row r="7065">
          <cell r="F7065">
            <v>8.6699999999999999E-2</v>
          </cell>
        </row>
        <row r="7066">
          <cell r="F7066">
            <v>9.3100000000000002E-2</v>
          </cell>
        </row>
        <row r="7067">
          <cell r="F7067">
            <v>9.2399999999999996E-2</v>
          </cell>
        </row>
        <row r="7068">
          <cell r="F7068">
            <v>8.5199999999999998E-2</v>
          </cell>
        </row>
        <row r="7069">
          <cell r="F7069">
            <v>8.3799999999999999E-2</v>
          </cell>
        </row>
        <row r="7070">
          <cell r="F7070">
            <v>7.4200000000000002E-2</v>
          </cell>
        </row>
        <row r="7071">
          <cell r="F7071">
            <v>6.8900000000000003E-2</v>
          </cell>
        </row>
        <row r="7072">
          <cell r="F7072">
            <v>6.1800000000000001E-2</v>
          </cell>
        </row>
        <row r="7073">
          <cell r="F7073">
            <v>6.83E-2</v>
          </cell>
        </row>
        <row r="7074">
          <cell r="F7074">
            <v>7.6100000000000001E-2</v>
          </cell>
        </row>
        <row r="7075">
          <cell r="F7075">
            <v>7.6100000000000001E-2</v>
          </cell>
        </row>
        <row r="7076">
          <cell r="F7076">
            <v>7.4700000000000003E-2</v>
          </cell>
        </row>
        <row r="7077">
          <cell r="F7077">
            <v>7.5399999999999995E-2</v>
          </cell>
        </row>
        <row r="7078">
          <cell r="F7078">
            <v>7.5399999999999995E-2</v>
          </cell>
        </row>
        <row r="7079">
          <cell r="F7079">
            <v>7.4700000000000003E-2</v>
          </cell>
        </row>
        <row r="7080">
          <cell r="F7080">
            <v>5.9700000000000003E-2</v>
          </cell>
        </row>
        <row r="7081">
          <cell r="F7081">
            <v>5.91E-2</v>
          </cell>
        </row>
        <row r="7082">
          <cell r="F7082">
            <v>8.2699999999999996E-2</v>
          </cell>
        </row>
        <row r="7083">
          <cell r="F7083">
            <v>8.4099999999999994E-2</v>
          </cell>
        </row>
        <row r="7084">
          <cell r="F7084">
            <v>7.8399999999999997E-2</v>
          </cell>
        </row>
        <row r="7085">
          <cell r="F7085">
            <v>7.85E-2</v>
          </cell>
        </row>
        <row r="7086">
          <cell r="F7086">
            <v>6.9199999999999998E-2</v>
          </cell>
        </row>
        <row r="7087">
          <cell r="F7087">
            <v>7.8299999999999995E-2</v>
          </cell>
        </row>
        <row r="7088">
          <cell r="F7088">
            <v>7.8899999999999998E-2</v>
          </cell>
        </row>
        <row r="7089">
          <cell r="F7089">
            <v>9.0999999999999998E-2</v>
          </cell>
        </row>
        <row r="7090">
          <cell r="F7090">
            <v>8.4599999999999995E-2</v>
          </cell>
        </row>
        <row r="7091">
          <cell r="F7091">
            <v>8.2500000000000004E-2</v>
          </cell>
        </row>
        <row r="7092">
          <cell r="F7092">
            <v>8.6800000000000002E-2</v>
          </cell>
        </row>
        <row r="7093">
          <cell r="F7093">
            <v>8.4599999999999995E-2</v>
          </cell>
        </row>
        <row r="7094">
          <cell r="F7094">
            <v>7.7499999999999999E-2</v>
          </cell>
        </row>
        <row r="7095">
          <cell r="F7095">
            <v>7.1099999999999997E-2</v>
          </cell>
        </row>
        <row r="7096">
          <cell r="F7096">
            <v>7.0400000000000004E-2</v>
          </cell>
        </row>
        <row r="7097">
          <cell r="F7097">
            <v>6.2600000000000003E-2</v>
          </cell>
        </row>
        <row r="7098">
          <cell r="F7098">
            <v>2.7799999999999998E-2</v>
          </cell>
        </row>
        <row r="7099">
          <cell r="F7099">
            <v>2.6599999999999999E-2</v>
          </cell>
        </row>
        <row r="7100">
          <cell r="F7100">
            <v>2.7099999999999999E-2</v>
          </cell>
        </row>
        <row r="7101">
          <cell r="F7101">
            <v>2.63E-2</v>
          </cell>
        </row>
        <row r="7102">
          <cell r="F7102">
            <v>2.69E-2</v>
          </cell>
        </row>
        <row r="7103">
          <cell r="F7103">
            <v>2.9399999999999999E-2</v>
          </cell>
        </row>
        <row r="7104">
          <cell r="F7104">
            <v>2.8299999999999999E-2</v>
          </cell>
        </row>
        <row r="7105">
          <cell r="F7105">
            <v>3.0800000000000001E-2</v>
          </cell>
        </row>
        <row r="7106">
          <cell r="F7106">
            <v>8.5599999999999996E-2</v>
          </cell>
        </row>
        <row r="7107">
          <cell r="F7107">
            <v>8.2000000000000003E-2</v>
          </cell>
        </row>
        <row r="7108">
          <cell r="F7108">
            <v>7.4200000000000002E-2</v>
          </cell>
        </row>
        <row r="7109">
          <cell r="F7109">
            <v>7.5200000000000003E-2</v>
          </cell>
        </row>
        <row r="7110">
          <cell r="F7110">
            <v>7.4499999999999997E-2</v>
          </cell>
        </row>
        <row r="7111">
          <cell r="F7111">
            <v>0.1013</v>
          </cell>
        </row>
        <row r="7112">
          <cell r="F7112">
            <v>9.8500000000000004E-2</v>
          </cell>
        </row>
        <row r="7113">
          <cell r="F7113">
            <v>7.6200000000000004E-2</v>
          </cell>
        </row>
        <row r="7114">
          <cell r="F7114">
            <v>7.46E-2</v>
          </cell>
        </row>
        <row r="7115">
          <cell r="F7115">
            <v>7.0400000000000004E-2</v>
          </cell>
        </row>
        <row r="7116">
          <cell r="F7116">
            <v>8.4599999999999995E-2</v>
          </cell>
        </row>
        <row r="7117">
          <cell r="F7117">
            <v>6.8900000000000003E-2</v>
          </cell>
        </row>
        <row r="7118">
          <cell r="F7118">
            <v>6.9599999999999995E-2</v>
          </cell>
        </row>
        <row r="7119">
          <cell r="F7119">
            <v>7.7499999999999999E-2</v>
          </cell>
        </row>
        <row r="7120">
          <cell r="F7120">
            <v>6.7500000000000004E-2</v>
          </cell>
        </row>
        <row r="7121">
          <cell r="F7121">
            <v>5.3999999999999999E-2</v>
          </cell>
        </row>
        <row r="7122">
          <cell r="F7122">
            <v>4.8300000000000003E-2</v>
          </cell>
        </row>
        <row r="7123">
          <cell r="F7123">
            <v>4.9799999999999997E-2</v>
          </cell>
        </row>
        <row r="7124">
          <cell r="F7124">
            <v>2.63E-2</v>
          </cell>
        </row>
        <row r="7125">
          <cell r="F7125">
            <v>1.78E-2</v>
          </cell>
        </row>
        <row r="7126">
          <cell r="F7126">
            <v>2.8E-3</v>
          </cell>
        </row>
        <row r="7127">
          <cell r="F7127">
            <v>2.8999999999999998E-3</v>
          </cell>
        </row>
        <row r="7128">
          <cell r="F7128">
            <v>1.4E-3</v>
          </cell>
        </row>
        <row r="7129">
          <cell r="F7129">
            <v>2.63E-2</v>
          </cell>
        </row>
        <row r="7130">
          <cell r="F7130">
            <v>6.2700000000000006E-2</v>
          </cell>
        </row>
        <row r="7131">
          <cell r="F7131">
            <v>6.83E-2</v>
          </cell>
        </row>
        <row r="7132">
          <cell r="F7132">
            <v>6.9000000000000006E-2</v>
          </cell>
        </row>
        <row r="7133">
          <cell r="F7133">
            <v>6.8500000000000005E-2</v>
          </cell>
        </row>
        <row r="7134">
          <cell r="F7134">
            <v>6.8500000000000005E-2</v>
          </cell>
        </row>
        <row r="7135">
          <cell r="F7135">
            <v>7.0400000000000004E-2</v>
          </cell>
        </row>
        <row r="7136">
          <cell r="F7136">
            <v>9.6000000000000002E-2</v>
          </cell>
        </row>
        <row r="7137">
          <cell r="F7137">
            <v>7.46E-2</v>
          </cell>
        </row>
        <row r="7138">
          <cell r="F7138">
            <v>6.4699999999999994E-2</v>
          </cell>
        </row>
        <row r="7139">
          <cell r="F7139">
            <v>6.8199999999999997E-2</v>
          </cell>
        </row>
        <row r="7140">
          <cell r="F7140">
            <v>7.8899999999999998E-2</v>
          </cell>
        </row>
        <row r="7141">
          <cell r="F7141">
            <v>8.0299999999999996E-2</v>
          </cell>
        </row>
        <row r="7142">
          <cell r="F7142">
            <v>7.8200000000000006E-2</v>
          </cell>
        </row>
        <row r="7143">
          <cell r="F7143">
            <v>7.7499999999999999E-2</v>
          </cell>
        </row>
        <row r="7144">
          <cell r="F7144">
            <v>7.5300000000000006E-2</v>
          </cell>
        </row>
        <row r="7145">
          <cell r="F7145">
            <v>5.8999999999999997E-2</v>
          </cell>
        </row>
        <row r="7146">
          <cell r="F7146">
            <v>2.69E-2</v>
          </cell>
        </row>
        <row r="7147">
          <cell r="F7147">
            <v>5.7599999999999998E-2</v>
          </cell>
        </row>
        <row r="7148">
          <cell r="F7148">
            <v>3.3300000000000003E-2</v>
          </cell>
        </row>
        <row r="7149">
          <cell r="F7149">
            <v>2.5499999999999998E-2</v>
          </cell>
        </row>
        <row r="7150">
          <cell r="F7150">
            <v>2.6200000000000001E-2</v>
          </cell>
        </row>
        <row r="7151">
          <cell r="F7151">
            <v>2.1899999999999999E-2</v>
          </cell>
        </row>
        <row r="7152">
          <cell r="F7152">
            <v>2.0500000000000001E-2</v>
          </cell>
        </row>
        <row r="7153">
          <cell r="F7153">
            <v>2.2599999999999999E-2</v>
          </cell>
        </row>
        <row r="7154">
          <cell r="F7154">
            <v>7.9600000000000004E-2</v>
          </cell>
        </row>
        <row r="7155">
          <cell r="F7155">
            <v>0.1061</v>
          </cell>
        </row>
        <row r="7156">
          <cell r="F7156">
            <v>8.7599999999999997E-2</v>
          </cell>
        </row>
        <row r="7157">
          <cell r="F7157">
            <v>8.2299999999999998E-2</v>
          </cell>
        </row>
        <row r="7158">
          <cell r="F7158">
            <v>7.9799999999999996E-2</v>
          </cell>
        </row>
        <row r="7159">
          <cell r="F7159">
            <v>7.1800000000000003E-2</v>
          </cell>
        </row>
        <row r="7160">
          <cell r="F7160">
            <v>7.1099999999999997E-2</v>
          </cell>
        </row>
        <row r="7161">
          <cell r="F7161">
            <v>7.2499999999999995E-2</v>
          </cell>
        </row>
        <row r="7162">
          <cell r="F7162">
            <v>6.8900000000000003E-2</v>
          </cell>
        </row>
        <row r="7163">
          <cell r="F7163">
            <v>7.2499999999999995E-2</v>
          </cell>
        </row>
        <row r="7164">
          <cell r="F7164">
            <v>7.8200000000000006E-2</v>
          </cell>
        </row>
        <row r="7165">
          <cell r="F7165">
            <v>7.5300000000000006E-2</v>
          </cell>
        </row>
        <row r="7166">
          <cell r="F7166">
            <v>6.8900000000000003E-2</v>
          </cell>
        </row>
        <row r="7167">
          <cell r="F7167">
            <v>6.9599999999999995E-2</v>
          </cell>
        </row>
        <row r="7168">
          <cell r="F7168">
            <v>6.25E-2</v>
          </cell>
        </row>
        <row r="7169">
          <cell r="F7169">
            <v>5.5399999999999998E-2</v>
          </cell>
        </row>
        <row r="7170">
          <cell r="F7170">
            <v>5.1900000000000002E-2</v>
          </cell>
        </row>
        <row r="7171">
          <cell r="F7171">
            <v>4.8300000000000003E-2</v>
          </cell>
        </row>
        <row r="7172">
          <cell r="F7172">
            <v>5.04E-2</v>
          </cell>
        </row>
        <row r="7173">
          <cell r="F7173">
            <v>4.9700000000000001E-2</v>
          </cell>
        </row>
        <row r="7174">
          <cell r="F7174">
            <v>4.7600000000000003E-2</v>
          </cell>
        </row>
        <row r="7175">
          <cell r="F7175">
            <v>4.5499999999999999E-2</v>
          </cell>
        </row>
        <row r="7176">
          <cell r="F7176">
            <v>4.6300000000000001E-2</v>
          </cell>
        </row>
        <row r="7177">
          <cell r="F7177">
            <v>5.1999999999999998E-2</v>
          </cell>
        </row>
        <row r="7178">
          <cell r="F7178">
            <v>9.0499999999999997E-2</v>
          </cell>
        </row>
        <row r="7179">
          <cell r="F7179">
            <v>8.4000000000000005E-2</v>
          </cell>
        </row>
        <row r="7180">
          <cell r="F7180">
            <v>8.3500000000000005E-2</v>
          </cell>
        </row>
        <row r="7181">
          <cell r="F7181">
            <v>7.0099999999999996E-2</v>
          </cell>
        </row>
        <row r="7182">
          <cell r="F7182">
            <v>7.1300000000000002E-2</v>
          </cell>
        </row>
        <row r="7183">
          <cell r="F7183">
            <v>7.5399999999999995E-2</v>
          </cell>
        </row>
        <row r="7184">
          <cell r="F7184">
            <v>7.0400000000000004E-2</v>
          </cell>
        </row>
        <row r="7185">
          <cell r="F7185">
            <v>7.1800000000000003E-2</v>
          </cell>
        </row>
        <row r="7186">
          <cell r="F7186">
            <v>7.3899999999999993E-2</v>
          </cell>
        </row>
        <row r="7187">
          <cell r="F7187">
            <v>6.8900000000000003E-2</v>
          </cell>
        </row>
        <row r="7188">
          <cell r="F7188">
            <v>6.4600000000000005E-2</v>
          </cell>
        </row>
        <row r="7189">
          <cell r="F7189">
            <v>7.2499999999999995E-2</v>
          </cell>
        </row>
        <row r="7190">
          <cell r="F7190">
            <v>7.46E-2</v>
          </cell>
        </row>
        <row r="7191">
          <cell r="F7191">
            <v>8.7499999999999994E-2</v>
          </cell>
        </row>
        <row r="7192">
          <cell r="F7192">
            <v>7.5399999999999995E-2</v>
          </cell>
        </row>
        <row r="7193">
          <cell r="F7193">
            <v>4.8300000000000003E-2</v>
          </cell>
        </row>
        <row r="7194">
          <cell r="F7194">
            <v>2.7000000000000001E-3</v>
          </cell>
        </row>
        <row r="7195">
          <cell r="F7195">
            <v>2.7000000000000001E-3</v>
          </cell>
        </row>
        <row r="7196">
          <cell r="F7196">
            <v>2.5999999999999999E-3</v>
          </cell>
        </row>
        <row r="7197">
          <cell r="F7197">
            <v>2.5999999999999999E-3</v>
          </cell>
        </row>
        <row r="7198">
          <cell r="F7198">
            <v>2.5999999999999999E-3</v>
          </cell>
        </row>
        <row r="7199">
          <cell r="F7199">
            <v>0</v>
          </cell>
        </row>
        <row r="7200">
          <cell r="F7200">
            <v>7.1999999999999998E-3</v>
          </cell>
        </row>
        <row r="7201">
          <cell r="F7201">
            <v>5.11E-2</v>
          </cell>
        </row>
        <row r="7202">
          <cell r="F7202">
            <v>8.2699999999999996E-2</v>
          </cell>
        </row>
        <row r="7203">
          <cell r="F7203">
            <v>8.2699999999999996E-2</v>
          </cell>
        </row>
        <row r="7204">
          <cell r="F7204">
            <v>7.4999999999999997E-2</v>
          </cell>
        </row>
        <row r="7205">
          <cell r="F7205">
            <v>0.08</v>
          </cell>
        </row>
        <row r="7206">
          <cell r="F7206">
            <v>7.4300000000000005E-2</v>
          </cell>
        </row>
        <row r="7207">
          <cell r="F7207">
            <v>9.4700000000000006E-2</v>
          </cell>
        </row>
        <row r="7208">
          <cell r="F7208">
            <v>9.4600000000000004E-2</v>
          </cell>
        </row>
        <row r="7209">
          <cell r="F7209">
            <v>7.46E-2</v>
          </cell>
        </row>
        <row r="7210">
          <cell r="F7210">
            <v>7.7700000000000005E-2</v>
          </cell>
        </row>
        <row r="7211">
          <cell r="F7211">
            <v>7.5600000000000001E-2</v>
          </cell>
        </row>
        <row r="7212">
          <cell r="F7212">
            <v>7.4200000000000002E-2</v>
          </cell>
        </row>
        <row r="7213">
          <cell r="F7213">
            <v>9.2499999999999999E-2</v>
          </cell>
        </row>
        <row r="7214">
          <cell r="F7214">
            <v>8.1299999999999997E-2</v>
          </cell>
        </row>
        <row r="7215">
          <cell r="F7215">
            <v>8.6999999999999994E-2</v>
          </cell>
        </row>
        <row r="7216">
          <cell r="F7216">
            <v>7.9799999999999996E-2</v>
          </cell>
        </row>
        <row r="7217">
          <cell r="F7217">
            <v>5.7799999999999997E-2</v>
          </cell>
        </row>
        <row r="7218">
          <cell r="F7218">
            <v>5.6099999999999997E-2</v>
          </cell>
        </row>
        <row r="7219">
          <cell r="F7219">
            <v>5.4699999999999999E-2</v>
          </cell>
        </row>
        <row r="7220">
          <cell r="F7220">
            <v>5.5399999999999998E-2</v>
          </cell>
        </row>
        <row r="7221">
          <cell r="F7221">
            <v>5.6800000000000003E-2</v>
          </cell>
        </row>
        <row r="7222">
          <cell r="F7222">
            <v>5.04E-2</v>
          </cell>
        </row>
        <row r="7223">
          <cell r="F7223">
            <v>4.9700000000000001E-2</v>
          </cell>
        </row>
        <row r="7224">
          <cell r="F7224">
            <v>2.9700000000000001E-2</v>
          </cell>
        </row>
        <row r="7225">
          <cell r="F7225">
            <v>6.1800000000000001E-2</v>
          </cell>
        </row>
        <row r="7226">
          <cell r="F7226">
            <v>9.7500000000000003E-2</v>
          </cell>
        </row>
        <row r="7227">
          <cell r="F7227">
            <v>8.1100000000000005E-2</v>
          </cell>
        </row>
        <row r="7228">
          <cell r="F7228">
            <v>7.8299999999999995E-2</v>
          </cell>
        </row>
        <row r="7229">
          <cell r="F7229">
            <v>7.9799999999999996E-2</v>
          </cell>
        </row>
        <row r="7230">
          <cell r="F7230">
            <v>8.3299999999999999E-2</v>
          </cell>
        </row>
        <row r="7231">
          <cell r="F7231">
            <v>0.1018</v>
          </cell>
        </row>
        <row r="7232">
          <cell r="F7232">
            <v>0.1024</v>
          </cell>
        </row>
        <row r="7233">
          <cell r="F7233">
            <v>9.9599999999999994E-2</v>
          </cell>
        </row>
        <row r="7234">
          <cell r="F7234">
            <v>9.8199999999999996E-2</v>
          </cell>
        </row>
        <row r="7235">
          <cell r="F7235">
            <v>9.3899999999999997E-2</v>
          </cell>
        </row>
        <row r="7236">
          <cell r="F7236">
            <v>8.8900000000000007E-2</v>
          </cell>
        </row>
        <row r="7237">
          <cell r="F7237">
            <v>8.6699999999999999E-2</v>
          </cell>
        </row>
        <row r="7238">
          <cell r="F7238">
            <v>9.3899999999999997E-2</v>
          </cell>
        </row>
        <row r="7239">
          <cell r="F7239">
            <v>0.10100000000000001</v>
          </cell>
        </row>
        <row r="7240">
          <cell r="F7240">
            <v>7.9600000000000004E-2</v>
          </cell>
        </row>
        <row r="7241">
          <cell r="F7241">
            <v>6.7500000000000004E-2</v>
          </cell>
        </row>
        <row r="7242">
          <cell r="F7242">
            <v>6.7500000000000004E-2</v>
          </cell>
        </row>
        <row r="7243">
          <cell r="F7243">
            <v>6.6799999999999998E-2</v>
          </cell>
        </row>
        <row r="7244">
          <cell r="F7244">
            <v>6.6799999999999998E-2</v>
          </cell>
        </row>
        <row r="7245">
          <cell r="F7245">
            <v>6.6799999999999998E-2</v>
          </cell>
        </row>
        <row r="7246">
          <cell r="F7246">
            <v>6.6799999999999998E-2</v>
          </cell>
        </row>
        <row r="7247">
          <cell r="F7247">
            <v>6.6799999999999998E-2</v>
          </cell>
        </row>
        <row r="7248">
          <cell r="F7248">
            <v>6.6799999999999998E-2</v>
          </cell>
        </row>
        <row r="7249">
          <cell r="F7249">
            <v>6.8900000000000003E-2</v>
          </cell>
        </row>
        <row r="7250">
          <cell r="F7250">
            <v>0.1032</v>
          </cell>
        </row>
        <row r="7251">
          <cell r="F7251">
            <v>0.11310000000000001</v>
          </cell>
        </row>
        <row r="7252">
          <cell r="F7252">
            <v>9.8199999999999996E-2</v>
          </cell>
        </row>
        <row r="7253">
          <cell r="F7253">
            <v>9.6199999999999994E-2</v>
          </cell>
        </row>
        <row r="7254">
          <cell r="F7254">
            <v>9.6199999999999994E-2</v>
          </cell>
        </row>
        <row r="7255">
          <cell r="F7255">
            <v>0.106</v>
          </cell>
        </row>
        <row r="7256">
          <cell r="F7256">
            <v>0.1024</v>
          </cell>
        </row>
        <row r="7257">
          <cell r="F7257">
            <v>0.1031</v>
          </cell>
        </row>
        <row r="7258">
          <cell r="F7258">
            <v>0.10390000000000001</v>
          </cell>
        </row>
        <row r="7259">
          <cell r="F7259">
            <v>0.1046</v>
          </cell>
        </row>
        <row r="7260">
          <cell r="F7260">
            <v>9.3899999999999997E-2</v>
          </cell>
        </row>
        <row r="7261">
          <cell r="F7261">
            <v>9.6000000000000002E-2</v>
          </cell>
        </row>
        <row r="7262">
          <cell r="F7262">
            <v>0.1024</v>
          </cell>
        </row>
        <row r="7263">
          <cell r="F7263">
            <v>0.1017</v>
          </cell>
        </row>
        <row r="7264">
          <cell r="F7264">
            <v>7.5399999999999995E-2</v>
          </cell>
        </row>
        <row r="7265">
          <cell r="F7265">
            <v>6.6799999999999998E-2</v>
          </cell>
        </row>
        <row r="7266">
          <cell r="F7266">
            <v>6.25E-2</v>
          </cell>
        </row>
        <row r="7267">
          <cell r="F7267">
            <v>6.25E-2</v>
          </cell>
        </row>
        <row r="7268">
          <cell r="F7268">
            <v>6.3299999999999995E-2</v>
          </cell>
        </row>
        <row r="7269">
          <cell r="F7269">
            <v>6.3299999999999995E-2</v>
          </cell>
        </row>
        <row r="7270">
          <cell r="F7270">
            <v>6.2600000000000003E-2</v>
          </cell>
        </row>
        <row r="7271">
          <cell r="F7271">
            <v>6.2600000000000003E-2</v>
          </cell>
        </row>
        <row r="7272">
          <cell r="F7272">
            <v>6.2700000000000006E-2</v>
          </cell>
        </row>
        <row r="7273">
          <cell r="F7273">
            <v>6.9199999999999998E-2</v>
          </cell>
        </row>
        <row r="7274">
          <cell r="F7274">
            <v>0.107</v>
          </cell>
        </row>
        <row r="7275">
          <cell r="F7275">
            <v>0.11119999999999999</v>
          </cell>
        </row>
        <row r="7276">
          <cell r="F7276">
            <v>0.115</v>
          </cell>
        </row>
        <row r="7277">
          <cell r="F7277">
            <v>0.1133</v>
          </cell>
        </row>
        <row r="7278">
          <cell r="F7278">
            <v>9.8299999999999998E-2</v>
          </cell>
        </row>
        <row r="7279">
          <cell r="F7279">
            <v>0.10680000000000001</v>
          </cell>
        </row>
        <row r="7280">
          <cell r="F7280">
            <v>0.10390000000000001</v>
          </cell>
        </row>
        <row r="7281">
          <cell r="F7281">
            <v>0.1032</v>
          </cell>
        </row>
        <row r="7282">
          <cell r="F7282">
            <v>0.10390000000000001</v>
          </cell>
        </row>
        <row r="7283">
          <cell r="F7283">
            <v>0.1031</v>
          </cell>
        </row>
        <row r="7284">
          <cell r="F7284">
            <v>0.1024</v>
          </cell>
        </row>
        <row r="7285">
          <cell r="F7285">
            <v>0.1024</v>
          </cell>
        </row>
        <row r="7286">
          <cell r="F7286">
            <v>0.1024</v>
          </cell>
        </row>
        <row r="7287">
          <cell r="F7287">
            <v>8.6800000000000002E-2</v>
          </cell>
        </row>
        <row r="7288">
          <cell r="F7288">
            <v>8.6800000000000002E-2</v>
          </cell>
        </row>
        <row r="7289">
          <cell r="F7289">
            <v>7.2499999999999995E-2</v>
          </cell>
        </row>
        <row r="7290">
          <cell r="F7290">
            <v>6.6799999999999998E-2</v>
          </cell>
        </row>
        <row r="7291">
          <cell r="F7291">
            <v>6.54E-2</v>
          </cell>
        </row>
        <row r="7292">
          <cell r="F7292">
            <v>6.4699999999999994E-2</v>
          </cell>
        </row>
        <row r="7293">
          <cell r="F7293">
            <v>6.2600000000000003E-2</v>
          </cell>
        </row>
        <row r="7294">
          <cell r="F7294">
            <v>6.4699999999999994E-2</v>
          </cell>
        </row>
        <row r="7295">
          <cell r="F7295">
            <v>6.3299999999999995E-2</v>
          </cell>
        </row>
        <row r="7296">
          <cell r="F7296">
            <v>6.6799999999999998E-2</v>
          </cell>
        </row>
        <row r="7297">
          <cell r="F7297">
            <v>7.5399999999999995E-2</v>
          </cell>
        </row>
        <row r="7298">
          <cell r="F7298">
            <v>9.9599999999999994E-2</v>
          </cell>
        </row>
        <row r="7299">
          <cell r="F7299">
            <v>0.1075</v>
          </cell>
        </row>
        <row r="7300">
          <cell r="F7300">
            <v>0.12330000000000001</v>
          </cell>
        </row>
        <row r="7301">
          <cell r="F7301">
            <v>0.1134</v>
          </cell>
        </row>
        <row r="7302">
          <cell r="F7302">
            <v>9.5500000000000002E-2</v>
          </cell>
        </row>
        <row r="7303">
          <cell r="F7303">
            <v>9.7500000000000003E-2</v>
          </cell>
        </row>
        <row r="7304">
          <cell r="F7304">
            <v>0.1032</v>
          </cell>
        </row>
        <row r="7305">
          <cell r="F7305">
            <v>0.1017</v>
          </cell>
        </row>
        <row r="7306">
          <cell r="F7306">
            <v>8.9700000000000002E-2</v>
          </cell>
        </row>
        <row r="7307">
          <cell r="F7307">
            <v>8.6199999999999999E-2</v>
          </cell>
        </row>
        <row r="7308">
          <cell r="F7308">
            <v>7.1999999999999995E-2</v>
          </cell>
        </row>
        <row r="7309">
          <cell r="F7309">
            <v>7.2700000000000001E-2</v>
          </cell>
        </row>
        <row r="7310">
          <cell r="F7310">
            <v>8.5500000000000007E-2</v>
          </cell>
        </row>
        <row r="7311">
          <cell r="F7311">
            <v>8.7599999999999997E-2</v>
          </cell>
        </row>
        <row r="7312">
          <cell r="F7312">
            <v>7.1999999999999995E-2</v>
          </cell>
        </row>
        <row r="7313">
          <cell r="F7313">
            <v>6.2100000000000002E-2</v>
          </cell>
        </row>
        <row r="7314">
          <cell r="F7314">
            <v>6.9900000000000004E-2</v>
          </cell>
        </row>
        <row r="7315">
          <cell r="F7315">
            <v>6.7799999999999999E-2</v>
          </cell>
        </row>
        <row r="7316">
          <cell r="F7316">
            <v>6.8500000000000005E-2</v>
          </cell>
        </row>
        <row r="7317">
          <cell r="F7317">
            <v>6.8500000000000005E-2</v>
          </cell>
        </row>
        <row r="7318">
          <cell r="F7318">
            <v>6.7100000000000007E-2</v>
          </cell>
        </row>
        <row r="7319">
          <cell r="F7319">
            <v>6.6400000000000001E-2</v>
          </cell>
        </row>
        <row r="7320">
          <cell r="F7320">
            <v>6.6400000000000001E-2</v>
          </cell>
        </row>
        <row r="7321">
          <cell r="F7321">
            <v>7.2800000000000004E-2</v>
          </cell>
        </row>
        <row r="7322">
          <cell r="F7322">
            <v>0.1124</v>
          </cell>
        </row>
        <row r="7323">
          <cell r="F7323">
            <v>9.3100000000000002E-2</v>
          </cell>
        </row>
        <row r="7324">
          <cell r="F7324">
            <v>8.8099999999999998E-2</v>
          </cell>
        </row>
        <row r="7325">
          <cell r="F7325">
            <v>8.2100000000000006E-2</v>
          </cell>
        </row>
        <row r="7326">
          <cell r="F7326">
            <v>7.4999999999999997E-2</v>
          </cell>
        </row>
        <row r="7327">
          <cell r="F7327">
            <v>7.5600000000000001E-2</v>
          </cell>
        </row>
        <row r="7328">
          <cell r="F7328">
            <v>7.6999999999999999E-2</v>
          </cell>
        </row>
        <row r="7329">
          <cell r="F7329">
            <v>7.6999999999999999E-2</v>
          </cell>
        </row>
        <row r="7330">
          <cell r="F7330">
            <v>8.9700000000000002E-2</v>
          </cell>
        </row>
        <row r="7331">
          <cell r="F7331">
            <v>8.8999999999999996E-2</v>
          </cell>
        </row>
        <row r="7332">
          <cell r="F7332">
            <v>8.1199999999999994E-2</v>
          </cell>
        </row>
        <row r="7333">
          <cell r="F7333">
            <v>8.1199999999999994E-2</v>
          </cell>
        </row>
        <row r="7334">
          <cell r="F7334">
            <v>7.9100000000000004E-2</v>
          </cell>
        </row>
        <row r="7335">
          <cell r="F7335">
            <v>7.8399999999999997E-2</v>
          </cell>
        </row>
        <row r="7336">
          <cell r="F7336">
            <v>0.1003</v>
          </cell>
        </row>
        <row r="7337">
          <cell r="F7337">
            <v>9.11E-2</v>
          </cell>
        </row>
        <row r="7338">
          <cell r="F7338">
            <v>6.2799999999999995E-2</v>
          </cell>
        </row>
        <row r="7339">
          <cell r="F7339">
            <v>6.2899999999999998E-2</v>
          </cell>
        </row>
        <row r="7340">
          <cell r="F7340">
            <v>6.2799999999999995E-2</v>
          </cell>
        </row>
        <row r="7341">
          <cell r="F7341">
            <v>6.2899999999999998E-2</v>
          </cell>
        </row>
        <row r="7342">
          <cell r="F7342">
            <v>6.2899999999999998E-2</v>
          </cell>
        </row>
        <row r="7343">
          <cell r="F7343">
            <v>6.3E-2</v>
          </cell>
        </row>
        <row r="7344">
          <cell r="F7344">
            <v>6.7199999999999996E-2</v>
          </cell>
        </row>
        <row r="7345">
          <cell r="F7345">
            <v>6.5100000000000005E-2</v>
          </cell>
        </row>
        <row r="7346">
          <cell r="F7346">
            <v>8.7099999999999997E-2</v>
          </cell>
        </row>
        <row r="7347">
          <cell r="F7347">
            <v>8.5599999999999996E-2</v>
          </cell>
        </row>
        <row r="7348">
          <cell r="F7348">
            <v>7.6100000000000001E-2</v>
          </cell>
        </row>
        <row r="7349">
          <cell r="F7349">
            <v>7.7700000000000005E-2</v>
          </cell>
        </row>
        <row r="7350">
          <cell r="F7350">
            <v>7.7399999999999997E-2</v>
          </cell>
        </row>
        <row r="7351">
          <cell r="F7351">
            <v>7.7799999999999994E-2</v>
          </cell>
        </row>
        <row r="7352">
          <cell r="F7352">
            <v>7.8399999999999997E-2</v>
          </cell>
        </row>
        <row r="7353">
          <cell r="F7353">
            <v>7.4099999999999999E-2</v>
          </cell>
        </row>
        <row r="7354">
          <cell r="F7354">
            <v>7.1999999999999995E-2</v>
          </cell>
        </row>
        <row r="7355">
          <cell r="F7355">
            <v>7.1300000000000002E-2</v>
          </cell>
        </row>
        <row r="7356">
          <cell r="F7356">
            <v>7.9799999999999996E-2</v>
          </cell>
        </row>
        <row r="7357">
          <cell r="F7357">
            <v>7.8399999999999997E-2</v>
          </cell>
        </row>
        <row r="7358">
          <cell r="F7358">
            <v>8.0500000000000002E-2</v>
          </cell>
        </row>
        <row r="7359">
          <cell r="F7359">
            <v>7.8399999999999997E-2</v>
          </cell>
        </row>
        <row r="7360">
          <cell r="F7360">
            <v>8.6900000000000005E-2</v>
          </cell>
        </row>
        <row r="7361">
          <cell r="F7361">
            <v>6.7799999999999999E-2</v>
          </cell>
        </row>
        <row r="7362">
          <cell r="F7362">
            <v>5.9299999999999999E-2</v>
          </cell>
        </row>
        <row r="7363">
          <cell r="F7363">
            <v>3.09E-2</v>
          </cell>
        </row>
        <row r="7364">
          <cell r="F7364">
            <v>9.7000000000000003E-3</v>
          </cell>
        </row>
        <row r="7365">
          <cell r="F7365">
            <v>8.3000000000000001E-3</v>
          </cell>
        </row>
        <row r="7366">
          <cell r="F7366">
            <v>9.7999999999999997E-3</v>
          </cell>
        </row>
        <row r="7367">
          <cell r="F7367">
            <v>8.3000000000000001E-3</v>
          </cell>
        </row>
        <row r="7368">
          <cell r="F7368">
            <v>7.0000000000000001E-3</v>
          </cell>
        </row>
        <row r="7369">
          <cell r="F7369">
            <v>2.6100000000000002E-2</v>
          </cell>
        </row>
        <row r="7370">
          <cell r="F7370">
            <v>7.2800000000000004E-2</v>
          </cell>
        </row>
        <row r="7371">
          <cell r="F7371">
            <v>7.0599999999999996E-2</v>
          </cell>
        </row>
        <row r="7372">
          <cell r="F7372">
            <v>7.1400000000000005E-2</v>
          </cell>
        </row>
        <row r="7373">
          <cell r="F7373">
            <v>7.2800000000000004E-2</v>
          </cell>
        </row>
        <row r="7374">
          <cell r="F7374">
            <v>7.2099999999999997E-2</v>
          </cell>
        </row>
        <row r="7375">
          <cell r="F7375">
            <v>9.7500000000000003E-2</v>
          </cell>
        </row>
        <row r="7376">
          <cell r="F7376">
            <v>9.6100000000000005E-2</v>
          </cell>
        </row>
        <row r="7377">
          <cell r="F7377">
            <v>9.6799999999999997E-2</v>
          </cell>
        </row>
        <row r="7378">
          <cell r="F7378">
            <v>7.5499999999999998E-2</v>
          </cell>
        </row>
        <row r="7379">
          <cell r="F7379">
            <v>7.5300000000000006E-2</v>
          </cell>
        </row>
        <row r="7380">
          <cell r="F7380">
            <v>6.7699999999999996E-2</v>
          </cell>
        </row>
        <row r="7381">
          <cell r="F7381">
            <v>6.7000000000000004E-2</v>
          </cell>
        </row>
        <row r="7382">
          <cell r="F7382">
            <v>6.7799999999999999E-2</v>
          </cell>
        </row>
        <row r="7383">
          <cell r="F7383">
            <v>6.8500000000000005E-2</v>
          </cell>
        </row>
        <row r="7384">
          <cell r="F7384">
            <v>6.8500000000000005E-2</v>
          </cell>
        </row>
        <row r="7385">
          <cell r="F7385">
            <v>9.7000000000000003E-3</v>
          </cell>
        </row>
        <row r="7386">
          <cell r="F7386">
            <v>9.7000000000000003E-3</v>
          </cell>
        </row>
        <row r="7387">
          <cell r="F7387">
            <v>9.7000000000000003E-3</v>
          </cell>
        </row>
        <row r="7388">
          <cell r="F7388">
            <v>8.3000000000000001E-3</v>
          </cell>
        </row>
        <row r="7389">
          <cell r="F7389">
            <v>9.7000000000000003E-3</v>
          </cell>
        </row>
        <row r="7390">
          <cell r="F7390">
            <v>8.3000000000000001E-3</v>
          </cell>
        </row>
        <row r="7391">
          <cell r="F7391">
            <v>1.4500000000000001E-2</v>
          </cell>
        </row>
        <row r="7392">
          <cell r="F7392">
            <v>1E-4</v>
          </cell>
        </row>
        <row r="7393">
          <cell r="F7393">
            <v>1E-4</v>
          </cell>
        </row>
        <row r="7394">
          <cell r="F7394">
            <v>7.0900000000000005E-2</v>
          </cell>
        </row>
        <row r="7395">
          <cell r="F7395">
            <v>9.6799999999999997E-2</v>
          </cell>
        </row>
        <row r="7396">
          <cell r="F7396">
            <v>8.14E-2</v>
          </cell>
        </row>
        <row r="7397">
          <cell r="F7397">
            <v>8.2299999999999998E-2</v>
          </cell>
        </row>
        <row r="7398">
          <cell r="F7398">
            <v>8.1000000000000003E-2</v>
          </cell>
        </row>
        <row r="7399">
          <cell r="F7399">
            <v>7.8899999999999998E-2</v>
          </cell>
        </row>
        <row r="7400">
          <cell r="F7400">
            <v>9.6100000000000005E-2</v>
          </cell>
        </row>
        <row r="7401">
          <cell r="F7401">
            <v>7.7700000000000005E-2</v>
          </cell>
        </row>
        <row r="7402">
          <cell r="F7402">
            <v>7.6200000000000004E-2</v>
          </cell>
        </row>
        <row r="7403">
          <cell r="F7403">
            <v>8.6099999999999996E-2</v>
          </cell>
        </row>
        <row r="7404">
          <cell r="F7404">
            <v>8.2600000000000007E-2</v>
          </cell>
        </row>
        <row r="7405">
          <cell r="F7405">
            <v>8.7499999999999994E-2</v>
          </cell>
        </row>
        <row r="7406">
          <cell r="F7406">
            <v>9.3899999999999997E-2</v>
          </cell>
        </row>
        <row r="7407">
          <cell r="F7407">
            <v>8.1199999999999994E-2</v>
          </cell>
        </row>
        <row r="7408">
          <cell r="F7408">
            <v>7.1999999999999995E-2</v>
          </cell>
        </row>
        <row r="7409">
          <cell r="F7409">
            <v>6.8500000000000005E-2</v>
          </cell>
        </row>
        <row r="7410">
          <cell r="F7410">
            <v>6.3500000000000001E-2</v>
          </cell>
        </row>
        <row r="7411">
          <cell r="F7411">
            <v>6.2799999999999995E-2</v>
          </cell>
        </row>
        <row r="7412">
          <cell r="F7412">
            <v>0.06</v>
          </cell>
        </row>
        <row r="7413">
          <cell r="F7413">
            <v>0.06</v>
          </cell>
        </row>
        <row r="7414">
          <cell r="F7414">
            <v>5.9299999999999999E-2</v>
          </cell>
        </row>
        <row r="7415">
          <cell r="F7415">
            <v>4.5199999999999997E-2</v>
          </cell>
        </row>
        <row r="7416">
          <cell r="F7416">
            <v>2.47E-2</v>
          </cell>
        </row>
        <row r="7417">
          <cell r="F7417">
            <v>6.0100000000000001E-2</v>
          </cell>
        </row>
        <row r="7418">
          <cell r="F7418">
            <v>9.6100000000000005E-2</v>
          </cell>
        </row>
        <row r="7419">
          <cell r="F7419">
            <v>9.3299999999999994E-2</v>
          </cell>
        </row>
        <row r="7420">
          <cell r="F7420">
            <v>9.5200000000000007E-2</v>
          </cell>
        </row>
        <row r="7421">
          <cell r="F7421">
            <v>8.4900000000000003E-2</v>
          </cell>
        </row>
        <row r="7422">
          <cell r="F7422">
            <v>8.48E-2</v>
          </cell>
        </row>
        <row r="7423">
          <cell r="F7423">
            <v>8.8999999999999996E-2</v>
          </cell>
        </row>
        <row r="7424">
          <cell r="F7424">
            <v>0.10100000000000001</v>
          </cell>
        </row>
        <row r="7425">
          <cell r="F7425">
            <v>0.1017</v>
          </cell>
        </row>
        <row r="7426">
          <cell r="F7426">
            <v>0.1024</v>
          </cell>
        </row>
        <row r="7427">
          <cell r="F7427">
            <v>0.1024</v>
          </cell>
        </row>
        <row r="7428">
          <cell r="F7428">
            <v>0.1032</v>
          </cell>
        </row>
        <row r="7429">
          <cell r="F7429">
            <v>9.8199999999999996E-2</v>
          </cell>
        </row>
        <row r="7430">
          <cell r="F7430">
            <v>0.10100000000000001</v>
          </cell>
        </row>
        <row r="7431">
          <cell r="F7431">
            <v>0.10100000000000001</v>
          </cell>
        </row>
        <row r="7432">
          <cell r="F7432">
            <v>0.1003</v>
          </cell>
        </row>
        <row r="7433">
          <cell r="F7433">
            <v>9.6100000000000005E-2</v>
          </cell>
        </row>
        <row r="7434">
          <cell r="F7434">
            <v>6.9900000000000004E-2</v>
          </cell>
        </row>
        <row r="7435">
          <cell r="F7435">
            <v>6.9900000000000004E-2</v>
          </cell>
        </row>
        <row r="7436">
          <cell r="F7436">
            <v>7.0000000000000007E-2</v>
          </cell>
        </row>
        <row r="7437">
          <cell r="F7437">
            <v>7.0699999999999999E-2</v>
          </cell>
        </row>
        <row r="7438">
          <cell r="F7438">
            <v>7.0000000000000007E-2</v>
          </cell>
        </row>
        <row r="7439">
          <cell r="F7439">
            <v>7.0000000000000007E-2</v>
          </cell>
        </row>
        <row r="7440">
          <cell r="F7440">
            <v>7.0000000000000007E-2</v>
          </cell>
        </row>
        <row r="7441">
          <cell r="F7441">
            <v>7.7799999999999994E-2</v>
          </cell>
        </row>
        <row r="7442">
          <cell r="F7442">
            <v>9.3299999999999994E-2</v>
          </cell>
        </row>
        <row r="7443">
          <cell r="F7443">
            <v>0.1173</v>
          </cell>
        </row>
        <row r="7444">
          <cell r="F7444">
            <v>9.7500000000000003E-2</v>
          </cell>
        </row>
        <row r="7445">
          <cell r="F7445">
            <v>9.7100000000000006E-2</v>
          </cell>
        </row>
        <row r="7446">
          <cell r="F7446">
            <v>9.06E-2</v>
          </cell>
        </row>
        <row r="7447">
          <cell r="F7447">
            <v>9.1899999999999996E-2</v>
          </cell>
        </row>
        <row r="7448">
          <cell r="F7448">
            <v>9.3200000000000005E-2</v>
          </cell>
        </row>
        <row r="7449">
          <cell r="F7449">
            <v>0.10100000000000001</v>
          </cell>
        </row>
        <row r="7450">
          <cell r="F7450">
            <v>0.10100000000000001</v>
          </cell>
        </row>
        <row r="7451">
          <cell r="F7451">
            <v>0.1003</v>
          </cell>
        </row>
        <row r="7452">
          <cell r="F7452">
            <v>9.7500000000000003E-2</v>
          </cell>
        </row>
        <row r="7453">
          <cell r="F7453">
            <v>9.6100000000000005E-2</v>
          </cell>
        </row>
        <row r="7454">
          <cell r="F7454">
            <v>9.4700000000000006E-2</v>
          </cell>
        </row>
        <row r="7455">
          <cell r="F7455">
            <v>0.10100000000000001</v>
          </cell>
        </row>
        <row r="7456">
          <cell r="F7456">
            <v>9.9599999999999994E-2</v>
          </cell>
        </row>
        <row r="7457">
          <cell r="F7457">
            <v>8.2199999999999995E-2</v>
          </cell>
        </row>
        <row r="7458">
          <cell r="F7458">
            <v>7.1400000000000005E-2</v>
          </cell>
        </row>
        <row r="7459">
          <cell r="F7459">
            <v>6.9199999999999998E-2</v>
          </cell>
        </row>
        <row r="7460">
          <cell r="F7460">
            <v>6.93E-2</v>
          </cell>
        </row>
        <row r="7461">
          <cell r="F7461">
            <v>6.93E-2</v>
          </cell>
        </row>
        <row r="7462">
          <cell r="F7462">
            <v>6.93E-2</v>
          </cell>
        </row>
        <row r="7463">
          <cell r="F7463">
            <v>6.93E-2</v>
          </cell>
        </row>
        <row r="7464">
          <cell r="F7464">
            <v>6.93E-2</v>
          </cell>
        </row>
        <row r="7465">
          <cell r="F7465">
            <v>7.0699999999999999E-2</v>
          </cell>
        </row>
        <row r="7466">
          <cell r="F7466">
            <v>9.3299999999999994E-2</v>
          </cell>
        </row>
        <row r="7467">
          <cell r="F7467">
            <v>0.1179</v>
          </cell>
        </row>
        <row r="7468">
          <cell r="F7468">
            <v>9.7600000000000006E-2</v>
          </cell>
        </row>
        <row r="7469">
          <cell r="F7469">
            <v>9.8500000000000004E-2</v>
          </cell>
        </row>
        <row r="7470">
          <cell r="F7470">
            <v>9.8400000000000001E-2</v>
          </cell>
        </row>
        <row r="7471">
          <cell r="F7471">
            <v>9.9000000000000005E-2</v>
          </cell>
        </row>
        <row r="7472">
          <cell r="F7472">
            <v>0.10100000000000001</v>
          </cell>
        </row>
        <row r="7473">
          <cell r="F7473">
            <v>0.1017</v>
          </cell>
        </row>
        <row r="7474">
          <cell r="F7474">
            <v>0.1003</v>
          </cell>
        </row>
        <row r="7475">
          <cell r="F7475">
            <v>0.1003</v>
          </cell>
        </row>
        <row r="7476">
          <cell r="F7476">
            <v>0.10100000000000001</v>
          </cell>
        </row>
        <row r="7477">
          <cell r="F7477">
            <v>0.1032</v>
          </cell>
        </row>
        <row r="7478">
          <cell r="F7478">
            <v>0.1017</v>
          </cell>
        </row>
        <row r="7479">
          <cell r="F7479">
            <v>0.10100000000000001</v>
          </cell>
        </row>
        <row r="7480">
          <cell r="F7480">
            <v>0.10100000000000001</v>
          </cell>
        </row>
        <row r="7481">
          <cell r="F7481">
            <v>9.8199999999999996E-2</v>
          </cell>
        </row>
        <row r="7482">
          <cell r="F7482">
            <v>8.2699999999999996E-2</v>
          </cell>
        </row>
        <row r="7483">
          <cell r="F7483">
            <v>7.6999999999999999E-2</v>
          </cell>
        </row>
        <row r="7484">
          <cell r="F7484">
            <v>7.6999999999999999E-2</v>
          </cell>
        </row>
        <row r="7485">
          <cell r="F7485">
            <v>7.6999999999999999E-2</v>
          </cell>
        </row>
        <row r="7486">
          <cell r="F7486">
            <v>7.6999999999999999E-2</v>
          </cell>
        </row>
        <row r="7487">
          <cell r="F7487">
            <v>7.6999999999999999E-2</v>
          </cell>
        </row>
        <row r="7488">
          <cell r="F7488">
            <v>8.2699999999999996E-2</v>
          </cell>
        </row>
        <row r="7489">
          <cell r="F7489">
            <v>9.8199999999999996E-2</v>
          </cell>
        </row>
        <row r="7490">
          <cell r="F7490">
            <v>0.1074</v>
          </cell>
        </row>
        <row r="7491">
          <cell r="F7491">
            <v>0.11169999999999999</v>
          </cell>
        </row>
        <row r="7492">
          <cell r="F7492">
            <v>0.11169999999999999</v>
          </cell>
        </row>
        <row r="7493">
          <cell r="F7493">
            <v>0.10539999999999999</v>
          </cell>
        </row>
        <row r="7494">
          <cell r="F7494">
            <v>9.9000000000000005E-2</v>
          </cell>
        </row>
        <row r="7495">
          <cell r="F7495">
            <v>0.106</v>
          </cell>
        </row>
        <row r="7496">
          <cell r="F7496">
            <v>0.1053</v>
          </cell>
        </row>
        <row r="7497">
          <cell r="F7497">
            <v>0.1053</v>
          </cell>
        </row>
        <row r="7498">
          <cell r="F7498">
            <v>0.1046</v>
          </cell>
        </row>
        <row r="7499">
          <cell r="F7499">
            <v>0.1053</v>
          </cell>
        </row>
        <row r="7500">
          <cell r="F7500">
            <v>0.106</v>
          </cell>
        </row>
        <row r="7501">
          <cell r="F7501">
            <v>0.1053</v>
          </cell>
        </row>
        <row r="7502">
          <cell r="F7502">
            <v>0.106</v>
          </cell>
        </row>
        <row r="7503">
          <cell r="F7503">
            <v>0.1046</v>
          </cell>
        </row>
        <row r="7504">
          <cell r="F7504">
            <v>9.3899999999999997E-2</v>
          </cell>
        </row>
        <row r="7505">
          <cell r="F7505">
            <v>8.7599999999999997E-2</v>
          </cell>
        </row>
        <row r="7506">
          <cell r="F7506">
            <v>8.2600000000000007E-2</v>
          </cell>
        </row>
        <row r="7507">
          <cell r="F7507">
            <v>7.0599999999999996E-2</v>
          </cell>
        </row>
        <row r="7508">
          <cell r="F7508">
            <v>6.9199999999999998E-2</v>
          </cell>
        </row>
        <row r="7509">
          <cell r="F7509">
            <v>7.0599999999999996E-2</v>
          </cell>
        </row>
        <row r="7510">
          <cell r="F7510">
            <v>6.2100000000000002E-2</v>
          </cell>
        </row>
        <row r="7511">
          <cell r="F7511">
            <v>6.0699999999999997E-2</v>
          </cell>
        </row>
        <row r="7512">
          <cell r="F7512">
            <v>7.1300000000000002E-2</v>
          </cell>
        </row>
        <row r="7513">
          <cell r="F7513">
            <v>7.5499999999999998E-2</v>
          </cell>
        </row>
        <row r="7514">
          <cell r="F7514">
            <v>9.1800000000000007E-2</v>
          </cell>
        </row>
        <row r="7515">
          <cell r="F7515">
            <v>9.0800000000000006E-2</v>
          </cell>
        </row>
        <row r="7516">
          <cell r="F7516">
            <v>8.3400000000000002E-2</v>
          </cell>
        </row>
        <row r="7517">
          <cell r="F7517">
            <v>8.3299999999999999E-2</v>
          </cell>
        </row>
        <row r="7518">
          <cell r="F7518">
            <v>8.48E-2</v>
          </cell>
        </row>
        <row r="7519">
          <cell r="F7519">
            <v>8.6900000000000005E-2</v>
          </cell>
        </row>
        <row r="7520">
          <cell r="F7520">
            <v>8.9700000000000002E-2</v>
          </cell>
        </row>
        <row r="7521">
          <cell r="F7521">
            <v>9.11E-2</v>
          </cell>
        </row>
        <row r="7522">
          <cell r="F7522">
            <v>8.4699999999999998E-2</v>
          </cell>
        </row>
        <row r="7523">
          <cell r="F7523">
            <v>8.1900000000000001E-2</v>
          </cell>
        </row>
        <row r="7524">
          <cell r="F7524">
            <v>8.3299999999999999E-2</v>
          </cell>
        </row>
        <row r="7525">
          <cell r="F7525">
            <v>8.0500000000000002E-2</v>
          </cell>
        </row>
        <row r="7526">
          <cell r="F7526">
            <v>9.0399999999999994E-2</v>
          </cell>
        </row>
        <row r="7527">
          <cell r="F7527">
            <v>9.5399999999999999E-2</v>
          </cell>
        </row>
        <row r="7528">
          <cell r="F7528">
            <v>9.4700000000000006E-2</v>
          </cell>
        </row>
        <row r="7529">
          <cell r="F7529">
            <v>8.9700000000000002E-2</v>
          </cell>
        </row>
        <row r="7530">
          <cell r="F7530">
            <v>7.9100000000000004E-2</v>
          </cell>
        </row>
        <row r="7531">
          <cell r="F7531">
            <v>6.8599999999999994E-2</v>
          </cell>
        </row>
        <row r="7532">
          <cell r="F7532">
            <v>6.7900000000000002E-2</v>
          </cell>
        </row>
        <row r="7533">
          <cell r="F7533">
            <v>6.8500000000000005E-2</v>
          </cell>
        </row>
        <row r="7534">
          <cell r="F7534">
            <v>6.9199999999999998E-2</v>
          </cell>
        </row>
        <row r="7535">
          <cell r="F7535">
            <v>6.8500000000000005E-2</v>
          </cell>
        </row>
        <row r="7536">
          <cell r="F7536">
            <v>6.9199999999999998E-2</v>
          </cell>
        </row>
        <row r="7537">
          <cell r="F7537">
            <v>7.7700000000000005E-2</v>
          </cell>
        </row>
        <row r="7538">
          <cell r="F7538">
            <v>9.9599999999999994E-2</v>
          </cell>
        </row>
        <row r="7539">
          <cell r="F7539">
            <v>0.1067</v>
          </cell>
        </row>
        <row r="7540">
          <cell r="F7540">
            <v>0.1032</v>
          </cell>
        </row>
        <row r="7541">
          <cell r="F7541">
            <v>8.9899999999999994E-2</v>
          </cell>
        </row>
        <row r="7542">
          <cell r="F7542">
            <v>8.6999999999999994E-2</v>
          </cell>
        </row>
        <row r="7543">
          <cell r="F7543">
            <v>8.6199999999999999E-2</v>
          </cell>
        </row>
        <row r="7544">
          <cell r="F7544">
            <v>8.8999999999999996E-2</v>
          </cell>
        </row>
        <row r="7545">
          <cell r="F7545">
            <v>8.3299999999999999E-2</v>
          </cell>
        </row>
        <row r="7546">
          <cell r="F7546">
            <v>8.1199999999999994E-2</v>
          </cell>
        </row>
        <row r="7547">
          <cell r="F7547">
            <v>7.7700000000000005E-2</v>
          </cell>
        </row>
        <row r="7548">
          <cell r="F7548">
            <v>7.7700000000000005E-2</v>
          </cell>
        </row>
        <row r="7549">
          <cell r="F7549">
            <v>7.6200000000000004E-2</v>
          </cell>
        </row>
        <row r="7550">
          <cell r="F7550">
            <v>7.6999999999999999E-2</v>
          </cell>
        </row>
        <row r="7551">
          <cell r="F7551">
            <v>7.8399999999999997E-2</v>
          </cell>
        </row>
        <row r="7552">
          <cell r="F7552">
            <v>7.8399999999999997E-2</v>
          </cell>
        </row>
        <row r="7553">
          <cell r="F7553">
            <v>6.7000000000000004E-2</v>
          </cell>
        </row>
        <row r="7554">
          <cell r="F7554">
            <v>3.09E-2</v>
          </cell>
        </row>
        <row r="7555">
          <cell r="F7555">
            <v>1.6799999999999999E-2</v>
          </cell>
        </row>
        <row r="7556">
          <cell r="F7556">
            <v>1.6799999999999999E-2</v>
          </cell>
        </row>
        <row r="7557">
          <cell r="F7557">
            <v>1.6799999999999999E-2</v>
          </cell>
        </row>
        <row r="7558">
          <cell r="F7558">
            <v>1.6799999999999999E-2</v>
          </cell>
        </row>
        <row r="7559">
          <cell r="F7559">
            <v>1.6799999999999999E-2</v>
          </cell>
        </row>
        <row r="7560">
          <cell r="F7560">
            <v>1.3899999999999999E-2</v>
          </cell>
        </row>
        <row r="7561">
          <cell r="F7561">
            <v>3.1600000000000003E-2</v>
          </cell>
        </row>
        <row r="7562">
          <cell r="F7562">
            <v>9.11E-2</v>
          </cell>
        </row>
        <row r="7563">
          <cell r="F7563">
            <v>0.1032</v>
          </cell>
        </row>
        <row r="7564">
          <cell r="F7564">
            <v>0.10390000000000001</v>
          </cell>
        </row>
        <row r="7565">
          <cell r="F7565">
            <v>0.1026</v>
          </cell>
        </row>
        <row r="7566">
          <cell r="F7566">
            <v>0.1018</v>
          </cell>
        </row>
        <row r="7567">
          <cell r="F7567">
            <v>0.10249999999999999</v>
          </cell>
        </row>
        <row r="7568">
          <cell r="F7568">
            <v>0.10390000000000001</v>
          </cell>
        </row>
        <row r="7569">
          <cell r="F7569">
            <v>0.1003</v>
          </cell>
        </row>
        <row r="7570">
          <cell r="F7570">
            <v>8.9700000000000002E-2</v>
          </cell>
        </row>
        <row r="7571">
          <cell r="F7571">
            <v>8.8999999999999996E-2</v>
          </cell>
        </row>
        <row r="7572">
          <cell r="F7572">
            <v>9.11E-2</v>
          </cell>
        </row>
        <row r="7573">
          <cell r="F7573">
            <v>9.11E-2</v>
          </cell>
        </row>
        <row r="7574">
          <cell r="F7574">
            <v>9.5399999999999999E-2</v>
          </cell>
        </row>
        <row r="7575">
          <cell r="F7575">
            <v>9.5399999999999999E-2</v>
          </cell>
        </row>
        <row r="7576">
          <cell r="F7576">
            <v>9.5399999999999999E-2</v>
          </cell>
        </row>
        <row r="7577">
          <cell r="F7577">
            <v>7.6300000000000007E-2</v>
          </cell>
        </row>
        <row r="7578">
          <cell r="F7578">
            <v>7.5600000000000001E-2</v>
          </cell>
        </row>
        <row r="7579">
          <cell r="F7579">
            <v>7.4200000000000002E-2</v>
          </cell>
        </row>
        <row r="7580">
          <cell r="F7580">
            <v>7.3400000000000007E-2</v>
          </cell>
        </row>
        <row r="7581">
          <cell r="F7581">
            <v>7.3400000000000007E-2</v>
          </cell>
        </row>
        <row r="7582">
          <cell r="F7582">
            <v>5.8599999999999999E-2</v>
          </cell>
        </row>
        <row r="7583">
          <cell r="F7583">
            <v>4.24E-2</v>
          </cell>
        </row>
        <row r="7584">
          <cell r="F7584">
            <v>2.4199999999999999E-2</v>
          </cell>
        </row>
        <row r="7585">
          <cell r="F7585">
            <v>0.06</v>
          </cell>
        </row>
        <row r="7586">
          <cell r="F7586">
            <v>8.6900000000000005E-2</v>
          </cell>
        </row>
        <row r="7587">
          <cell r="F7587">
            <v>8.3400000000000002E-2</v>
          </cell>
        </row>
        <row r="7588">
          <cell r="F7588">
            <v>7.7799999999999994E-2</v>
          </cell>
        </row>
        <row r="7589">
          <cell r="F7589">
            <v>7.8700000000000006E-2</v>
          </cell>
        </row>
        <row r="7590">
          <cell r="F7590">
            <v>7.9299999999999995E-2</v>
          </cell>
        </row>
        <row r="7591">
          <cell r="F7591">
            <v>8.1199999999999994E-2</v>
          </cell>
        </row>
        <row r="7592">
          <cell r="F7592">
            <v>8.8300000000000003E-2</v>
          </cell>
        </row>
        <row r="7593">
          <cell r="F7593">
            <v>8.8300000000000003E-2</v>
          </cell>
        </row>
        <row r="7594">
          <cell r="F7594">
            <v>8.8300000000000003E-2</v>
          </cell>
        </row>
        <row r="7595">
          <cell r="F7595">
            <v>9.0999999999999998E-2</v>
          </cell>
        </row>
        <row r="7596">
          <cell r="F7596">
            <v>8.5000000000000006E-2</v>
          </cell>
        </row>
        <row r="7597">
          <cell r="F7597">
            <v>8.3299999999999999E-2</v>
          </cell>
        </row>
        <row r="7598">
          <cell r="F7598">
            <v>8.3299999999999999E-2</v>
          </cell>
        </row>
        <row r="7599">
          <cell r="F7599">
            <v>8.6099999999999996E-2</v>
          </cell>
        </row>
        <row r="7600">
          <cell r="F7600">
            <v>7.6200000000000004E-2</v>
          </cell>
        </row>
        <row r="7601">
          <cell r="F7601">
            <v>6.8400000000000002E-2</v>
          </cell>
        </row>
        <row r="7602">
          <cell r="F7602">
            <v>5.9299999999999999E-2</v>
          </cell>
        </row>
        <row r="7603">
          <cell r="F7603">
            <v>5.9299999999999999E-2</v>
          </cell>
        </row>
        <row r="7604">
          <cell r="F7604">
            <v>5.9400000000000001E-2</v>
          </cell>
        </row>
        <row r="7605">
          <cell r="F7605">
            <v>5.8799999999999998E-2</v>
          </cell>
        </row>
        <row r="7606">
          <cell r="F7606">
            <v>5.8900000000000001E-2</v>
          </cell>
        </row>
        <row r="7607">
          <cell r="F7607">
            <v>5.62E-2</v>
          </cell>
        </row>
        <row r="7608">
          <cell r="F7608">
            <v>5.5599999999999997E-2</v>
          </cell>
        </row>
        <row r="7609">
          <cell r="F7609">
            <v>7.0499999999999993E-2</v>
          </cell>
        </row>
        <row r="7610">
          <cell r="F7610">
            <v>8.5999999999999993E-2</v>
          </cell>
        </row>
        <row r="7611">
          <cell r="F7611">
            <v>0.1</v>
          </cell>
        </row>
        <row r="7612">
          <cell r="F7612">
            <v>9.1399999999999995E-2</v>
          </cell>
        </row>
        <row r="7613">
          <cell r="F7613">
            <v>8.3699999999999997E-2</v>
          </cell>
        </row>
        <row r="7614">
          <cell r="F7614">
            <v>8.43E-2</v>
          </cell>
        </row>
        <row r="7615">
          <cell r="F7615">
            <v>7.7100000000000002E-2</v>
          </cell>
        </row>
        <row r="7616">
          <cell r="F7616">
            <v>7.7700000000000005E-2</v>
          </cell>
        </row>
        <row r="7617">
          <cell r="F7617">
            <v>8.2600000000000007E-2</v>
          </cell>
        </row>
        <row r="7618">
          <cell r="F7618">
            <v>8.3299999999999999E-2</v>
          </cell>
        </row>
        <row r="7619">
          <cell r="F7619">
            <v>8.3299999999999999E-2</v>
          </cell>
        </row>
        <row r="7620">
          <cell r="F7620">
            <v>8.1900000000000001E-2</v>
          </cell>
        </row>
        <row r="7621">
          <cell r="F7621">
            <v>8.0500000000000002E-2</v>
          </cell>
        </row>
        <row r="7622">
          <cell r="F7622">
            <v>8.1199999999999994E-2</v>
          </cell>
        </row>
        <row r="7623">
          <cell r="F7623">
            <v>8.1900000000000001E-2</v>
          </cell>
        </row>
        <row r="7624">
          <cell r="F7624">
            <v>6.9900000000000004E-2</v>
          </cell>
        </row>
        <row r="7625">
          <cell r="F7625">
            <v>6.1400000000000003E-2</v>
          </cell>
        </row>
        <row r="7626">
          <cell r="F7626">
            <v>0.06</v>
          </cell>
        </row>
        <row r="7627">
          <cell r="F7627">
            <v>5.7099999999999998E-2</v>
          </cell>
        </row>
        <row r="7628">
          <cell r="F7628">
            <v>5.8599999999999999E-2</v>
          </cell>
        </row>
        <row r="7629">
          <cell r="F7629">
            <v>5.6399999999999999E-2</v>
          </cell>
        </row>
        <row r="7630">
          <cell r="F7630">
            <v>5.3600000000000002E-2</v>
          </cell>
        </row>
        <row r="7631">
          <cell r="F7631">
            <v>5.2900000000000003E-2</v>
          </cell>
        </row>
        <row r="7632">
          <cell r="F7632">
            <v>4.8000000000000001E-2</v>
          </cell>
        </row>
        <row r="7633">
          <cell r="F7633">
            <v>6.5000000000000002E-2</v>
          </cell>
        </row>
        <row r="7634">
          <cell r="F7634">
            <v>9.9599999999999994E-2</v>
          </cell>
        </row>
        <row r="7635">
          <cell r="F7635">
            <v>8.8300000000000003E-2</v>
          </cell>
        </row>
        <row r="7636">
          <cell r="F7636">
            <v>7.7499999999999999E-2</v>
          </cell>
        </row>
        <row r="7637">
          <cell r="F7637">
            <v>7.7600000000000002E-2</v>
          </cell>
        </row>
        <row r="7638">
          <cell r="F7638">
            <v>7.6200000000000004E-2</v>
          </cell>
        </row>
        <row r="7639">
          <cell r="F7639">
            <v>7.6100000000000001E-2</v>
          </cell>
        </row>
        <row r="7640">
          <cell r="F7640">
            <v>7.2599999999999998E-2</v>
          </cell>
        </row>
        <row r="7641">
          <cell r="F7641">
            <v>7.2599999999999998E-2</v>
          </cell>
        </row>
        <row r="7642">
          <cell r="F7642">
            <v>7.3999999999999996E-2</v>
          </cell>
        </row>
        <row r="7643">
          <cell r="F7643">
            <v>7.1099999999999997E-2</v>
          </cell>
        </row>
        <row r="7644">
          <cell r="F7644">
            <v>7.0400000000000004E-2</v>
          </cell>
        </row>
        <row r="7645">
          <cell r="F7645">
            <v>7.2599999999999998E-2</v>
          </cell>
        </row>
        <row r="7646">
          <cell r="F7646">
            <v>7.1099999999999997E-2</v>
          </cell>
        </row>
        <row r="7647">
          <cell r="F7647">
            <v>7.6200000000000004E-2</v>
          </cell>
        </row>
        <row r="7648">
          <cell r="F7648">
            <v>7.4099999999999999E-2</v>
          </cell>
        </row>
        <row r="7649">
          <cell r="F7649">
            <v>5.8400000000000001E-2</v>
          </cell>
        </row>
        <row r="7650">
          <cell r="F7650">
            <v>4.7899999999999998E-2</v>
          </cell>
        </row>
        <row r="7651">
          <cell r="F7651">
            <v>4.4400000000000002E-2</v>
          </cell>
        </row>
        <row r="7652">
          <cell r="F7652">
            <v>2.81E-2</v>
          </cell>
        </row>
        <row r="7653">
          <cell r="F7653">
            <v>2.46E-2</v>
          </cell>
        </row>
        <row r="7654">
          <cell r="F7654">
            <v>2.5999999999999999E-2</v>
          </cell>
        </row>
        <row r="7655">
          <cell r="F7655">
            <v>2.5999999999999999E-3</v>
          </cell>
        </row>
        <row r="7656">
          <cell r="F7656">
            <v>1.1999999999999999E-3</v>
          </cell>
        </row>
        <row r="7657">
          <cell r="F7657">
            <v>5.0799999999999998E-2</v>
          </cell>
        </row>
        <row r="7658">
          <cell r="F7658">
            <v>9.5399999999999999E-2</v>
          </cell>
        </row>
        <row r="7659">
          <cell r="F7659">
            <v>8.3400000000000002E-2</v>
          </cell>
        </row>
        <row r="7660">
          <cell r="F7660">
            <v>7.9299999999999995E-2</v>
          </cell>
        </row>
        <row r="7661">
          <cell r="F7661">
            <v>8.6400000000000005E-2</v>
          </cell>
        </row>
        <row r="7662">
          <cell r="F7662">
            <v>8.9899999999999994E-2</v>
          </cell>
        </row>
        <row r="7663">
          <cell r="F7663">
            <v>9.8299999999999998E-2</v>
          </cell>
        </row>
        <row r="7664">
          <cell r="F7664">
            <v>9.6799999999999997E-2</v>
          </cell>
        </row>
        <row r="7665">
          <cell r="F7665">
            <v>8.7599999999999997E-2</v>
          </cell>
        </row>
        <row r="7666">
          <cell r="F7666">
            <v>8.1299999999999997E-2</v>
          </cell>
        </row>
        <row r="7667">
          <cell r="F7667">
            <v>8.1299999999999997E-2</v>
          </cell>
        </row>
        <row r="7668">
          <cell r="F7668">
            <v>7.4099999999999999E-2</v>
          </cell>
        </row>
        <row r="7669">
          <cell r="F7669">
            <v>8.2600000000000007E-2</v>
          </cell>
        </row>
        <row r="7670">
          <cell r="F7670">
            <v>8.4099999999999994E-2</v>
          </cell>
        </row>
        <row r="7671">
          <cell r="F7671">
            <v>7.7700000000000005E-2</v>
          </cell>
        </row>
        <row r="7672">
          <cell r="F7672">
            <v>7.6300000000000007E-2</v>
          </cell>
        </row>
        <row r="7673">
          <cell r="F7673">
            <v>5.6500000000000002E-2</v>
          </cell>
        </row>
        <row r="7674">
          <cell r="F7674">
            <v>2.7400000000000001E-2</v>
          </cell>
        </row>
        <row r="7675">
          <cell r="F7675">
            <v>2.81E-2</v>
          </cell>
        </row>
        <row r="7676">
          <cell r="F7676">
            <v>2.6700000000000002E-2</v>
          </cell>
        </row>
        <row r="7677">
          <cell r="F7677">
            <v>2.5999999999999999E-2</v>
          </cell>
        </row>
        <row r="7678">
          <cell r="F7678">
            <v>2.6100000000000002E-2</v>
          </cell>
        </row>
        <row r="7679">
          <cell r="F7679">
            <v>2.8E-3</v>
          </cell>
        </row>
        <row r="7680">
          <cell r="F7680">
            <v>3.3E-3</v>
          </cell>
        </row>
        <row r="7681">
          <cell r="F7681">
            <v>5.3100000000000001E-2</v>
          </cell>
        </row>
        <row r="7682">
          <cell r="F7682">
            <v>9.5299999999999996E-2</v>
          </cell>
        </row>
        <row r="7683">
          <cell r="F7683">
            <v>9.06E-2</v>
          </cell>
        </row>
        <row r="7684">
          <cell r="F7684">
            <v>7.7399999999999997E-2</v>
          </cell>
        </row>
        <row r="7685">
          <cell r="F7685">
            <v>7.4499999999999997E-2</v>
          </cell>
        </row>
        <row r="7686">
          <cell r="F7686">
            <v>7.4200000000000002E-2</v>
          </cell>
        </row>
        <row r="7687">
          <cell r="F7687">
            <v>8.0699999999999994E-2</v>
          </cell>
        </row>
        <row r="7688">
          <cell r="F7688">
            <v>8.1900000000000001E-2</v>
          </cell>
        </row>
        <row r="7689">
          <cell r="F7689">
            <v>0.17710000000000001</v>
          </cell>
        </row>
        <row r="7690">
          <cell r="F7690">
            <v>7.4099999999999999E-2</v>
          </cell>
        </row>
        <row r="7691">
          <cell r="F7691">
            <v>7.2700000000000001E-2</v>
          </cell>
        </row>
        <row r="7692">
          <cell r="F7692">
            <v>7.1300000000000002E-2</v>
          </cell>
        </row>
        <row r="7693">
          <cell r="F7693">
            <v>9.2499999999999999E-2</v>
          </cell>
        </row>
        <row r="7694">
          <cell r="F7694">
            <v>9.2499999999999999E-2</v>
          </cell>
        </row>
        <row r="7695">
          <cell r="F7695">
            <v>9.2200000000000004E-2</v>
          </cell>
        </row>
        <row r="7696">
          <cell r="F7696">
            <v>7.8799999999999995E-2</v>
          </cell>
        </row>
        <row r="7697">
          <cell r="F7697">
            <v>5.6399999999999999E-2</v>
          </cell>
        </row>
        <row r="7698">
          <cell r="F7698">
            <v>2.5999999999999999E-3</v>
          </cell>
        </row>
        <row r="7699">
          <cell r="F7699">
            <v>2.5999999999999999E-3</v>
          </cell>
        </row>
        <row r="7700">
          <cell r="F7700">
            <v>2.5999999999999999E-3</v>
          </cell>
        </row>
        <row r="7701">
          <cell r="F7701">
            <v>1.1999999999999999E-3</v>
          </cell>
        </row>
        <row r="7702">
          <cell r="F7702">
            <v>1.1999999999999999E-3</v>
          </cell>
        </row>
        <row r="7703">
          <cell r="F7703">
            <v>0</v>
          </cell>
        </row>
        <row r="7704">
          <cell r="F7704">
            <v>0</v>
          </cell>
        </row>
        <row r="7705">
          <cell r="F7705">
            <v>4.8599999999999997E-2</v>
          </cell>
        </row>
        <row r="7706">
          <cell r="F7706">
            <v>9.4700000000000006E-2</v>
          </cell>
        </row>
        <row r="7707">
          <cell r="F7707">
            <v>8.6900000000000005E-2</v>
          </cell>
        </row>
        <row r="7708">
          <cell r="F7708">
            <v>8.8400000000000006E-2</v>
          </cell>
        </row>
        <row r="7709">
          <cell r="F7709">
            <v>8.8499999999999995E-2</v>
          </cell>
        </row>
        <row r="7710">
          <cell r="F7710">
            <v>8.6999999999999994E-2</v>
          </cell>
        </row>
        <row r="7711">
          <cell r="F7711">
            <v>7.7700000000000005E-2</v>
          </cell>
        </row>
        <row r="7712">
          <cell r="F7712">
            <v>7.5600000000000001E-2</v>
          </cell>
        </row>
        <row r="7713">
          <cell r="F7713">
            <v>7.3400000000000007E-2</v>
          </cell>
        </row>
        <row r="7714">
          <cell r="F7714">
            <v>7.3400000000000007E-2</v>
          </cell>
        </row>
        <row r="7715">
          <cell r="F7715">
            <v>7.4099999999999999E-2</v>
          </cell>
        </row>
        <row r="7716">
          <cell r="F7716">
            <v>7.2700000000000001E-2</v>
          </cell>
        </row>
        <row r="7717">
          <cell r="F7717">
            <v>7.0599999999999996E-2</v>
          </cell>
        </row>
        <row r="7718">
          <cell r="F7718">
            <v>7.0599999999999996E-2</v>
          </cell>
        </row>
        <row r="7719">
          <cell r="F7719">
            <v>7.8399999999999997E-2</v>
          </cell>
        </row>
        <row r="7720">
          <cell r="F7720">
            <v>8.2600000000000007E-2</v>
          </cell>
        </row>
        <row r="7721">
          <cell r="F7721">
            <v>0.06</v>
          </cell>
        </row>
        <row r="7722">
          <cell r="F7722">
            <v>6.8999999999999999E-3</v>
          </cell>
        </row>
        <row r="7723">
          <cell r="F7723">
            <v>6.8999999999999999E-3</v>
          </cell>
        </row>
        <row r="7724">
          <cell r="F7724">
            <v>6.8999999999999999E-3</v>
          </cell>
        </row>
        <row r="7725">
          <cell r="F7725">
            <v>6.8999999999999999E-3</v>
          </cell>
        </row>
        <row r="7726">
          <cell r="F7726">
            <v>6.8999999999999999E-3</v>
          </cell>
        </row>
        <row r="7727">
          <cell r="F7727">
            <v>0</v>
          </cell>
        </row>
        <row r="7728">
          <cell r="F7728">
            <v>0</v>
          </cell>
        </row>
        <row r="7729">
          <cell r="F7729">
            <v>4.65E-2</v>
          </cell>
        </row>
        <row r="7730">
          <cell r="F7730">
            <v>9.6100000000000005E-2</v>
          </cell>
        </row>
        <row r="7731">
          <cell r="F7731">
            <v>0.1145</v>
          </cell>
        </row>
        <row r="7732">
          <cell r="F7732">
            <v>9.2799999999999994E-2</v>
          </cell>
        </row>
        <row r="7733">
          <cell r="F7733">
            <v>9.2799999999999994E-2</v>
          </cell>
        </row>
        <row r="7734">
          <cell r="F7734">
            <v>9.2799999999999994E-2</v>
          </cell>
        </row>
        <row r="7735">
          <cell r="F7735">
            <v>9.8299999999999998E-2</v>
          </cell>
        </row>
        <row r="7736">
          <cell r="F7736">
            <v>9.8199999999999996E-2</v>
          </cell>
        </row>
        <row r="7737">
          <cell r="F7737">
            <v>9.8199999999999996E-2</v>
          </cell>
        </row>
        <row r="7738">
          <cell r="F7738">
            <v>9.9599999999999994E-2</v>
          </cell>
        </row>
        <row r="7739">
          <cell r="F7739">
            <v>0.1003</v>
          </cell>
        </row>
        <row r="7740">
          <cell r="F7740">
            <v>9.5399999999999999E-2</v>
          </cell>
        </row>
        <row r="7741">
          <cell r="F7741">
            <v>9.3200000000000005E-2</v>
          </cell>
        </row>
        <row r="7742">
          <cell r="F7742">
            <v>0.1003</v>
          </cell>
        </row>
        <row r="7743">
          <cell r="F7743">
            <v>9.0399999999999994E-2</v>
          </cell>
        </row>
        <row r="7744">
          <cell r="F7744">
            <v>9.4700000000000006E-2</v>
          </cell>
        </row>
        <row r="7745">
          <cell r="F7745">
            <v>6.9199999999999998E-2</v>
          </cell>
        </row>
        <row r="7746">
          <cell r="F7746">
            <v>6.5000000000000002E-2</v>
          </cell>
        </row>
        <row r="7747">
          <cell r="F7747">
            <v>6.4199999999999993E-2</v>
          </cell>
        </row>
        <row r="7748">
          <cell r="F7748">
            <v>6.3500000000000001E-2</v>
          </cell>
        </row>
        <row r="7749">
          <cell r="F7749">
            <v>6.1400000000000003E-2</v>
          </cell>
        </row>
        <row r="7750">
          <cell r="F7750">
            <v>5.9299999999999999E-2</v>
          </cell>
        </row>
        <row r="7751">
          <cell r="F7751">
            <v>3.61E-2</v>
          </cell>
        </row>
        <row r="7752">
          <cell r="F7752">
            <v>5.0799999999999998E-2</v>
          </cell>
        </row>
        <row r="7753">
          <cell r="F7753">
            <v>6.7000000000000004E-2</v>
          </cell>
        </row>
        <row r="7754">
          <cell r="F7754">
            <v>9.8199999999999996E-2</v>
          </cell>
        </row>
        <row r="7755">
          <cell r="F7755">
            <v>0.1003</v>
          </cell>
        </row>
        <row r="7756">
          <cell r="F7756">
            <v>9.1399999999999995E-2</v>
          </cell>
        </row>
        <row r="7757">
          <cell r="F7757">
            <v>9.4100000000000003E-2</v>
          </cell>
        </row>
        <row r="7758">
          <cell r="F7758">
            <v>9.4E-2</v>
          </cell>
        </row>
        <row r="7759">
          <cell r="F7759">
            <v>9.4E-2</v>
          </cell>
        </row>
        <row r="7760">
          <cell r="F7760">
            <v>9.1300000000000006E-2</v>
          </cell>
        </row>
        <row r="7761">
          <cell r="F7761">
            <v>9.1300000000000006E-2</v>
          </cell>
        </row>
        <row r="7762">
          <cell r="F7762">
            <v>8.7800000000000003E-2</v>
          </cell>
        </row>
        <row r="7763">
          <cell r="F7763">
            <v>8.5599999999999996E-2</v>
          </cell>
        </row>
        <row r="7764">
          <cell r="F7764">
            <v>8.6400000000000005E-2</v>
          </cell>
        </row>
        <row r="7765">
          <cell r="F7765">
            <v>8.9899999999999994E-2</v>
          </cell>
        </row>
        <row r="7766">
          <cell r="F7766">
            <v>8.9899999999999994E-2</v>
          </cell>
        </row>
        <row r="7767">
          <cell r="F7767">
            <v>9.2700000000000005E-2</v>
          </cell>
        </row>
        <row r="7768">
          <cell r="F7768">
            <v>8.9899999999999994E-2</v>
          </cell>
        </row>
        <row r="7769">
          <cell r="F7769">
            <v>6.08E-2</v>
          </cell>
        </row>
        <row r="7770">
          <cell r="F7770">
            <v>5.5100000000000003E-2</v>
          </cell>
        </row>
        <row r="7771">
          <cell r="F7771">
            <v>5.3699999999999998E-2</v>
          </cell>
        </row>
        <row r="7772">
          <cell r="F7772">
            <v>5.4300000000000001E-2</v>
          </cell>
        </row>
        <row r="7773">
          <cell r="F7773">
            <v>5.3600000000000002E-2</v>
          </cell>
        </row>
        <row r="7774">
          <cell r="F7774">
            <v>5.2900000000000003E-2</v>
          </cell>
        </row>
        <row r="7775">
          <cell r="F7775">
            <v>5.2200000000000003E-2</v>
          </cell>
        </row>
        <row r="7776">
          <cell r="F7776">
            <v>5.0099999999999999E-2</v>
          </cell>
        </row>
        <row r="7777">
          <cell r="F7777">
            <v>6.0699999999999997E-2</v>
          </cell>
        </row>
        <row r="7778">
          <cell r="F7778">
            <v>9.8199999999999996E-2</v>
          </cell>
        </row>
        <row r="7779">
          <cell r="F7779">
            <v>9.5399999999999999E-2</v>
          </cell>
        </row>
        <row r="7780">
          <cell r="F7780">
            <v>7.9000000000000001E-2</v>
          </cell>
        </row>
        <row r="7781">
          <cell r="F7781">
            <v>8.5699999999999998E-2</v>
          </cell>
        </row>
        <row r="7782">
          <cell r="F7782">
            <v>9.2799999999999994E-2</v>
          </cell>
        </row>
        <row r="7783">
          <cell r="F7783">
            <v>9.9000000000000005E-2</v>
          </cell>
        </row>
        <row r="7784">
          <cell r="F7784">
            <v>0.10100000000000001</v>
          </cell>
        </row>
        <row r="7785">
          <cell r="F7785">
            <v>8.9300000000000004E-2</v>
          </cell>
        </row>
        <row r="7786">
          <cell r="F7786">
            <v>8.4400000000000003E-2</v>
          </cell>
        </row>
        <row r="7787">
          <cell r="F7787">
            <v>0.10100000000000001</v>
          </cell>
        </row>
        <row r="7788">
          <cell r="F7788">
            <v>9.6100000000000005E-2</v>
          </cell>
        </row>
        <row r="7789">
          <cell r="F7789">
            <v>9.4700000000000006E-2</v>
          </cell>
        </row>
        <row r="7790">
          <cell r="F7790">
            <v>0.10100000000000001</v>
          </cell>
        </row>
        <row r="7791">
          <cell r="F7791">
            <v>0.10100000000000001</v>
          </cell>
        </row>
        <row r="7792">
          <cell r="F7792">
            <v>7.4099999999999999E-2</v>
          </cell>
        </row>
        <row r="7793">
          <cell r="F7793">
            <v>6.2199999999999998E-2</v>
          </cell>
        </row>
        <row r="7794">
          <cell r="F7794">
            <v>5.79E-2</v>
          </cell>
        </row>
        <row r="7795">
          <cell r="F7795">
            <v>5.7200000000000001E-2</v>
          </cell>
        </row>
        <row r="7796">
          <cell r="F7796">
            <v>5.7299999999999997E-2</v>
          </cell>
        </row>
        <row r="7797">
          <cell r="F7797">
            <v>6.1499999999999999E-2</v>
          </cell>
        </row>
        <row r="7798">
          <cell r="F7798">
            <v>6.0100000000000001E-2</v>
          </cell>
        </row>
        <row r="7799">
          <cell r="F7799">
            <v>4.5900000000000003E-2</v>
          </cell>
        </row>
        <row r="7800">
          <cell r="F7800">
            <v>4.7300000000000002E-2</v>
          </cell>
        </row>
        <row r="7801">
          <cell r="F7801">
            <v>6.3600000000000004E-2</v>
          </cell>
        </row>
        <row r="7802">
          <cell r="F7802">
            <v>0.10680000000000001</v>
          </cell>
        </row>
        <row r="7803">
          <cell r="F7803">
            <v>9.8900000000000002E-2</v>
          </cell>
        </row>
        <row r="7804">
          <cell r="F7804">
            <v>9.6199999999999994E-2</v>
          </cell>
        </row>
        <row r="7805">
          <cell r="F7805">
            <v>9.64E-2</v>
          </cell>
        </row>
        <row r="7806">
          <cell r="F7806">
            <v>9.7000000000000003E-2</v>
          </cell>
        </row>
        <row r="7807">
          <cell r="F7807">
            <v>9.7600000000000006E-2</v>
          </cell>
        </row>
        <row r="7808">
          <cell r="F7808">
            <v>0.1003</v>
          </cell>
        </row>
        <row r="7809">
          <cell r="F7809">
            <v>0.1003</v>
          </cell>
        </row>
        <row r="7810">
          <cell r="F7810">
            <v>0.1017</v>
          </cell>
        </row>
        <row r="7811">
          <cell r="F7811">
            <v>0.1017</v>
          </cell>
        </row>
        <row r="7812">
          <cell r="F7812">
            <v>0.1017</v>
          </cell>
        </row>
        <row r="7813">
          <cell r="F7813">
            <v>9.7500000000000003E-2</v>
          </cell>
        </row>
        <row r="7814">
          <cell r="F7814">
            <v>0.10100000000000001</v>
          </cell>
        </row>
        <row r="7815">
          <cell r="F7815">
            <v>9.7799999999999998E-2</v>
          </cell>
        </row>
        <row r="7816">
          <cell r="F7816">
            <v>9.7799999999999998E-2</v>
          </cell>
        </row>
        <row r="7817">
          <cell r="F7817">
            <v>6.8699999999999997E-2</v>
          </cell>
        </row>
        <row r="7818">
          <cell r="F7818">
            <v>6.3100000000000003E-2</v>
          </cell>
        </row>
        <row r="7819">
          <cell r="F7819">
            <v>6.1600000000000002E-2</v>
          </cell>
        </row>
        <row r="7820">
          <cell r="F7820">
            <v>6.1600000000000002E-2</v>
          </cell>
        </row>
        <row r="7821">
          <cell r="F7821">
            <v>5.7799999999999997E-2</v>
          </cell>
        </row>
        <row r="7822">
          <cell r="F7822">
            <v>5.7200000000000001E-2</v>
          </cell>
        </row>
        <row r="7823">
          <cell r="F7823">
            <v>5.5E-2</v>
          </cell>
        </row>
        <row r="7824">
          <cell r="F7824">
            <v>5.57E-2</v>
          </cell>
        </row>
        <row r="7825">
          <cell r="F7825">
            <v>7.0599999999999996E-2</v>
          </cell>
        </row>
        <row r="7826">
          <cell r="F7826">
            <v>9.2499999999999999E-2</v>
          </cell>
        </row>
        <row r="7827">
          <cell r="F7827">
            <v>8.8300000000000003E-2</v>
          </cell>
        </row>
        <row r="7828">
          <cell r="F7828">
            <v>8.2000000000000003E-2</v>
          </cell>
        </row>
        <row r="7829">
          <cell r="F7829">
            <v>8.8999999999999996E-2</v>
          </cell>
        </row>
        <row r="7830">
          <cell r="F7830">
            <v>8.6900000000000005E-2</v>
          </cell>
        </row>
        <row r="7831">
          <cell r="F7831">
            <v>8.7599999999999997E-2</v>
          </cell>
        </row>
        <row r="7832">
          <cell r="F7832">
            <v>8.9700000000000002E-2</v>
          </cell>
        </row>
        <row r="7833">
          <cell r="F7833">
            <v>8.2600000000000007E-2</v>
          </cell>
        </row>
        <row r="7834">
          <cell r="F7834">
            <v>8.4000000000000005E-2</v>
          </cell>
        </row>
        <row r="7835">
          <cell r="F7835">
            <v>8.4699999999999998E-2</v>
          </cell>
        </row>
        <row r="7836">
          <cell r="F7836">
            <v>8.5500000000000007E-2</v>
          </cell>
        </row>
        <row r="7837">
          <cell r="F7837">
            <v>8.4699999999999998E-2</v>
          </cell>
        </row>
        <row r="7838">
          <cell r="F7838">
            <v>8.2600000000000007E-2</v>
          </cell>
        </row>
        <row r="7839">
          <cell r="F7839">
            <v>8.2600000000000007E-2</v>
          </cell>
        </row>
        <row r="7840">
          <cell r="F7840">
            <v>9.3899999999999997E-2</v>
          </cell>
        </row>
        <row r="7841">
          <cell r="F7841">
            <v>9.2499999999999999E-2</v>
          </cell>
        </row>
        <row r="7842">
          <cell r="F7842">
            <v>7.8399999999999997E-2</v>
          </cell>
        </row>
        <row r="7843">
          <cell r="F7843">
            <v>8.1199999999999994E-2</v>
          </cell>
        </row>
        <row r="7844">
          <cell r="F7844">
            <v>7.9799999999999996E-2</v>
          </cell>
        </row>
        <row r="7845">
          <cell r="F7845">
            <v>7.9799999999999996E-2</v>
          </cell>
        </row>
        <row r="7846">
          <cell r="F7846">
            <v>7.9799999999999996E-2</v>
          </cell>
        </row>
        <row r="7847">
          <cell r="F7847">
            <v>7.7700000000000005E-2</v>
          </cell>
        </row>
        <row r="7848">
          <cell r="F7848">
            <v>8.1199999999999994E-2</v>
          </cell>
        </row>
        <row r="7849">
          <cell r="F7849">
            <v>8.1900000000000001E-2</v>
          </cell>
        </row>
        <row r="7850">
          <cell r="F7850">
            <v>0.1095</v>
          </cell>
        </row>
        <row r="7851">
          <cell r="F7851">
            <v>9.4799999999999995E-2</v>
          </cell>
        </row>
        <row r="7852">
          <cell r="F7852">
            <v>8.8999999999999996E-2</v>
          </cell>
        </row>
        <row r="7853">
          <cell r="F7853">
            <v>8.8999999999999996E-2</v>
          </cell>
        </row>
        <row r="7854">
          <cell r="F7854">
            <v>8.8999999999999996E-2</v>
          </cell>
        </row>
        <row r="7855">
          <cell r="F7855">
            <v>8.9700000000000002E-2</v>
          </cell>
        </row>
        <row r="7856">
          <cell r="F7856">
            <v>8.4000000000000005E-2</v>
          </cell>
        </row>
        <row r="7857">
          <cell r="F7857">
            <v>8.6900000000000005E-2</v>
          </cell>
        </row>
        <row r="7858">
          <cell r="F7858">
            <v>8.3299999999999999E-2</v>
          </cell>
        </row>
        <row r="7859">
          <cell r="F7859">
            <v>8.2600000000000007E-2</v>
          </cell>
        </row>
        <row r="7860">
          <cell r="F7860">
            <v>8.3299999999999999E-2</v>
          </cell>
        </row>
        <row r="7861">
          <cell r="F7861">
            <v>8.2600000000000007E-2</v>
          </cell>
        </row>
        <row r="7862">
          <cell r="F7862">
            <v>8.0500000000000002E-2</v>
          </cell>
        </row>
        <row r="7863">
          <cell r="F7863">
            <v>9.0399999999999994E-2</v>
          </cell>
        </row>
        <row r="7864">
          <cell r="F7864">
            <v>9.7500000000000003E-2</v>
          </cell>
        </row>
        <row r="7865">
          <cell r="F7865">
            <v>0.06</v>
          </cell>
        </row>
        <row r="7866">
          <cell r="F7866">
            <v>4.3700000000000003E-2</v>
          </cell>
        </row>
        <row r="7867">
          <cell r="F7867">
            <v>2.5999999999999999E-3</v>
          </cell>
        </row>
        <row r="7868">
          <cell r="F7868">
            <v>1.1999999999999999E-3</v>
          </cell>
        </row>
        <row r="7869">
          <cell r="F7869">
            <v>1.1999999999999999E-3</v>
          </cell>
        </row>
        <row r="7870">
          <cell r="F7870">
            <v>1.1999999999999999E-3</v>
          </cell>
        </row>
        <row r="7871">
          <cell r="F7871">
            <v>1.1999999999999999E-3</v>
          </cell>
        </row>
        <row r="7872">
          <cell r="F7872">
            <v>0</v>
          </cell>
        </row>
        <row r="7873">
          <cell r="F7873">
            <v>5.7799999999999997E-2</v>
          </cell>
        </row>
        <row r="7874">
          <cell r="F7874">
            <v>8.6900000000000005E-2</v>
          </cell>
        </row>
        <row r="7875">
          <cell r="F7875">
            <v>9.8199999999999996E-2</v>
          </cell>
        </row>
        <row r="7876">
          <cell r="F7876">
            <v>9.6799999999999997E-2</v>
          </cell>
        </row>
        <row r="7877">
          <cell r="F7877">
            <v>8.1199999999999994E-2</v>
          </cell>
        </row>
        <row r="7878">
          <cell r="F7878">
            <v>7.3599999999999999E-2</v>
          </cell>
        </row>
        <row r="7879">
          <cell r="F7879">
            <v>7.2900000000000006E-2</v>
          </cell>
        </row>
        <row r="7880">
          <cell r="F7880">
            <v>7.22E-2</v>
          </cell>
        </row>
        <row r="7881">
          <cell r="F7881">
            <v>8.8300000000000003E-2</v>
          </cell>
        </row>
        <row r="7882">
          <cell r="F7882">
            <v>8.3299999999999999E-2</v>
          </cell>
        </row>
        <row r="7883">
          <cell r="F7883">
            <v>8.3699999999999997E-2</v>
          </cell>
        </row>
        <row r="7884">
          <cell r="F7884">
            <v>7.5499999999999998E-2</v>
          </cell>
        </row>
        <row r="7885">
          <cell r="F7885">
            <v>7.1999999999999995E-2</v>
          </cell>
        </row>
        <row r="7886">
          <cell r="F7886">
            <v>7.2700000000000001E-2</v>
          </cell>
        </row>
        <row r="7887">
          <cell r="F7887">
            <v>7.6200000000000004E-2</v>
          </cell>
        </row>
        <row r="7888">
          <cell r="F7888">
            <v>6.3500000000000001E-2</v>
          </cell>
        </row>
        <row r="7889">
          <cell r="F7889">
            <v>6.2100000000000002E-2</v>
          </cell>
        </row>
        <row r="7890">
          <cell r="F7890">
            <v>6.0699999999999997E-2</v>
          </cell>
        </row>
        <row r="7891">
          <cell r="F7891">
            <v>5.2900000000000003E-2</v>
          </cell>
        </row>
        <row r="7892">
          <cell r="F7892">
            <v>5.2900000000000003E-2</v>
          </cell>
        </row>
        <row r="7893">
          <cell r="F7893">
            <v>5.1499999999999997E-2</v>
          </cell>
        </row>
        <row r="7894">
          <cell r="F7894">
            <v>5.2900000000000003E-2</v>
          </cell>
        </row>
        <row r="7895">
          <cell r="F7895">
            <v>5.0799999999999998E-2</v>
          </cell>
        </row>
        <row r="7896">
          <cell r="F7896">
            <v>5.0799999999999998E-2</v>
          </cell>
        </row>
        <row r="7897">
          <cell r="F7897">
            <v>5.2900000000000003E-2</v>
          </cell>
        </row>
        <row r="7898">
          <cell r="F7898">
            <v>7.8399999999999997E-2</v>
          </cell>
        </row>
        <row r="7899">
          <cell r="F7899">
            <v>8.1900000000000001E-2</v>
          </cell>
        </row>
        <row r="7900">
          <cell r="F7900">
            <v>7.8600000000000003E-2</v>
          </cell>
        </row>
        <row r="7901">
          <cell r="F7901">
            <v>7.8600000000000003E-2</v>
          </cell>
        </row>
        <row r="7902">
          <cell r="F7902">
            <v>8.2699999999999996E-2</v>
          </cell>
        </row>
        <row r="7903">
          <cell r="F7903">
            <v>7.6999999999999999E-2</v>
          </cell>
        </row>
        <row r="7904">
          <cell r="F7904">
            <v>6.5600000000000006E-2</v>
          </cell>
        </row>
        <row r="7905">
          <cell r="F7905">
            <v>6.4899999999999999E-2</v>
          </cell>
        </row>
        <row r="7906">
          <cell r="F7906">
            <v>6.4199999999999993E-2</v>
          </cell>
        </row>
        <row r="7907">
          <cell r="F7907">
            <v>6.5600000000000006E-2</v>
          </cell>
        </row>
        <row r="7908">
          <cell r="F7908">
            <v>6.3500000000000001E-2</v>
          </cell>
        </row>
        <row r="7909">
          <cell r="F7909">
            <v>6.3500000000000001E-2</v>
          </cell>
        </row>
        <row r="7910">
          <cell r="F7910">
            <v>6.3500000000000001E-2</v>
          </cell>
        </row>
        <row r="7911">
          <cell r="F7911">
            <v>6.5600000000000006E-2</v>
          </cell>
        </row>
        <row r="7912">
          <cell r="F7912">
            <v>6.6299999999999998E-2</v>
          </cell>
        </row>
        <row r="7913">
          <cell r="F7913">
            <v>6.2799999999999995E-2</v>
          </cell>
        </row>
        <row r="7914">
          <cell r="F7914">
            <v>5.5E-2</v>
          </cell>
        </row>
        <row r="7915">
          <cell r="F7915">
            <v>5.4300000000000001E-2</v>
          </cell>
        </row>
        <row r="7916">
          <cell r="F7916">
            <v>5.2900000000000003E-2</v>
          </cell>
        </row>
        <row r="7917">
          <cell r="F7917">
            <v>2.6700000000000002E-2</v>
          </cell>
        </row>
        <row r="7918">
          <cell r="F7918">
            <v>2.8799999999999999E-2</v>
          </cell>
        </row>
        <row r="7919">
          <cell r="F7919">
            <v>2.0299999999999999E-2</v>
          </cell>
        </row>
        <row r="7920">
          <cell r="F7920">
            <v>4.5100000000000001E-2</v>
          </cell>
        </row>
        <row r="7921">
          <cell r="F7921">
            <v>0.05</v>
          </cell>
        </row>
        <row r="7922">
          <cell r="F7922">
            <v>8.6900000000000005E-2</v>
          </cell>
        </row>
        <row r="7923">
          <cell r="F7923">
            <v>7.7700000000000005E-2</v>
          </cell>
        </row>
        <row r="7924">
          <cell r="F7924">
            <v>7.9200000000000007E-2</v>
          </cell>
        </row>
        <row r="7925">
          <cell r="F7925">
            <v>7.2800000000000004E-2</v>
          </cell>
        </row>
        <row r="7926">
          <cell r="F7926">
            <v>7.2800000000000004E-2</v>
          </cell>
        </row>
        <row r="7927">
          <cell r="F7927">
            <v>7.4200000000000002E-2</v>
          </cell>
        </row>
        <row r="7928">
          <cell r="F7928">
            <v>9.5399999999999999E-2</v>
          </cell>
        </row>
        <row r="7929">
          <cell r="F7929">
            <v>9.6100000000000005E-2</v>
          </cell>
        </row>
        <row r="7930">
          <cell r="F7930">
            <v>8.7599999999999997E-2</v>
          </cell>
        </row>
        <row r="7931">
          <cell r="F7931">
            <v>8.1199999999999994E-2</v>
          </cell>
        </row>
        <row r="7932">
          <cell r="F7932">
            <v>8.0500000000000002E-2</v>
          </cell>
        </row>
        <row r="7933">
          <cell r="F7933">
            <v>7.8399999999999997E-2</v>
          </cell>
        </row>
        <row r="7934">
          <cell r="F7934">
            <v>7.7700000000000005E-2</v>
          </cell>
        </row>
        <row r="7935">
          <cell r="F7935">
            <v>8.1299999999999997E-2</v>
          </cell>
        </row>
        <row r="7936">
          <cell r="F7936">
            <v>6.6299999999999998E-2</v>
          </cell>
        </row>
        <row r="7937">
          <cell r="F7937">
            <v>6.1400000000000003E-2</v>
          </cell>
        </row>
        <row r="7938">
          <cell r="F7938">
            <v>5.57E-2</v>
          </cell>
        </row>
        <row r="7939">
          <cell r="F7939">
            <v>5.2900000000000003E-2</v>
          </cell>
        </row>
        <row r="7940">
          <cell r="F7940">
            <v>5.2200000000000003E-2</v>
          </cell>
        </row>
        <row r="7941">
          <cell r="F7941">
            <v>4.8599999999999997E-2</v>
          </cell>
        </row>
        <row r="7942">
          <cell r="F7942">
            <v>2.7400000000000001E-2</v>
          </cell>
        </row>
        <row r="7943">
          <cell r="F7943">
            <v>2.6700000000000002E-2</v>
          </cell>
        </row>
        <row r="7944">
          <cell r="F7944">
            <v>1.6799999999999999E-2</v>
          </cell>
        </row>
        <row r="7945">
          <cell r="F7945">
            <v>0.05</v>
          </cell>
        </row>
        <row r="7946">
          <cell r="F7946">
            <v>8.6900000000000005E-2</v>
          </cell>
        </row>
        <row r="7947">
          <cell r="F7947">
            <v>0.1053</v>
          </cell>
        </row>
        <row r="7948">
          <cell r="F7948">
            <v>0.1095</v>
          </cell>
        </row>
        <row r="7949">
          <cell r="F7949">
            <v>9.3200000000000005E-2</v>
          </cell>
        </row>
        <row r="7950">
          <cell r="F7950">
            <v>8.0299999999999996E-2</v>
          </cell>
        </row>
        <row r="7951">
          <cell r="F7951">
            <v>8.0299999999999996E-2</v>
          </cell>
        </row>
        <row r="7952">
          <cell r="F7952">
            <v>7.9799999999999996E-2</v>
          </cell>
        </row>
        <row r="7953">
          <cell r="F7953">
            <v>9.0399999999999994E-2</v>
          </cell>
        </row>
        <row r="7954">
          <cell r="F7954">
            <v>8.8999999999999996E-2</v>
          </cell>
        </row>
        <row r="7955">
          <cell r="F7955">
            <v>8.9700000000000002E-2</v>
          </cell>
        </row>
        <row r="7956">
          <cell r="F7956">
            <v>8.7599999999999997E-2</v>
          </cell>
        </row>
        <row r="7957">
          <cell r="F7957">
            <v>8.1199999999999994E-2</v>
          </cell>
        </row>
        <row r="7958">
          <cell r="F7958">
            <v>8.0500000000000002E-2</v>
          </cell>
        </row>
        <row r="7959">
          <cell r="F7959">
            <v>8.7599999999999997E-2</v>
          </cell>
        </row>
        <row r="7960">
          <cell r="F7960">
            <v>9.6799999999999997E-2</v>
          </cell>
        </row>
        <row r="7961">
          <cell r="F7961">
            <v>7.1999999999999995E-2</v>
          </cell>
        </row>
        <row r="7962">
          <cell r="F7962">
            <v>5.9299999999999999E-2</v>
          </cell>
        </row>
        <row r="7963">
          <cell r="F7963">
            <v>5.79E-2</v>
          </cell>
        </row>
        <row r="7964">
          <cell r="F7964">
            <v>6.4899999999999999E-2</v>
          </cell>
        </row>
        <row r="7965">
          <cell r="F7965">
            <v>6.2100000000000002E-2</v>
          </cell>
        </row>
        <row r="7966">
          <cell r="F7966">
            <v>6.1400000000000003E-2</v>
          </cell>
        </row>
        <row r="7967">
          <cell r="F7967">
            <v>6.2799999999999995E-2</v>
          </cell>
        </row>
        <row r="7968">
          <cell r="F7968">
            <v>6.4199999999999993E-2</v>
          </cell>
        </row>
        <row r="7969">
          <cell r="F7969">
            <v>6.9199999999999998E-2</v>
          </cell>
        </row>
        <row r="7970">
          <cell r="F7970">
            <v>9.7000000000000003E-2</v>
          </cell>
        </row>
        <row r="7971">
          <cell r="F7971">
            <v>0.111</v>
          </cell>
        </row>
        <row r="7972">
          <cell r="F7972">
            <v>9.4799999999999995E-2</v>
          </cell>
        </row>
        <row r="7973">
          <cell r="F7973">
            <v>8.3599999999999994E-2</v>
          </cell>
        </row>
        <row r="7974">
          <cell r="F7974">
            <v>8.3500000000000005E-2</v>
          </cell>
        </row>
        <row r="7975">
          <cell r="F7975">
            <v>8.1299999999999997E-2</v>
          </cell>
        </row>
        <row r="7976">
          <cell r="F7976">
            <v>7.7700000000000005E-2</v>
          </cell>
        </row>
        <row r="7977">
          <cell r="F7977">
            <v>7.3400000000000007E-2</v>
          </cell>
        </row>
        <row r="7978">
          <cell r="F7978">
            <v>8.0500000000000002E-2</v>
          </cell>
        </row>
        <row r="7979">
          <cell r="F7979">
            <v>7.9799999999999996E-2</v>
          </cell>
        </row>
        <row r="7980">
          <cell r="F7980">
            <v>7.6200000000000004E-2</v>
          </cell>
        </row>
        <row r="7981">
          <cell r="F7981">
            <v>7.4800000000000005E-2</v>
          </cell>
        </row>
        <row r="7982">
          <cell r="F7982">
            <v>8.0500000000000002E-2</v>
          </cell>
        </row>
        <row r="7983">
          <cell r="F7983">
            <v>8.0500000000000002E-2</v>
          </cell>
        </row>
        <row r="7984">
          <cell r="F7984">
            <v>7.6300000000000007E-2</v>
          </cell>
        </row>
        <row r="7985">
          <cell r="F7985">
            <v>6.5000000000000002E-2</v>
          </cell>
        </row>
        <row r="7986">
          <cell r="F7986">
            <v>6.0699999999999997E-2</v>
          </cell>
        </row>
        <row r="7987">
          <cell r="F7987">
            <v>6.1400000000000003E-2</v>
          </cell>
        </row>
        <row r="7988">
          <cell r="F7988">
            <v>0.06</v>
          </cell>
        </row>
        <row r="7989">
          <cell r="F7989">
            <v>6.0100000000000001E-2</v>
          </cell>
        </row>
        <row r="7990">
          <cell r="F7990">
            <v>6.0100000000000001E-2</v>
          </cell>
        </row>
        <row r="7991">
          <cell r="F7991">
            <v>6.0199999999999997E-2</v>
          </cell>
        </row>
        <row r="7992">
          <cell r="F7992">
            <v>6.0900000000000003E-2</v>
          </cell>
        </row>
        <row r="7993">
          <cell r="F7993">
            <v>6.2300000000000001E-2</v>
          </cell>
        </row>
        <row r="7994">
          <cell r="F7994">
            <v>9.4899999999999998E-2</v>
          </cell>
        </row>
        <row r="7995">
          <cell r="F7995">
            <v>9.0499999999999997E-2</v>
          </cell>
        </row>
        <row r="7996">
          <cell r="F7996">
            <v>9.0499999999999997E-2</v>
          </cell>
        </row>
        <row r="7997">
          <cell r="F7997">
            <v>9.1399999999999995E-2</v>
          </cell>
        </row>
        <row r="7998">
          <cell r="F7998">
            <v>9.1999999999999998E-2</v>
          </cell>
        </row>
        <row r="7999">
          <cell r="F7999">
            <v>8.48E-2</v>
          </cell>
        </row>
        <row r="8000">
          <cell r="F8000">
            <v>7.1999999999999995E-2</v>
          </cell>
        </row>
        <row r="8001">
          <cell r="F8001">
            <v>7.4800000000000005E-2</v>
          </cell>
        </row>
        <row r="8002">
          <cell r="F8002">
            <v>7.3400000000000007E-2</v>
          </cell>
        </row>
        <row r="8003">
          <cell r="F8003">
            <v>7.2700000000000001E-2</v>
          </cell>
        </row>
        <row r="8004">
          <cell r="F8004">
            <v>8.2600000000000007E-2</v>
          </cell>
        </row>
        <row r="8005">
          <cell r="F8005">
            <v>8.2600000000000007E-2</v>
          </cell>
        </row>
        <row r="8006">
          <cell r="F8006">
            <v>8.2600000000000007E-2</v>
          </cell>
        </row>
        <row r="8007">
          <cell r="F8007">
            <v>8.0500000000000002E-2</v>
          </cell>
        </row>
        <row r="8008">
          <cell r="F8008">
            <v>7.9799999999999996E-2</v>
          </cell>
        </row>
        <row r="8009">
          <cell r="F8009">
            <v>7.9100000000000004E-2</v>
          </cell>
        </row>
        <row r="8010">
          <cell r="F8010">
            <v>6.3500000000000001E-2</v>
          </cell>
        </row>
        <row r="8011">
          <cell r="F8011">
            <v>6.2799999999999995E-2</v>
          </cell>
        </row>
        <row r="8012">
          <cell r="F8012">
            <v>6.2799999999999995E-2</v>
          </cell>
        </row>
        <row r="8013">
          <cell r="F8013">
            <v>6.2799999999999995E-2</v>
          </cell>
        </row>
        <row r="8014">
          <cell r="F8014">
            <v>6.2799999999999995E-2</v>
          </cell>
        </row>
        <row r="8015">
          <cell r="F8015">
            <v>6.2799999999999995E-2</v>
          </cell>
        </row>
        <row r="8016">
          <cell r="F8016">
            <v>6.2100000000000002E-2</v>
          </cell>
        </row>
        <row r="8017">
          <cell r="F8017">
            <v>6.3500000000000001E-2</v>
          </cell>
        </row>
        <row r="8018">
          <cell r="F8018">
            <v>0.10100000000000001</v>
          </cell>
        </row>
        <row r="8019">
          <cell r="F8019">
            <v>9.5399999999999999E-2</v>
          </cell>
        </row>
        <row r="8020">
          <cell r="F8020">
            <v>7.9899999999999999E-2</v>
          </cell>
        </row>
        <row r="8021">
          <cell r="F8021">
            <v>7.9899999999999999E-2</v>
          </cell>
        </row>
        <row r="8022">
          <cell r="F8022">
            <v>8.0500000000000002E-2</v>
          </cell>
        </row>
        <row r="8023">
          <cell r="F8023">
            <v>8.0500000000000002E-2</v>
          </cell>
        </row>
        <row r="8024">
          <cell r="F8024">
            <v>8.4699999999999998E-2</v>
          </cell>
        </row>
        <row r="8025">
          <cell r="F8025">
            <v>8.4699999999999998E-2</v>
          </cell>
        </row>
        <row r="8026">
          <cell r="F8026">
            <v>8.2600000000000007E-2</v>
          </cell>
        </row>
        <row r="8027">
          <cell r="F8027">
            <v>8.1799999999999998E-2</v>
          </cell>
        </row>
        <row r="8028">
          <cell r="F8028">
            <v>8.2600000000000007E-2</v>
          </cell>
        </row>
        <row r="8029">
          <cell r="F8029">
            <v>8.1799999999999998E-2</v>
          </cell>
        </row>
        <row r="8030">
          <cell r="F8030">
            <v>8.1799999999999998E-2</v>
          </cell>
        </row>
        <row r="8031">
          <cell r="F8031">
            <v>8.1799999999999998E-2</v>
          </cell>
        </row>
        <row r="8032">
          <cell r="F8032">
            <v>8.1100000000000005E-2</v>
          </cell>
        </row>
        <row r="8033">
          <cell r="F8033">
            <v>6.2799999999999995E-2</v>
          </cell>
        </row>
        <row r="8034">
          <cell r="F8034">
            <v>5.2900000000000003E-2</v>
          </cell>
        </row>
        <row r="8035">
          <cell r="F8035">
            <v>2.5999999999999999E-3</v>
          </cell>
        </row>
        <row r="8036">
          <cell r="F8036">
            <v>2.5999999999999999E-3</v>
          </cell>
        </row>
        <row r="8037">
          <cell r="F8037">
            <v>1.1999999999999999E-3</v>
          </cell>
        </row>
        <row r="8038">
          <cell r="F8038">
            <v>1.5100000000000001E-2</v>
          </cell>
        </row>
        <row r="8039">
          <cell r="F8039">
            <v>4.4000000000000003E-3</v>
          </cell>
        </row>
        <row r="8040">
          <cell r="F8040">
            <v>1.4800000000000001E-2</v>
          </cell>
        </row>
        <row r="8041">
          <cell r="F8041">
            <v>0.05</v>
          </cell>
        </row>
        <row r="8042">
          <cell r="F8042">
            <v>8.8999999999999996E-2</v>
          </cell>
        </row>
        <row r="8043">
          <cell r="F8043">
            <v>9.9599999999999994E-2</v>
          </cell>
        </row>
        <row r="8044">
          <cell r="F8044">
            <v>0.1004</v>
          </cell>
        </row>
        <row r="8045">
          <cell r="F8045">
            <v>7.7100000000000002E-2</v>
          </cell>
        </row>
        <row r="8046">
          <cell r="F8046">
            <v>8.1199999999999994E-2</v>
          </cell>
        </row>
        <row r="8047">
          <cell r="F8047">
            <v>7.9000000000000001E-2</v>
          </cell>
        </row>
        <row r="8048">
          <cell r="F8048">
            <v>8.0399999999999999E-2</v>
          </cell>
        </row>
        <row r="8049">
          <cell r="F8049">
            <v>7.6200000000000004E-2</v>
          </cell>
        </row>
        <row r="8050">
          <cell r="F8050">
            <v>7.6200000000000004E-2</v>
          </cell>
        </row>
        <row r="8051">
          <cell r="F8051">
            <v>9.0300000000000005E-2</v>
          </cell>
        </row>
        <row r="8052">
          <cell r="F8052">
            <v>8.4000000000000005E-2</v>
          </cell>
        </row>
        <row r="8053">
          <cell r="F8053">
            <v>7.9699999999999993E-2</v>
          </cell>
        </row>
        <row r="8054">
          <cell r="F8054">
            <v>7.7600000000000002E-2</v>
          </cell>
        </row>
        <row r="8055">
          <cell r="F8055">
            <v>7.9699999999999993E-2</v>
          </cell>
        </row>
        <row r="8056">
          <cell r="F8056">
            <v>8.8900000000000007E-2</v>
          </cell>
        </row>
        <row r="8057">
          <cell r="F8057">
            <v>6.4899999999999999E-2</v>
          </cell>
        </row>
        <row r="8058">
          <cell r="F8058">
            <v>8.3000000000000001E-3</v>
          </cell>
        </row>
        <row r="8059">
          <cell r="F8059">
            <v>8.3000000000000001E-3</v>
          </cell>
        </row>
        <row r="8060">
          <cell r="F8060">
            <v>6.8999999999999999E-3</v>
          </cell>
        </row>
        <row r="8061">
          <cell r="F8061">
            <v>1.9099999999999999E-2</v>
          </cell>
        </row>
        <row r="8062">
          <cell r="F8062">
            <v>9.5999999999999992E-3</v>
          </cell>
        </row>
        <row r="8063">
          <cell r="F8063">
            <v>6.6E-3</v>
          </cell>
        </row>
        <row r="8064">
          <cell r="F8064">
            <v>0</v>
          </cell>
        </row>
        <row r="8065">
          <cell r="F8065">
            <v>3.5200000000000002E-2</v>
          </cell>
        </row>
        <row r="8066">
          <cell r="F8066">
            <v>9.74E-2</v>
          </cell>
        </row>
        <row r="8067">
          <cell r="F8067">
            <v>0.1003</v>
          </cell>
        </row>
        <row r="8068">
          <cell r="F8068">
            <v>0.1032</v>
          </cell>
        </row>
        <row r="8069">
          <cell r="F8069">
            <v>9.6799999999999997E-2</v>
          </cell>
        </row>
        <row r="8070">
          <cell r="F8070">
            <v>9.6799999999999997E-2</v>
          </cell>
        </row>
        <row r="8071">
          <cell r="F8071">
            <v>9.2499999999999999E-2</v>
          </cell>
        </row>
        <row r="8072">
          <cell r="F8072">
            <v>9.1800000000000007E-2</v>
          </cell>
        </row>
        <row r="8073">
          <cell r="F8073">
            <v>8.8200000000000001E-2</v>
          </cell>
        </row>
        <row r="8074">
          <cell r="F8074">
            <v>8.5400000000000004E-2</v>
          </cell>
        </row>
        <row r="8075">
          <cell r="F8075">
            <v>8.4699999999999998E-2</v>
          </cell>
        </row>
        <row r="8076">
          <cell r="F8076">
            <v>8.4000000000000005E-2</v>
          </cell>
        </row>
        <row r="8077">
          <cell r="F8077">
            <v>8.2600000000000007E-2</v>
          </cell>
        </row>
        <row r="8078">
          <cell r="F8078">
            <v>8.8200000000000001E-2</v>
          </cell>
        </row>
        <row r="8079">
          <cell r="F8079">
            <v>9.3899999999999997E-2</v>
          </cell>
        </row>
        <row r="8080">
          <cell r="F8080">
            <v>9.6699999999999994E-2</v>
          </cell>
        </row>
        <row r="8081">
          <cell r="F8081">
            <v>7.8299999999999995E-2</v>
          </cell>
        </row>
        <row r="8082">
          <cell r="F8082">
            <v>6.9800000000000001E-2</v>
          </cell>
        </row>
        <row r="8083">
          <cell r="F8083">
            <v>6.8400000000000002E-2</v>
          </cell>
        </row>
        <row r="8084">
          <cell r="F8084">
            <v>6.7000000000000004E-2</v>
          </cell>
        </row>
        <row r="8085">
          <cell r="F8085">
            <v>4.1500000000000002E-2</v>
          </cell>
        </row>
        <row r="8086">
          <cell r="F8086">
            <v>4.0099999999999997E-2</v>
          </cell>
        </row>
        <row r="8087">
          <cell r="F8087">
            <v>1.6799999999999999E-2</v>
          </cell>
        </row>
        <row r="8088">
          <cell r="F8088">
            <v>3.0800000000000001E-2</v>
          </cell>
        </row>
        <row r="8089">
          <cell r="F8089">
            <v>7.0499999999999993E-2</v>
          </cell>
        </row>
        <row r="8090">
          <cell r="F8090">
            <v>9.6699999999999994E-2</v>
          </cell>
        </row>
        <row r="8091">
          <cell r="F8091">
            <v>9.6000000000000002E-2</v>
          </cell>
        </row>
        <row r="8092">
          <cell r="F8092">
            <v>9.3899999999999997E-2</v>
          </cell>
        </row>
        <row r="8093">
          <cell r="F8093">
            <v>9.5299999999999996E-2</v>
          </cell>
        </row>
        <row r="8094">
          <cell r="F8094">
            <v>9.3200000000000005E-2</v>
          </cell>
        </row>
        <row r="8095">
          <cell r="F8095">
            <v>9.3200000000000005E-2</v>
          </cell>
        </row>
        <row r="8096">
          <cell r="F8096">
            <v>9.2499999999999999E-2</v>
          </cell>
        </row>
        <row r="8097">
          <cell r="F8097">
            <v>9.0300000000000005E-2</v>
          </cell>
        </row>
        <row r="8098">
          <cell r="F8098">
            <v>8.8900000000000007E-2</v>
          </cell>
        </row>
        <row r="8099">
          <cell r="F8099">
            <v>8.8200000000000001E-2</v>
          </cell>
        </row>
        <row r="8100">
          <cell r="F8100">
            <v>8.7499999999999994E-2</v>
          </cell>
        </row>
        <row r="8101">
          <cell r="F8101">
            <v>9.0300000000000005E-2</v>
          </cell>
        </row>
        <row r="8102">
          <cell r="F8102">
            <v>9.0300000000000005E-2</v>
          </cell>
        </row>
        <row r="8103">
          <cell r="F8103">
            <v>9.2499999999999999E-2</v>
          </cell>
        </row>
        <row r="8104">
          <cell r="F8104">
            <v>9.3899999999999997E-2</v>
          </cell>
        </row>
        <row r="8105">
          <cell r="F8105">
            <v>8.8999999999999996E-2</v>
          </cell>
        </row>
        <row r="8106">
          <cell r="F8106">
            <v>7.6999999999999999E-2</v>
          </cell>
        </row>
        <row r="8107">
          <cell r="F8107">
            <v>7.6200000000000004E-2</v>
          </cell>
        </row>
        <row r="8108">
          <cell r="F8108">
            <v>7.6200000000000004E-2</v>
          </cell>
        </row>
        <row r="8109">
          <cell r="F8109">
            <v>7.4800000000000005E-2</v>
          </cell>
        </row>
        <row r="8110">
          <cell r="F8110">
            <v>7.3400000000000007E-2</v>
          </cell>
        </row>
        <row r="8111">
          <cell r="F8111">
            <v>7.3400000000000007E-2</v>
          </cell>
        </row>
        <row r="8112">
          <cell r="F8112">
            <v>7.6200000000000004E-2</v>
          </cell>
        </row>
        <row r="8113">
          <cell r="F8113">
            <v>7.9000000000000001E-2</v>
          </cell>
        </row>
        <row r="8114">
          <cell r="F8114">
            <v>0.1031</v>
          </cell>
        </row>
        <row r="8115">
          <cell r="F8115">
            <v>9.8900000000000002E-2</v>
          </cell>
        </row>
        <row r="8116">
          <cell r="F8116">
            <v>9.7600000000000006E-2</v>
          </cell>
        </row>
        <row r="8117">
          <cell r="F8117">
            <v>9.8400000000000001E-2</v>
          </cell>
        </row>
        <row r="8118">
          <cell r="F8118">
            <v>9.8299999999999998E-2</v>
          </cell>
        </row>
        <row r="8119">
          <cell r="F8119">
            <v>0.11020000000000001</v>
          </cell>
        </row>
        <row r="8120">
          <cell r="F8120">
            <v>0.1031</v>
          </cell>
        </row>
        <row r="8121">
          <cell r="F8121">
            <v>0.10100000000000001</v>
          </cell>
        </row>
        <row r="8122">
          <cell r="F8122">
            <v>0.1017</v>
          </cell>
        </row>
        <row r="8123">
          <cell r="F8123">
            <v>0.1017</v>
          </cell>
        </row>
        <row r="8124">
          <cell r="F8124">
            <v>0.1031</v>
          </cell>
        </row>
        <row r="8125">
          <cell r="F8125">
            <v>0.10589999999999999</v>
          </cell>
        </row>
        <row r="8126">
          <cell r="F8126">
            <v>0.10589999999999999</v>
          </cell>
        </row>
        <row r="8127">
          <cell r="F8127">
            <v>0.10589999999999999</v>
          </cell>
        </row>
        <row r="8128">
          <cell r="F8128">
            <v>0.1038</v>
          </cell>
        </row>
        <row r="8129">
          <cell r="F8129">
            <v>0.1038</v>
          </cell>
        </row>
        <row r="8130">
          <cell r="F8130">
            <v>9.8799999999999999E-2</v>
          </cell>
        </row>
        <row r="8131">
          <cell r="F8131">
            <v>9.8799999999999999E-2</v>
          </cell>
        </row>
        <row r="8132">
          <cell r="F8132">
            <v>9.8799999999999999E-2</v>
          </cell>
        </row>
        <row r="8133">
          <cell r="F8133">
            <v>9.8100000000000007E-2</v>
          </cell>
        </row>
        <row r="8134">
          <cell r="F8134">
            <v>9.1800000000000007E-2</v>
          </cell>
        </row>
        <row r="8135">
          <cell r="F8135">
            <v>0.1024</v>
          </cell>
        </row>
        <row r="8136">
          <cell r="F8136">
            <v>0.10100000000000001</v>
          </cell>
        </row>
        <row r="8137">
          <cell r="F8137">
            <v>9.8799999999999999E-2</v>
          </cell>
        </row>
        <row r="8138">
          <cell r="F8138">
            <v>0.1031</v>
          </cell>
        </row>
        <row r="8139">
          <cell r="F8139">
            <v>0.1109</v>
          </cell>
        </row>
        <row r="8140">
          <cell r="F8140">
            <v>0.1173</v>
          </cell>
        </row>
        <row r="8141">
          <cell r="F8141">
            <v>9.8900000000000002E-2</v>
          </cell>
        </row>
        <row r="8142">
          <cell r="F8142">
            <v>9.8500000000000004E-2</v>
          </cell>
        </row>
        <row r="8143">
          <cell r="F8143">
            <v>9.8500000000000004E-2</v>
          </cell>
        </row>
        <row r="8144">
          <cell r="F8144">
            <v>9.8100000000000007E-2</v>
          </cell>
        </row>
        <row r="8145">
          <cell r="F8145">
            <v>9.4600000000000004E-2</v>
          </cell>
        </row>
        <row r="8146">
          <cell r="F8146">
            <v>0.1017</v>
          </cell>
        </row>
        <row r="8147">
          <cell r="F8147">
            <v>0.1024</v>
          </cell>
        </row>
        <row r="8148">
          <cell r="F8148">
            <v>0.1024</v>
          </cell>
        </row>
        <row r="8149">
          <cell r="F8149">
            <v>0.1024</v>
          </cell>
        </row>
        <row r="8150">
          <cell r="F8150">
            <v>0.1024</v>
          </cell>
        </row>
        <row r="8151">
          <cell r="F8151">
            <v>0.1024</v>
          </cell>
        </row>
        <row r="8152">
          <cell r="F8152">
            <v>0.10589999999999999</v>
          </cell>
        </row>
        <row r="8153">
          <cell r="F8153">
            <v>9.8500000000000004E-2</v>
          </cell>
        </row>
        <row r="8154">
          <cell r="F8154">
            <v>7.3400000000000007E-2</v>
          </cell>
        </row>
        <row r="8155">
          <cell r="F8155">
            <v>6.6299999999999998E-2</v>
          </cell>
        </row>
        <row r="8156">
          <cell r="F8156">
            <v>6.7000000000000004E-2</v>
          </cell>
        </row>
        <row r="8157">
          <cell r="F8157">
            <v>6.7000000000000004E-2</v>
          </cell>
        </row>
        <row r="8158">
          <cell r="F8158">
            <v>6.6299999999999998E-2</v>
          </cell>
        </row>
        <row r="8159">
          <cell r="F8159">
            <v>6.5600000000000006E-2</v>
          </cell>
        </row>
        <row r="8160">
          <cell r="F8160">
            <v>6.7699999999999996E-2</v>
          </cell>
        </row>
        <row r="8161">
          <cell r="F8161">
            <v>7.1900000000000006E-2</v>
          </cell>
        </row>
        <row r="8162">
          <cell r="F8162">
            <v>0.1052</v>
          </cell>
        </row>
        <row r="8163">
          <cell r="F8163">
            <v>9.8900000000000002E-2</v>
          </cell>
        </row>
        <row r="8164">
          <cell r="F8164">
            <v>9.9000000000000005E-2</v>
          </cell>
        </row>
        <row r="8165">
          <cell r="F8165">
            <v>9.9000000000000005E-2</v>
          </cell>
        </row>
        <row r="8166">
          <cell r="F8166">
            <v>9.8900000000000002E-2</v>
          </cell>
        </row>
        <row r="8167">
          <cell r="F8167">
            <v>0.1045</v>
          </cell>
        </row>
        <row r="8168">
          <cell r="F8168">
            <v>0.10100000000000001</v>
          </cell>
        </row>
        <row r="8169">
          <cell r="F8169">
            <v>9.4600000000000004E-2</v>
          </cell>
        </row>
        <row r="8170">
          <cell r="F8170">
            <v>9.6699999999999994E-2</v>
          </cell>
        </row>
        <row r="8171">
          <cell r="F8171">
            <v>9.6699999999999994E-2</v>
          </cell>
        </row>
        <row r="8172">
          <cell r="F8172">
            <v>9.6699999999999994E-2</v>
          </cell>
        </row>
        <row r="8173">
          <cell r="F8173">
            <v>9.6699999999999994E-2</v>
          </cell>
        </row>
        <row r="8174">
          <cell r="F8174">
            <v>9.6699999999999994E-2</v>
          </cell>
        </row>
        <row r="8175">
          <cell r="F8175">
            <v>9.4600000000000004E-2</v>
          </cell>
        </row>
        <row r="8176">
          <cell r="F8176">
            <v>0.1031</v>
          </cell>
        </row>
        <row r="8177">
          <cell r="F8177">
            <v>9.9599999999999994E-2</v>
          </cell>
        </row>
        <row r="8178">
          <cell r="F8178">
            <v>0.1003</v>
          </cell>
        </row>
        <row r="8179">
          <cell r="F8179">
            <v>9.11E-2</v>
          </cell>
        </row>
        <row r="8180">
          <cell r="F8180">
            <v>9.11E-2</v>
          </cell>
        </row>
        <row r="8181">
          <cell r="F8181">
            <v>9.1800000000000007E-2</v>
          </cell>
        </row>
        <row r="8182">
          <cell r="F8182">
            <v>9.1800000000000007E-2</v>
          </cell>
        </row>
        <row r="8183">
          <cell r="F8183">
            <v>9.11E-2</v>
          </cell>
        </row>
        <row r="8184">
          <cell r="F8184">
            <v>9.1800000000000007E-2</v>
          </cell>
        </row>
        <row r="8185">
          <cell r="F8185">
            <v>9.1800000000000007E-2</v>
          </cell>
        </row>
        <row r="8186">
          <cell r="F8186">
            <v>9.5399999999999999E-2</v>
          </cell>
        </row>
        <row r="8187">
          <cell r="F8187">
            <v>0.1055</v>
          </cell>
        </row>
        <row r="8188">
          <cell r="F8188">
            <v>0.17730000000000001</v>
          </cell>
        </row>
        <row r="8189">
          <cell r="F8189">
            <v>9.1999999999999998E-2</v>
          </cell>
        </row>
        <row r="8190">
          <cell r="F8190">
            <v>8.8400000000000006E-2</v>
          </cell>
        </row>
        <row r="8191">
          <cell r="F8191">
            <v>8.7599999999999997E-2</v>
          </cell>
        </row>
        <row r="8192">
          <cell r="F8192">
            <v>8.8200000000000001E-2</v>
          </cell>
        </row>
        <row r="8193">
          <cell r="F8193">
            <v>8.9599999999999999E-2</v>
          </cell>
        </row>
        <row r="8194">
          <cell r="F8194">
            <v>7.9000000000000001E-2</v>
          </cell>
        </row>
        <row r="8195">
          <cell r="F8195">
            <v>7.6200000000000004E-2</v>
          </cell>
        </row>
        <row r="8196">
          <cell r="F8196">
            <v>7.3400000000000007E-2</v>
          </cell>
        </row>
        <row r="8197">
          <cell r="F8197">
            <v>6.8400000000000002E-2</v>
          </cell>
        </row>
        <row r="8198">
          <cell r="F8198">
            <v>7.4800000000000005E-2</v>
          </cell>
        </row>
        <row r="8199">
          <cell r="F8199">
            <v>7.9000000000000001E-2</v>
          </cell>
        </row>
        <row r="8200">
          <cell r="F8200">
            <v>7.6899999999999996E-2</v>
          </cell>
        </row>
        <row r="8201">
          <cell r="F8201">
            <v>8.2299999999999998E-2</v>
          </cell>
        </row>
        <row r="8202">
          <cell r="F8202">
            <v>7.7399999999999997E-2</v>
          </cell>
        </row>
        <row r="8203">
          <cell r="F8203">
            <v>7.3099999999999998E-2</v>
          </cell>
        </row>
        <row r="8204">
          <cell r="F8204">
            <v>6.25E-2</v>
          </cell>
        </row>
        <row r="8205">
          <cell r="F8205">
            <v>6.3899999999999998E-2</v>
          </cell>
        </row>
        <row r="8206">
          <cell r="F8206">
            <v>6.3899999999999998E-2</v>
          </cell>
        </row>
        <row r="8207">
          <cell r="F8207">
            <v>6.1100000000000002E-2</v>
          </cell>
        </row>
        <row r="8208">
          <cell r="F8208">
            <v>6.3899999999999998E-2</v>
          </cell>
        </row>
        <row r="8209">
          <cell r="F8209">
            <v>7.0999999999999994E-2</v>
          </cell>
        </row>
        <row r="8210">
          <cell r="F8210">
            <v>8.8700000000000001E-2</v>
          </cell>
        </row>
        <row r="8211">
          <cell r="F8211">
            <v>8.9499999999999996E-2</v>
          </cell>
        </row>
        <row r="8212">
          <cell r="F8212">
            <v>8.8800000000000004E-2</v>
          </cell>
        </row>
        <row r="8213">
          <cell r="F8213">
            <v>8.9499999999999996E-2</v>
          </cell>
        </row>
        <row r="8214">
          <cell r="F8214">
            <v>8.8800000000000004E-2</v>
          </cell>
        </row>
        <row r="8215">
          <cell r="F8215">
            <v>8.7999999999999995E-2</v>
          </cell>
        </row>
        <row r="8216">
          <cell r="F8216">
            <v>8.5900000000000004E-2</v>
          </cell>
        </row>
        <row r="8217">
          <cell r="F8217">
            <v>8.4000000000000005E-2</v>
          </cell>
        </row>
        <row r="8218">
          <cell r="F8218">
            <v>9.0300000000000005E-2</v>
          </cell>
        </row>
        <row r="8219">
          <cell r="F8219">
            <v>8.2600000000000007E-2</v>
          </cell>
        </row>
        <row r="8220">
          <cell r="F8220">
            <v>7.9699999999999993E-2</v>
          </cell>
        </row>
        <row r="8221">
          <cell r="F8221">
            <v>7.8299999999999995E-2</v>
          </cell>
        </row>
        <row r="8222">
          <cell r="F8222">
            <v>7.8299999999999995E-2</v>
          </cell>
        </row>
        <row r="8223">
          <cell r="F8223">
            <v>7.9000000000000001E-2</v>
          </cell>
        </row>
        <row r="8224">
          <cell r="F8224">
            <v>8.8900000000000007E-2</v>
          </cell>
        </row>
        <row r="8225">
          <cell r="F8225">
            <v>6.3299999999999995E-2</v>
          </cell>
        </row>
        <row r="8226">
          <cell r="F8226">
            <v>4.99E-2</v>
          </cell>
        </row>
        <row r="8227">
          <cell r="F8227">
            <v>2.5000000000000001E-3</v>
          </cell>
        </row>
        <row r="8228">
          <cell r="F8228">
            <v>2.5000000000000001E-3</v>
          </cell>
        </row>
        <row r="8229">
          <cell r="F8229">
            <v>2.5000000000000001E-3</v>
          </cell>
        </row>
        <row r="8230">
          <cell r="F8230">
            <v>2.5000000000000001E-3</v>
          </cell>
        </row>
        <row r="8231">
          <cell r="F8231">
            <v>2.5000000000000001E-3</v>
          </cell>
        </row>
        <row r="8232">
          <cell r="F8232">
            <v>2.5000000000000001E-3</v>
          </cell>
        </row>
        <row r="8233">
          <cell r="F8233">
            <v>2.3E-2</v>
          </cell>
        </row>
        <row r="8234">
          <cell r="F8234">
            <v>8.7300000000000003E-2</v>
          </cell>
        </row>
        <row r="8235">
          <cell r="F8235">
            <v>8.9499999999999996E-2</v>
          </cell>
        </row>
        <row r="8236">
          <cell r="F8236">
            <v>8.8800000000000004E-2</v>
          </cell>
        </row>
        <row r="8237">
          <cell r="F8237">
            <v>9.3200000000000005E-2</v>
          </cell>
        </row>
        <row r="8238">
          <cell r="F8238">
            <v>8.8700000000000001E-2</v>
          </cell>
        </row>
        <row r="8239">
          <cell r="F8239">
            <v>9.11E-2</v>
          </cell>
        </row>
        <row r="8240">
          <cell r="F8240">
            <v>8.8900000000000007E-2</v>
          </cell>
        </row>
        <row r="8241">
          <cell r="F8241">
            <v>8.5400000000000004E-2</v>
          </cell>
        </row>
        <row r="8242">
          <cell r="F8242">
            <v>8.6099999999999996E-2</v>
          </cell>
        </row>
        <row r="8243">
          <cell r="F8243">
            <v>8.4699999999999998E-2</v>
          </cell>
        </row>
        <row r="8244">
          <cell r="F8244">
            <v>8.2600000000000007E-2</v>
          </cell>
        </row>
        <row r="8245">
          <cell r="F8245">
            <v>8.4699999999999998E-2</v>
          </cell>
        </row>
        <row r="8246">
          <cell r="F8246">
            <v>9.0999999999999998E-2</v>
          </cell>
        </row>
        <row r="8247">
          <cell r="F8247">
            <v>9.4600000000000004E-2</v>
          </cell>
        </row>
        <row r="8248">
          <cell r="F8248">
            <v>9.5299999999999996E-2</v>
          </cell>
        </row>
        <row r="8249">
          <cell r="F8249">
            <v>9.0999999999999998E-2</v>
          </cell>
        </row>
        <row r="8250">
          <cell r="F8250">
            <v>8.1100000000000005E-2</v>
          </cell>
        </row>
        <row r="8251">
          <cell r="F8251">
            <v>7.6899999999999996E-2</v>
          </cell>
        </row>
        <row r="8252">
          <cell r="F8252">
            <v>7.6200000000000004E-2</v>
          </cell>
        </row>
        <row r="8253">
          <cell r="F8253">
            <v>6.9099999999999995E-2</v>
          </cell>
        </row>
        <row r="8254">
          <cell r="F8254">
            <v>6.6299999999999998E-2</v>
          </cell>
        </row>
        <row r="8255">
          <cell r="F8255">
            <v>5.21E-2</v>
          </cell>
        </row>
        <row r="8256">
          <cell r="F8256">
            <v>5.7099999999999998E-2</v>
          </cell>
        </row>
        <row r="8257">
          <cell r="F8257">
            <v>7.6200000000000004E-2</v>
          </cell>
        </row>
        <row r="8258">
          <cell r="F8258">
            <v>9.8900000000000002E-2</v>
          </cell>
        </row>
        <row r="8259">
          <cell r="F8259">
            <v>9.4600000000000004E-2</v>
          </cell>
        </row>
        <row r="8260">
          <cell r="F8260">
            <v>9.6000000000000002E-2</v>
          </cell>
        </row>
        <row r="8261">
          <cell r="F8261">
            <v>9.6000000000000002E-2</v>
          </cell>
        </row>
        <row r="8262">
          <cell r="F8262">
            <v>9.3899999999999997E-2</v>
          </cell>
        </row>
        <row r="8263">
          <cell r="F8263">
            <v>9.3200000000000005E-2</v>
          </cell>
        </row>
        <row r="8264">
          <cell r="F8264">
            <v>9.8799999999999999E-2</v>
          </cell>
        </row>
        <row r="8265">
          <cell r="F8265">
            <v>9.8799999999999999E-2</v>
          </cell>
        </row>
        <row r="8266">
          <cell r="F8266">
            <v>8.7499999999999994E-2</v>
          </cell>
        </row>
        <row r="8267">
          <cell r="F8267">
            <v>7.9000000000000001E-2</v>
          </cell>
        </row>
        <row r="8268">
          <cell r="F8268">
            <v>7.5499999999999998E-2</v>
          </cell>
        </row>
        <row r="8269">
          <cell r="F8269">
            <v>7.4099999999999999E-2</v>
          </cell>
        </row>
        <row r="8270">
          <cell r="F8270">
            <v>7.6200000000000004E-2</v>
          </cell>
        </row>
        <row r="8271">
          <cell r="F8271">
            <v>7.7600000000000002E-2</v>
          </cell>
        </row>
        <row r="8272">
          <cell r="F8272">
            <v>8.2600000000000007E-2</v>
          </cell>
        </row>
        <row r="8273">
          <cell r="F8273">
            <v>7.4099999999999999E-2</v>
          </cell>
        </row>
        <row r="8274">
          <cell r="F8274">
            <v>6.9099999999999995E-2</v>
          </cell>
        </row>
        <row r="8275">
          <cell r="F8275">
            <v>6.9099999999999995E-2</v>
          </cell>
        </row>
        <row r="8276">
          <cell r="F8276">
            <v>7.0599999999999996E-2</v>
          </cell>
        </row>
        <row r="8277">
          <cell r="F8277">
            <v>6.9199999999999998E-2</v>
          </cell>
        </row>
        <row r="8278">
          <cell r="F8278">
            <v>6.9199999999999998E-2</v>
          </cell>
        </row>
        <row r="8279">
          <cell r="F8279">
            <v>6.9199999999999998E-2</v>
          </cell>
        </row>
        <row r="8280">
          <cell r="F8280">
            <v>6.7799999999999999E-2</v>
          </cell>
        </row>
        <row r="8281">
          <cell r="F8281">
            <v>7.1999999999999995E-2</v>
          </cell>
        </row>
        <row r="8282">
          <cell r="F8282">
            <v>8.6800000000000002E-2</v>
          </cell>
        </row>
        <row r="8283">
          <cell r="F8283">
            <v>8.4699999999999998E-2</v>
          </cell>
        </row>
        <row r="8284">
          <cell r="F8284">
            <v>8.4000000000000005E-2</v>
          </cell>
        </row>
        <row r="8285">
          <cell r="F8285">
            <v>9.1800000000000007E-2</v>
          </cell>
        </row>
        <row r="8286">
          <cell r="F8286">
            <v>9.2499999999999999E-2</v>
          </cell>
        </row>
        <row r="8287">
          <cell r="F8287">
            <v>9.1800000000000007E-2</v>
          </cell>
        </row>
        <row r="8288">
          <cell r="F8288">
            <v>9.1800000000000007E-2</v>
          </cell>
        </row>
        <row r="8289">
          <cell r="F8289">
            <v>9.6000000000000002E-2</v>
          </cell>
        </row>
        <row r="8290">
          <cell r="F8290">
            <v>9.6699999999999994E-2</v>
          </cell>
        </row>
        <row r="8291">
          <cell r="F8291">
            <v>9.6699999999999994E-2</v>
          </cell>
        </row>
        <row r="8292">
          <cell r="F8292">
            <v>7.9699999999999993E-2</v>
          </cell>
        </row>
        <row r="8293">
          <cell r="F8293">
            <v>8.6800000000000002E-2</v>
          </cell>
        </row>
        <row r="8294">
          <cell r="F8294">
            <v>8.7499999999999994E-2</v>
          </cell>
        </row>
        <row r="8295">
          <cell r="F8295">
            <v>9.6699999999999994E-2</v>
          </cell>
        </row>
        <row r="8296">
          <cell r="F8296">
            <v>9.6699999999999994E-2</v>
          </cell>
        </row>
        <row r="8297">
          <cell r="F8297">
            <v>8.0399999999999999E-2</v>
          </cell>
        </row>
        <row r="8298">
          <cell r="F8298">
            <v>6.5600000000000006E-2</v>
          </cell>
        </row>
        <row r="8299">
          <cell r="F8299">
            <v>6.2700000000000006E-2</v>
          </cell>
        </row>
        <row r="8300">
          <cell r="F8300">
            <v>6.2899999999999998E-2</v>
          </cell>
        </row>
        <row r="8301">
          <cell r="F8301">
            <v>6.2799999999999995E-2</v>
          </cell>
        </row>
        <row r="8302">
          <cell r="F8302">
            <v>6.2199999999999998E-2</v>
          </cell>
        </row>
        <row r="8303">
          <cell r="F8303">
            <v>6.5600000000000006E-2</v>
          </cell>
        </row>
        <row r="8304">
          <cell r="F8304">
            <v>5.9299999999999999E-2</v>
          </cell>
        </row>
        <row r="8305">
          <cell r="F8305">
            <v>6.1400000000000003E-2</v>
          </cell>
        </row>
        <row r="8306">
          <cell r="F8306">
            <v>8.1199999999999994E-2</v>
          </cell>
        </row>
        <row r="8307">
          <cell r="F8307">
            <v>7.9799999999999996E-2</v>
          </cell>
        </row>
        <row r="8308">
          <cell r="F8308">
            <v>9.3299999999999994E-2</v>
          </cell>
        </row>
        <row r="8309">
          <cell r="F8309">
            <v>9.2499999999999999E-2</v>
          </cell>
        </row>
        <row r="8310">
          <cell r="F8310">
            <v>9.0899999999999995E-2</v>
          </cell>
        </row>
        <row r="8311">
          <cell r="F8311">
            <v>9.0899999999999995E-2</v>
          </cell>
        </row>
        <row r="8312">
          <cell r="F8312">
            <v>8.8099999999999998E-2</v>
          </cell>
        </row>
        <row r="8313">
          <cell r="F8313">
            <v>8.2600000000000007E-2</v>
          </cell>
        </row>
        <row r="8314">
          <cell r="F8314">
            <v>8.1799999999999998E-2</v>
          </cell>
        </row>
        <row r="8315">
          <cell r="F8315">
            <v>8.1100000000000005E-2</v>
          </cell>
        </row>
        <row r="8316">
          <cell r="F8316">
            <v>8.0399999999999999E-2</v>
          </cell>
        </row>
        <row r="8317">
          <cell r="F8317">
            <v>8.1799999999999998E-2</v>
          </cell>
        </row>
        <row r="8318">
          <cell r="F8318">
            <v>8.1100000000000005E-2</v>
          </cell>
        </row>
        <row r="8319">
          <cell r="F8319">
            <v>8.8900000000000007E-2</v>
          </cell>
        </row>
        <row r="8320">
          <cell r="F8320">
            <v>8.9599999999999999E-2</v>
          </cell>
        </row>
        <row r="8321">
          <cell r="F8321">
            <v>7.7600000000000002E-2</v>
          </cell>
        </row>
        <row r="8322">
          <cell r="F8322">
            <v>7.1300000000000002E-2</v>
          </cell>
        </row>
        <row r="8323">
          <cell r="F8323">
            <v>6.8400000000000002E-2</v>
          </cell>
        </row>
        <row r="8324">
          <cell r="F8324">
            <v>6.8400000000000002E-2</v>
          </cell>
        </row>
        <row r="8325">
          <cell r="F8325">
            <v>6.7699999999999996E-2</v>
          </cell>
        </row>
        <row r="8326">
          <cell r="F8326">
            <v>6.7699999999999996E-2</v>
          </cell>
        </row>
        <row r="8327">
          <cell r="F8327">
            <v>6.8400000000000002E-2</v>
          </cell>
        </row>
        <row r="8328">
          <cell r="F8328">
            <v>6.7699999999999996E-2</v>
          </cell>
        </row>
        <row r="8329">
          <cell r="F8329">
            <v>7.1900000000000006E-2</v>
          </cell>
        </row>
        <row r="8330">
          <cell r="F8330">
            <v>9.8100000000000007E-2</v>
          </cell>
        </row>
        <row r="8331">
          <cell r="F8331">
            <v>0.1109</v>
          </cell>
        </row>
        <row r="8332">
          <cell r="F8332">
            <v>8.77E-2</v>
          </cell>
        </row>
        <row r="8333">
          <cell r="F8333">
            <v>8.8300000000000003E-2</v>
          </cell>
        </row>
        <row r="8334">
          <cell r="F8334">
            <v>8.8999999999999996E-2</v>
          </cell>
        </row>
        <row r="8335">
          <cell r="F8335">
            <v>8.9700000000000002E-2</v>
          </cell>
        </row>
        <row r="8336">
          <cell r="F8336">
            <v>9.3899999999999997E-2</v>
          </cell>
        </row>
        <row r="8337">
          <cell r="F8337">
            <v>9.3899999999999997E-2</v>
          </cell>
        </row>
        <row r="8338">
          <cell r="F8338">
            <v>9.4600000000000004E-2</v>
          </cell>
        </row>
        <row r="8339">
          <cell r="F8339">
            <v>9.4600000000000004E-2</v>
          </cell>
        </row>
        <row r="8340">
          <cell r="F8340">
            <v>9.0300000000000005E-2</v>
          </cell>
        </row>
        <row r="8341">
          <cell r="F8341">
            <v>9.4600000000000004E-2</v>
          </cell>
        </row>
        <row r="8342">
          <cell r="F8342">
            <v>9.4600000000000004E-2</v>
          </cell>
        </row>
        <row r="8343">
          <cell r="F8343">
            <v>9.4600000000000004E-2</v>
          </cell>
        </row>
        <row r="8344">
          <cell r="F8344">
            <v>9.3899999999999997E-2</v>
          </cell>
        </row>
        <row r="8345">
          <cell r="F8345">
            <v>7.8299999999999995E-2</v>
          </cell>
        </row>
        <row r="8346">
          <cell r="F8346">
            <v>6.9800000000000001E-2</v>
          </cell>
        </row>
        <row r="8347">
          <cell r="F8347">
            <v>6.2E-2</v>
          </cell>
        </row>
        <row r="8348">
          <cell r="F8348">
            <v>6.2700000000000006E-2</v>
          </cell>
        </row>
        <row r="8349">
          <cell r="F8349">
            <v>6.2E-2</v>
          </cell>
        </row>
        <row r="8350">
          <cell r="F8350">
            <v>6.13E-2</v>
          </cell>
        </row>
        <row r="8351">
          <cell r="F8351">
            <v>6.2E-2</v>
          </cell>
        </row>
        <row r="8352">
          <cell r="F8352">
            <v>6.7699999999999996E-2</v>
          </cell>
        </row>
        <row r="8353">
          <cell r="F8353">
            <v>6.9800000000000001E-2</v>
          </cell>
        </row>
        <row r="8354">
          <cell r="F8354">
            <v>8.5800000000000001E-2</v>
          </cell>
        </row>
        <row r="8355">
          <cell r="F8355">
            <v>0.1081</v>
          </cell>
        </row>
        <row r="8356">
          <cell r="F8356">
            <v>9.6000000000000002E-2</v>
          </cell>
        </row>
        <row r="8357">
          <cell r="F8357">
            <v>8.2600000000000007E-2</v>
          </cell>
        </row>
        <row r="8358">
          <cell r="F8358">
            <v>8.2600000000000007E-2</v>
          </cell>
        </row>
        <row r="8359">
          <cell r="F8359">
            <v>8.2600000000000007E-2</v>
          </cell>
        </row>
        <row r="8360">
          <cell r="F8360">
            <v>8.5400000000000004E-2</v>
          </cell>
        </row>
        <row r="8361">
          <cell r="F8361">
            <v>8.6800000000000002E-2</v>
          </cell>
        </row>
        <row r="8362">
          <cell r="F8362">
            <v>8.4699999999999998E-2</v>
          </cell>
        </row>
        <row r="8363">
          <cell r="F8363">
            <v>8.3299999999999999E-2</v>
          </cell>
        </row>
        <row r="8364">
          <cell r="F8364">
            <v>7.9699999999999993E-2</v>
          </cell>
        </row>
        <row r="8365">
          <cell r="F8365">
            <v>7.6899999999999996E-2</v>
          </cell>
        </row>
        <row r="8366">
          <cell r="F8366">
            <v>8.4699999999999998E-2</v>
          </cell>
        </row>
        <row r="8367">
          <cell r="F8367">
            <v>8.8200000000000001E-2</v>
          </cell>
        </row>
        <row r="8368">
          <cell r="F8368">
            <v>8.8900000000000007E-2</v>
          </cell>
        </row>
        <row r="8369">
          <cell r="F8369">
            <v>6.2700000000000006E-2</v>
          </cell>
        </row>
        <row r="8370">
          <cell r="F8370">
            <v>5.4300000000000001E-2</v>
          </cell>
        </row>
        <row r="8371">
          <cell r="F8371">
            <v>4.0800000000000003E-2</v>
          </cell>
        </row>
        <row r="8372">
          <cell r="F8372">
            <v>2.3900000000000001E-2</v>
          </cell>
        </row>
        <row r="8373">
          <cell r="F8373">
            <v>2.53E-2</v>
          </cell>
        </row>
        <row r="8374">
          <cell r="F8374">
            <v>2.0299999999999999E-2</v>
          </cell>
        </row>
        <row r="8375">
          <cell r="F8375">
            <v>1.7500000000000002E-2</v>
          </cell>
        </row>
        <row r="8376">
          <cell r="F8376">
            <v>1.9599999999999999E-2</v>
          </cell>
        </row>
        <row r="8377">
          <cell r="F8377">
            <v>4.9299999999999997E-2</v>
          </cell>
        </row>
        <row r="8378">
          <cell r="F8378">
            <v>9.3200000000000005E-2</v>
          </cell>
        </row>
        <row r="8379">
          <cell r="F8379">
            <v>9.9599999999999994E-2</v>
          </cell>
        </row>
        <row r="8380">
          <cell r="F8380">
            <v>8.8999999999999996E-2</v>
          </cell>
        </row>
        <row r="8381">
          <cell r="F8381">
            <v>7.1999999999999995E-2</v>
          </cell>
        </row>
        <row r="8382">
          <cell r="F8382">
            <v>7.1300000000000002E-2</v>
          </cell>
        </row>
        <row r="8383">
          <cell r="F8383">
            <v>7.0499999999999993E-2</v>
          </cell>
        </row>
        <row r="8384">
          <cell r="F8384">
            <v>6.9800000000000001E-2</v>
          </cell>
        </row>
        <row r="8385">
          <cell r="F8385">
            <v>6.8400000000000002E-2</v>
          </cell>
        </row>
        <row r="8386">
          <cell r="F8386">
            <v>8.8200000000000001E-2</v>
          </cell>
        </row>
        <row r="8387">
          <cell r="F8387">
            <v>8.1799999999999998E-2</v>
          </cell>
        </row>
        <row r="8388">
          <cell r="F8388">
            <v>7.1900000000000006E-2</v>
          </cell>
        </row>
        <row r="8389">
          <cell r="F8389">
            <v>6.2700000000000006E-2</v>
          </cell>
        </row>
        <row r="8390">
          <cell r="F8390">
            <v>6.2700000000000006E-2</v>
          </cell>
        </row>
        <row r="8391">
          <cell r="F8391">
            <v>6.2700000000000006E-2</v>
          </cell>
        </row>
        <row r="8392">
          <cell r="F8392">
            <v>6.4199999999999993E-2</v>
          </cell>
        </row>
        <row r="8393">
          <cell r="F8393">
            <v>6.4199999999999993E-2</v>
          </cell>
        </row>
        <row r="8394">
          <cell r="F8394">
            <v>6.8999999999999999E-3</v>
          </cell>
        </row>
        <row r="8395">
          <cell r="F8395">
            <v>2.5999999999999999E-3</v>
          </cell>
        </row>
        <row r="8396">
          <cell r="F8396">
            <v>1.1999999999999999E-3</v>
          </cell>
        </row>
        <row r="8397">
          <cell r="F8397">
            <v>0</v>
          </cell>
        </row>
        <row r="8398">
          <cell r="F8398">
            <v>0</v>
          </cell>
        </row>
        <row r="8399">
          <cell r="F8399">
            <v>0</v>
          </cell>
        </row>
        <row r="8400">
          <cell r="F8400">
            <v>0</v>
          </cell>
        </row>
        <row r="8401">
          <cell r="F8401">
            <v>2.5999999999999999E-3</v>
          </cell>
        </row>
        <row r="8402">
          <cell r="F8402">
            <v>9.0999999999999998E-2</v>
          </cell>
        </row>
        <row r="8403">
          <cell r="F8403">
            <v>7.6200000000000004E-2</v>
          </cell>
        </row>
        <row r="8404">
          <cell r="F8404">
            <v>6.9199999999999998E-2</v>
          </cell>
        </row>
        <row r="8405">
          <cell r="F8405">
            <v>6.9900000000000004E-2</v>
          </cell>
        </row>
        <row r="8406">
          <cell r="F8406">
            <v>7.1300000000000002E-2</v>
          </cell>
        </row>
        <row r="8407">
          <cell r="F8407">
            <v>7.6200000000000004E-2</v>
          </cell>
        </row>
        <row r="8408">
          <cell r="F8408">
            <v>7.6200000000000004E-2</v>
          </cell>
        </row>
        <row r="8409">
          <cell r="F8409">
            <v>8.8900000000000007E-2</v>
          </cell>
        </row>
        <row r="8410">
          <cell r="F8410">
            <v>9.0300000000000005E-2</v>
          </cell>
        </row>
        <row r="8411">
          <cell r="F8411">
            <v>8.8900000000000007E-2</v>
          </cell>
        </row>
        <row r="8412">
          <cell r="F8412">
            <v>8.5400000000000004E-2</v>
          </cell>
        </row>
        <row r="8413">
          <cell r="F8413">
            <v>8.4699999999999998E-2</v>
          </cell>
        </row>
        <row r="8414">
          <cell r="F8414">
            <v>8.4000000000000005E-2</v>
          </cell>
        </row>
        <row r="8415">
          <cell r="F8415">
            <v>9.3200000000000005E-2</v>
          </cell>
        </row>
        <row r="8416">
          <cell r="F8416">
            <v>9.5299999999999996E-2</v>
          </cell>
        </row>
        <row r="8417">
          <cell r="F8417">
            <v>7.9000000000000001E-2</v>
          </cell>
        </row>
        <row r="8418">
          <cell r="F8418">
            <v>6.0600000000000001E-2</v>
          </cell>
        </row>
        <row r="8419">
          <cell r="F8419">
            <v>5.9900000000000002E-2</v>
          </cell>
        </row>
        <row r="8420">
          <cell r="F8420">
            <v>6.3E-2</v>
          </cell>
        </row>
        <row r="8421">
          <cell r="F8421">
            <v>6.0199999999999997E-2</v>
          </cell>
        </row>
        <row r="8422">
          <cell r="F8422">
            <v>5.45E-2</v>
          </cell>
        </row>
        <row r="8423">
          <cell r="F8423">
            <v>5.6599999999999998E-2</v>
          </cell>
        </row>
        <row r="8424">
          <cell r="F8424">
            <v>5.2400000000000002E-2</v>
          </cell>
        </row>
        <row r="8425">
          <cell r="F8425">
            <v>6.0199999999999997E-2</v>
          </cell>
        </row>
        <row r="8426">
          <cell r="F8426">
            <v>9.3200000000000005E-2</v>
          </cell>
        </row>
        <row r="8427">
          <cell r="F8427">
            <v>8.5400000000000004E-2</v>
          </cell>
        </row>
        <row r="8428">
          <cell r="F8428">
            <v>8.0100000000000005E-2</v>
          </cell>
        </row>
        <row r="8429">
          <cell r="F8429">
            <v>7.5800000000000006E-2</v>
          </cell>
        </row>
        <row r="8430">
          <cell r="F8430">
            <v>7.6499999999999999E-2</v>
          </cell>
        </row>
        <row r="8431">
          <cell r="F8431">
            <v>7.6499999999999999E-2</v>
          </cell>
        </row>
        <row r="8432">
          <cell r="F8432">
            <v>8.9200000000000002E-2</v>
          </cell>
        </row>
        <row r="8433">
          <cell r="F8433">
            <v>8.5599999999999996E-2</v>
          </cell>
        </row>
        <row r="8434">
          <cell r="F8434">
            <v>8.2100000000000006E-2</v>
          </cell>
        </row>
        <row r="8435">
          <cell r="F8435">
            <v>7.4999999999999997E-2</v>
          </cell>
        </row>
        <row r="8436">
          <cell r="F8436">
            <v>7.3599999999999999E-2</v>
          </cell>
        </row>
        <row r="8437">
          <cell r="F8437">
            <v>7.2900000000000006E-2</v>
          </cell>
        </row>
        <row r="8438">
          <cell r="F8438">
            <v>7.5700000000000003E-2</v>
          </cell>
        </row>
        <row r="8439">
          <cell r="F8439">
            <v>8.7800000000000003E-2</v>
          </cell>
        </row>
        <row r="8440">
          <cell r="F8440">
            <v>8.7800000000000003E-2</v>
          </cell>
        </row>
        <row r="8441">
          <cell r="F8441">
            <v>7.6499999999999999E-2</v>
          </cell>
        </row>
        <row r="8442">
          <cell r="F8442">
            <v>6.0699999999999997E-2</v>
          </cell>
        </row>
        <row r="8443">
          <cell r="F8443">
            <v>5.9200000000000003E-2</v>
          </cell>
        </row>
        <row r="8444">
          <cell r="F8444">
            <v>5.9200000000000003E-2</v>
          </cell>
        </row>
        <row r="8445">
          <cell r="F8445">
            <v>5.9200000000000003E-2</v>
          </cell>
        </row>
        <row r="8446">
          <cell r="F8446">
            <v>5.8500000000000003E-2</v>
          </cell>
        </row>
        <row r="8447">
          <cell r="F8447">
            <v>5.7099999999999998E-2</v>
          </cell>
        </row>
        <row r="8448">
          <cell r="F8448">
            <v>5.5E-2</v>
          </cell>
        </row>
        <row r="8449">
          <cell r="F8449">
            <v>5.7799999999999997E-2</v>
          </cell>
        </row>
        <row r="8450">
          <cell r="F8450">
            <v>8.4699999999999998E-2</v>
          </cell>
        </row>
        <row r="8451">
          <cell r="F8451">
            <v>8.1900000000000001E-2</v>
          </cell>
        </row>
        <row r="8452">
          <cell r="F8452">
            <v>7.2099999999999997E-2</v>
          </cell>
        </row>
        <row r="8453">
          <cell r="F8453">
            <v>7.2800000000000004E-2</v>
          </cell>
        </row>
        <row r="8454">
          <cell r="F8454">
            <v>8.3400000000000002E-2</v>
          </cell>
        </row>
        <row r="8455">
          <cell r="F8455">
            <v>8.3299999999999999E-2</v>
          </cell>
        </row>
        <row r="8456">
          <cell r="F8456">
            <v>8.7499999999999994E-2</v>
          </cell>
        </row>
        <row r="8457">
          <cell r="F8457">
            <v>8.7499999999999994E-2</v>
          </cell>
        </row>
        <row r="8458">
          <cell r="F8458">
            <v>9.5299999999999996E-2</v>
          </cell>
        </row>
        <row r="8459">
          <cell r="F8459">
            <v>9.6000000000000002E-2</v>
          </cell>
        </row>
        <row r="8460">
          <cell r="F8460">
            <v>9.3899999999999997E-2</v>
          </cell>
        </row>
        <row r="8461">
          <cell r="F8461">
            <v>8.8099999999999998E-2</v>
          </cell>
        </row>
        <row r="8462">
          <cell r="F8462">
            <v>8.8800000000000004E-2</v>
          </cell>
        </row>
        <row r="8463">
          <cell r="F8463">
            <v>9.0899999999999995E-2</v>
          </cell>
        </row>
        <row r="8464">
          <cell r="F8464">
            <v>9.6699999999999994E-2</v>
          </cell>
        </row>
        <row r="8465">
          <cell r="F8465">
            <v>8.5400000000000004E-2</v>
          </cell>
        </row>
        <row r="8466">
          <cell r="F8466">
            <v>6.2E-2</v>
          </cell>
        </row>
        <row r="8467">
          <cell r="F8467">
            <v>6.13E-2</v>
          </cell>
        </row>
        <row r="8468">
          <cell r="F8468">
            <v>6.2E-2</v>
          </cell>
        </row>
        <row r="8469">
          <cell r="F8469">
            <v>6.13E-2</v>
          </cell>
        </row>
        <row r="8470">
          <cell r="F8470">
            <v>6.0600000000000001E-2</v>
          </cell>
        </row>
        <row r="8471">
          <cell r="F8471">
            <v>6.0600000000000001E-2</v>
          </cell>
        </row>
        <row r="8472">
          <cell r="F8472">
            <v>5.9200000000000003E-2</v>
          </cell>
        </row>
        <row r="8473">
          <cell r="F8473">
            <v>6.0600000000000001E-2</v>
          </cell>
        </row>
        <row r="8474">
          <cell r="F8474">
            <v>0.09</v>
          </cell>
        </row>
        <row r="8475">
          <cell r="F8475">
            <v>9.2100000000000001E-2</v>
          </cell>
        </row>
        <row r="8476">
          <cell r="F8476">
            <v>8.5900000000000004E-2</v>
          </cell>
        </row>
        <row r="8477">
          <cell r="F8477">
            <v>7.8799999999999995E-2</v>
          </cell>
        </row>
        <row r="8478">
          <cell r="F8478">
            <v>7.9500000000000001E-2</v>
          </cell>
        </row>
        <row r="8479">
          <cell r="F8479">
            <v>0.1053</v>
          </cell>
        </row>
        <row r="8480">
          <cell r="F8480">
            <v>9.8100000000000007E-2</v>
          </cell>
        </row>
        <row r="8481">
          <cell r="F8481">
            <v>9.0300000000000005E-2</v>
          </cell>
        </row>
        <row r="8482">
          <cell r="F8482">
            <v>9.0999999999999998E-2</v>
          </cell>
        </row>
        <row r="8483">
          <cell r="F8483">
            <v>9.8799999999999999E-2</v>
          </cell>
        </row>
        <row r="8484">
          <cell r="F8484">
            <v>9.8100000000000007E-2</v>
          </cell>
        </row>
        <row r="8485">
          <cell r="F8485">
            <v>0.1017</v>
          </cell>
        </row>
        <row r="8486">
          <cell r="F8486">
            <v>0.1017</v>
          </cell>
        </row>
        <row r="8487">
          <cell r="F8487">
            <v>0.1017</v>
          </cell>
        </row>
        <row r="8488">
          <cell r="F8488">
            <v>9.0300000000000005E-2</v>
          </cell>
        </row>
        <row r="8489">
          <cell r="F8489">
            <v>9.6000000000000002E-2</v>
          </cell>
        </row>
        <row r="8490">
          <cell r="F8490">
            <v>7.1199999999999999E-2</v>
          </cell>
        </row>
        <row r="8491">
          <cell r="F8491">
            <v>6.3500000000000001E-2</v>
          </cell>
        </row>
        <row r="8492">
          <cell r="F8492">
            <v>6.3500000000000001E-2</v>
          </cell>
        </row>
        <row r="8493">
          <cell r="F8493">
            <v>6.4199999999999993E-2</v>
          </cell>
        </row>
        <row r="8494">
          <cell r="F8494">
            <v>6.4199999999999993E-2</v>
          </cell>
        </row>
        <row r="8495">
          <cell r="F8495">
            <v>6.2700000000000006E-2</v>
          </cell>
        </row>
        <row r="8496">
          <cell r="F8496">
            <v>6.2E-2</v>
          </cell>
        </row>
        <row r="8497">
          <cell r="F8497">
            <v>6.9800000000000001E-2</v>
          </cell>
        </row>
        <row r="8498">
          <cell r="F8498">
            <v>0.1038</v>
          </cell>
        </row>
        <row r="8499">
          <cell r="F8499">
            <v>0.1159</v>
          </cell>
        </row>
        <row r="8500">
          <cell r="F8500">
            <v>9.9000000000000005E-2</v>
          </cell>
        </row>
        <row r="8501">
          <cell r="F8501">
            <v>9.9000000000000005E-2</v>
          </cell>
        </row>
        <row r="8502">
          <cell r="F8502">
            <v>9.8900000000000002E-2</v>
          </cell>
        </row>
        <row r="8503">
          <cell r="F8503">
            <v>9.9599999999999994E-2</v>
          </cell>
        </row>
        <row r="8504">
          <cell r="F8504">
            <v>9.9500000000000005E-2</v>
          </cell>
        </row>
        <row r="8505">
          <cell r="F8505">
            <v>9.4600000000000004E-2</v>
          </cell>
        </row>
        <row r="8506">
          <cell r="F8506">
            <v>9.6000000000000002E-2</v>
          </cell>
        </row>
        <row r="8507">
          <cell r="F8507">
            <v>9.5299999999999996E-2</v>
          </cell>
        </row>
        <row r="8508">
          <cell r="F8508">
            <v>9.3899999999999997E-2</v>
          </cell>
        </row>
        <row r="8509">
          <cell r="F8509">
            <v>9.3899999999999997E-2</v>
          </cell>
        </row>
        <row r="8510">
          <cell r="F8510">
            <v>9.3899999999999997E-2</v>
          </cell>
        </row>
        <row r="8511">
          <cell r="F8511">
            <v>9.5299999999999996E-2</v>
          </cell>
        </row>
        <row r="8512">
          <cell r="F8512">
            <v>0.1024</v>
          </cell>
        </row>
        <row r="8513">
          <cell r="F8513">
            <v>0.1017</v>
          </cell>
        </row>
        <row r="8514">
          <cell r="F8514">
            <v>7.1900000000000006E-2</v>
          </cell>
        </row>
        <row r="8515">
          <cell r="F8515">
            <v>5.9200000000000003E-2</v>
          </cell>
        </row>
        <row r="8516">
          <cell r="F8516">
            <v>5.9900000000000002E-2</v>
          </cell>
        </row>
        <row r="8517">
          <cell r="F8517">
            <v>5.8500000000000003E-2</v>
          </cell>
        </row>
        <row r="8518">
          <cell r="F8518">
            <v>5.8500000000000003E-2</v>
          </cell>
        </row>
        <row r="8519">
          <cell r="F8519">
            <v>5.7099999999999998E-2</v>
          </cell>
        </row>
        <row r="8520">
          <cell r="F8520">
            <v>5.57E-2</v>
          </cell>
        </row>
        <row r="8521">
          <cell r="F8521">
            <v>5.9900000000000002E-2</v>
          </cell>
        </row>
        <row r="8522">
          <cell r="F8522">
            <v>9.4600000000000004E-2</v>
          </cell>
        </row>
        <row r="8523">
          <cell r="F8523">
            <v>0.1173</v>
          </cell>
        </row>
        <row r="8524">
          <cell r="F8524">
            <v>0.11020000000000001</v>
          </cell>
        </row>
        <row r="8525">
          <cell r="F8525">
            <v>0.1109</v>
          </cell>
        </row>
        <row r="8526">
          <cell r="F8526">
            <v>8.4000000000000005E-2</v>
          </cell>
        </row>
        <row r="8527">
          <cell r="F8527">
            <v>8.4000000000000005E-2</v>
          </cell>
        </row>
        <row r="8528">
          <cell r="F8528">
            <v>8.3299999999999999E-2</v>
          </cell>
        </row>
        <row r="8529">
          <cell r="F8529">
            <v>8.4699999999999998E-2</v>
          </cell>
        </row>
        <row r="8530">
          <cell r="F8530">
            <v>9.0300000000000005E-2</v>
          </cell>
        </row>
        <row r="8531">
          <cell r="F8531">
            <v>8.4699999999999998E-2</v>
          </cell>
        </row>
        <row r="8532">
          <cell r="F8532">
            <v>7.9000000000000001E-2</v>
          </cell>
        </row>
        <row r="8533">
          <cell r="F8533">
            <v>6.9099999999999995E-2</v>
          </cell>
        </row>
        <row r="8534">
          <cell r="F8534">
            <v>6.7000000000000004E-2</v>
          </cell>
        </row>
        <row r="8535">
          <cell r="F8535">
            <v>6.9099999999999995E-2</v>
          </cell>
        </row>
        <row r="8536">
          <cell r="F8536">
            <v>8.0399999999999999E-2</v>
          </cell>
        </row>
        <row r="8537">
          <cell r="F8537">
            <v>6.3500000000000001E-2</v>
          </cell>
        </row>
        <row r="8538">
          <cell r="F8538">
            <v>4.7899999999999998E-2</v>
          </cell>
        </row>
        <row r="8539">
          <cell r="F8539">
            <v>2.5999999999999999E-3</v>
          </cell>
        </row>
        <row r="8540">
          <cell r="F8540">
            <v>0</v>
          </cell>
        </row>
        <row r="8541">
          <cell r="F8541">
            <v>0</v>
          </cell>
        </row>
        <row r="8542">
          <cell r="F8542">
            <v>1.5800000000000002E-2</v>
          </cell>
        </row>
        <row r="8543">
          <cell r="F8543">
            <v>1.12E-2</v>
          </cell>
        </row>
        <row r="8544">
          <cell r="F8544">
            <v>1.12E-2</v>
          </cell>
        </row>
        <row r="8545">
          <cell r="F8545">
            <v>6.5600000000000006E-2</v>
          </cell>
        </row>
        <row r="8546">
          <cell r="F8546">
            <v>8.8900000000000007E-2</v>
          </cell>
        </row>
        <row r="8547">
          <cell r="F8547">
            <v>6.9099999999999995E-2</v>
          </cell>
        </row>
        <row r="8548">
          <cell r="F8548">
            <v>7.8399999999999997E-2</v>
          </cell>
        </row>
        <row r="8549">
          <cell r="F8549">
            <v>6.6400000000000001E-2</v>
          </cell>
        </row>
        <row r="8550">
          <cell r="F8550">
            <v>7.6200000000000004E-2</v>
          </cell>
        </row>
        <row r="8551">
          <cell r="F8551">
            <v>7.4800000000000005E-2</v>
          </cell>
        </row>
        <row r="8552">
          <cell r="F8552">
            <v>9.6000000000000002E-2</v>
          </cell>
        </row>
        <row r="8553">
          <cell r="F8553">
            <v>8.3299999999999999E-2</v>
          </cell>
        </row>
        <row r="8554">
          <cell r="F8554">
            <v>7.9000000000000001E-2</v>
          </cell>
        </row>
        <row r="8555">
          <cell r="F8555">
            <v>7.4800000000000005E-2</v>
          </cell>
        </row>
        <row r="8556">
          <cell r="F8556">
            <v>7.2700000000000001E-2</v>
          </cell>
        </row>
        <row r="8557">
          <cell r="F8557">
            <v>6.9099999999999995E-2</v>
          </cell>
        </row>
        <row r="8558">
          <cell r="F8558">
            <v>6.7699999999999996E-2</v>
          </cell>
        </row>
        <row r="8559">
          <cell r="F8559">
            <v>6.9099999999999995E-2</v>
          </cell>
        </row>
        <row r="8560">
          <cell r="F8560">
            <v>6.4899999999999999E-2</v>
          </cell>
        </row>
        <row r="8561">
          <cell r="F8561">
            <v>7.3400000000000007E-2</v>
          </cell>
        </row>
        <row r="8562">
          <cell r="F8562">
            <v>1.4E-2</v>
          </cell>
        </row>
        <row r="8563">
          <cell r="F8563">
            <v>6.8999999999999999E-3</v>
          </cell>
        </row>
        <row r="8564">
          <cell r="F8564">
            <v>6.8999999999999999E-3</v>
          </cell>
        </row>
        <row r="8565">
          <cell r="F8565">
            <v>6.8999999999999999E-3</v>
          </cell>
        </row>
        <row r="8566">
          <cell r="F8566">
            <v>1.83E-2</v>
          </cell>
        </row>
        <row r="8567">
          <cell r="F8567">
            <v>0</v>
          </cell>
        </row>
        <row r="8568">
          <cell r="F8568">
            <v>0</v>
          </cell>
        </row>
        <row r="8569">
          <cell r="F8569">
            <v>0</v>
          </cell>
        </row>
        <row r="8570">
          <cell r="F8570">
            <v>7.4099999999999999E-2</v>
          </cell>
        </row>
        <row r="8571">
          <cell r="F8571">
            <v>0.10100000000000001</v>
          </cell>
        </row>
        <row r="8572">
          <cell r="F8572">
            <v>8.2699999999999996E-2</v>
          </cell>
        </row>
        <row r="8573">
          <cell r="F8573">
            <v>7.6899999999999996E-2</v>
          </cell>
        </row>
        <row r="8574">
          <cell r="F8574">
            <v>7.4700000000000003E-2</v>
          </cell>
        </row>
        <row r="8575">
          <cell r="F8575">
            <v>7.4700000000000003E-2</v>
          </cell>
        </row>
        <row r="8576">
          <cell r="F8576">
            <v>7.1800000000000003E-2</v>
          </cell>
        </row>
        <row r="8577">
          <cell r="F8577">
            <v>8.3799999999999999E-2</v>
          </cell>
        </row>
        <row r="8578">
          <cell r="F8578">
            <v>9.1600000000000001E-2</v>
          </cell>
        </row>
        <row r="8579">
          <cell r="F8579">
            <v>8.8099999999999998E-2</v>
          </cell>
        </row>
        <row r="8580">
          <cell r="F8580">
            <v>8.4500000000000006E-2</v>
          </cell>
        </row>
        <row r="8581">
          <cell r="F8581">
            <v>8.5199999999999998E-2</v>
          </cell>
        </row>
        <row r="8582">
          <cell r="F8582">
            <v>8.8099999999999998E-2</v>
          </cell>
        </row>
        <row r="8583">
          <cell r="F8583">
            <v>9.3700000000000006E-2</v>
          </cell>
        </row>
        <row r="8584">
          <cell r="F8584">
            <v>9.5799999999999996E-2</v>
          </cell>
        </row>
        <row r="8585">
          <cell r="F8585">
            <v>8.1900000000000001E-2</v>
          </cell>
        </row>
        <row r="8586">
          <cell r="F8586">
            <v>6.8400000000000002E-2</v>
          </cell>
        </row>
        <row r="8587">
          <cell r="F8587">
            <v>6.2700000000000006E-2</v>
          </cell>
        </row>
        <row r="8588">
          <cell r="F8588">
            <v>5.6399999999999999E-2</v>
          </cell>
        </row>
        <row r="8589">
          <cell r="F8589">
            <v>3.3000000000000002E-2</v>
          </cell>
        </row>
        <row r="8590">
          <cell r="F8590">
            <v>6.8999999999999999E-3</v>
          </cell>
        </row>
        <row r="8591">
          <cell r="F8591">
            <v>6.8999999999999999E-3</v>
          </cell>
        </row>
        <row r="8592">
          <cell r="F8592">
            <v>6.8999999999999999E-3</v>
          </cell>
        </row>
        <row r="8593">
          <cell r="F8593">
            <v>5.6399999999999999E-2</v>
          </cell>
        </row>
        <row r="8594">
          <cell r="F8594">
            <v>8.6099999999999996E-2</v>
          </cell>
        </row>
        <row r="8595">
          <cell r="F8595">
            <v>0.1052</v>
          </cell>
        </row>
        <row r="8596">
          <cell r="F8596">
            <v>9.6100000000000005E-2</v>
          </cell>
        </row>
        <row r="8597">
          <cell r="F8597">
            <v>9.6100000000000005E-2</v>
          </cell>
        </row>
        <row r="8598">
          <cell r="F8598">
            <v>9.6000000000000002E-2</v>
          </cell>
        </row>
        <row r="8599">
          <cell r="F8599">
            <v>9.5299999999999996E-2</v>
          </cell>
        </row>
        <row r="8600">
          <cell r="F8600">
            <v>0.1052</v>
          </cell>
        </row>
        <row r="8601">
          <cell r="F8601">
            <v>0.1052</v>
          </cell>
        </row>
        <row r="8602">
          <cell r="F8602">
            <v>8.8200000000000001E-2</v>
          </cell>
        </row>
        <row r="8603">
          <cell r="F8603">
            <v>8.4699999999999998E-2</v>
          </cell>
        </row>
        <row r="8604">
          <cell r="F8604">
            <v>8.3299999999999999E-2</v>
          </cell>
        </row>
        <row r="8605">
          <cell r="F8605">
            <v>7.9799999999999996E-2</v>
          </cell>
        </row>
        <row r="8606">
          <cell r="F8606">
            <v>7.9100000000000004E-2</v>
          </cell>
        </row>
        <row r="8607">
          <cell r="F8607">
            <v>8.6099999999999996E-2</v>
          </cell>
        </row>
        <row r="8608">
          <cell r="F8608">
            <v>8.5400000000000004E-2</v>
          </cell>
        </row>
        <row r="8609">
          <cell r="F8609">
            <v>6.7699999999999996E-2</v>
          </cell>
        </row>
        <row r="8610">
          <cell r="F8610">
            <v>6.2799999999999995E-2</v>
          </cell>
        </row>
        <row r="8611">
          <cell r="F8611">
            <v>5.57E-2</v>
          </cell>
        </row>
        <row r="8612">
          <cell r="F8612">
            <v>5.5E-2</v>
          </cell>
        </row>
        <row r="8613">
          <cell r="F8613">
            <v>5.1400000000000001E-2</v>
          </cell>
        </row>
        <row r="8614">
          <cell r="F8614">
            <v>4.36E-2</v>
          </cell>
        </row>
        <row r="8615">
          <cell r="F8615">
            <v>1.7500000000000002E-2</v>
          </cell>
        </row>
        <row r="8616">
          <cell r="F8616">
            <v>2.5999999999999999E-3</v>
          </cell>
        </row>
        <row r="8617">
          <cell r="F8617">
            <v>5.7799999999999997E-2</v>
          </cell>
        </row>
        <row r="8618">
          <cell r="F8618">
            <v>8.6099999999999996E-2</v>
          </cell>
        </row>
        <row r="8619">
          <cell r="F8619">
            <v>9.0399999999999994E-2</v>
          </cell>
        </row>
        <row r="8620">
          <cell r="F8620">
            <v>8.4099999999999994E-2</v>
          </cell>
        </row>
        <row r="8621">
          <cell r="F8621">
            <v>8.3400000000000002E-2</v>
          </cell>
        </row>
        <row r="8622">
          <cell r="F8622">
            <v>8.4099999999999994E-2</v>
          </cell>
        </row>
        <row r="8623">
          <cell r="F8623">
            <v>8.4000000000000005E-2</v>
          </cell>
        </row>
        <row r="8624">
          <cell r="F8624">
            <v>8.6099999999999996E-2</v>
          </cell>
        </row>
        <row r="8625">
          <cell r="F8625">
            <v>8.8200000000000001E-2</v>
          </cell>
        </row>
        <row r="8626">
          <cell r="F8626">
            <v>8.8200000000000001E-2</v>
          </cell>
        </row>
        <row r="8627">
          <cell r="F8627">
            <v>8.8200000000000001E-2</v>
          </cell>
        </row>
        <row r="8628">
          <cell r="F8628">
            <v>8.8200000000000001E-2</v>
          </cell>
        </row>
        <row r="8629">
          <cell r="F8629">
            <v>8.8200000000000001E-2</v>
          </cell>
        </row>
        <row r="8630">
          <cell r="F8630">
            <v>8.8200000000000001E-2</v>
          </cell>
        </row>
        <row r="8631">
          <cell r="F8631">
            <v>8.8200000000000001E-2</v>
          </cell>
        </row>
        <row r="8632">
          <cell r="F8632">
            <v>0.19620000000000001</v>
          </cell>
        </row>
        <row r="8633">
          <cell r="F8633">
            <v>9.11E-2</v>
          </cell>
        </row>
        <row r="8634">
          <cell r="F8634">
            <v>9.11E-2</v>
          </cell>
        </row>
        <row r="8635">
          <cell r="F8635">
            <v>7.9000000000000001E-2</v>
          </cell>
        </row>
        <row r="8636">
          <cell r="F8636">
            <v>7.3400000000000007E-2</v>
          </cell>
        </row>
        <row r="8637">
          <cell r="F8637">
            <v>7.1900000000000006E-2</v>
          </cell>
        </row>
        <row r="8638">
          <cell r="F8638">
            <v>6.9800000000000001E-2</v>
          </cell>
        </row>
        <row r="8639">
          <cell r="F8639">
            <v>7.4800000000000005E-2</v>
          </cell>
        </row>
        <row r="8640">
          <cell r="F8640">
            <v>7.1900000000000006E-2</v>
          </cell>
        </row>
        <row r="8641">
          <cell r="F8641">
            <v>8.3299999999999999E-2</v>
          </cell>
        </row>
        <row r="8642">
          <cell r="F8642">
            <v>9.1800000000000007E-2</v>
          </cell>
        </row>
        <row r="8643">
          <cell r="F8643">
            <v>0.1024</v>
          </cell>
        </row>
        <row r="8644">
          <cell r="F8644">
            <v>0.1032</v>
          </cell>
        </row>
        <row r="8645">
          <cell r="F8645">
            <v>8.6900000000000005E-2</v>
          </cell>
        </row>
        <row r="8646">
          <cell r="F8646">
            <v>8.8300000000000003E-2</v>
          </cell>
        </row>
        <row r="8647">
          <cell r="F8647">
            <v>9.3899999999999997E-2</v>
          </cell>
        </row>
        <row r="8648">
          <cell r="F8648">
            <v>8.8900000000000007E-2</v>
          </cell>
        </row>
        <row r="8649">
          <cell r="F8649">
            <v>8.8200000000000001E-2</v>
          </cell>
        </row>
        <row r="8650">
          <cell r="F8650">
            <v>8.8200000000000001E-2</v>
          </cell>
        </row>
        <row r="8651">
          <cell r="F8651">
            <v>8.8200000000000001E-2</v>
          </cell>
        </row>
        <row r="8652">
          <cell r="F8652">
            <v>8.8200000000000001E-2</v>
          </cell>
        </row>
        <row r="8653">
          <cell r="F8653">
            <v>8.8200000000000001E-2</v>
          </cell>
        </row>
        <row r="8654">
          <cell r="F8654">
            <v>8.8200000000000001E-2</v>
          </cell>
        </row>
        <row r="8655">
          <cell r="F8655">
            <v>8.8200000000000001E-2</v>
          </cell>
        </row>
        <row r="8656">
          <cell r="F8656">
            <v>9.0300000000000005E-2</v>
          </cell>
        </row>
        <row r="8657">
          <cell r="F8657">
            <v>9.74E-2</v>
          </cell>
        </row>
        <row r="8658">
          <cell r="F8658">
            <v>9.2499999999999999E-2</v>
          </cell>
        </row>
        <row r="8659">
          <cell r="F8659">
            <v>8.3299999999999999E-2</v>
          </cell>
        </row>
        <row r="8660">
          <cell r="F8660">
            <v>7.9699999999999993E-2</v>
          </cell>
        </row>
        <row r="8661">
          <cell r="F8661">
            <v>7.4099999999999999E-2</v>
          </cell>
        </row>
        <row r="8662">
          <cell r="F8662">
            <v>7.5499999999999998E-2</v>
          </cell>
        </row>
        <row r="8663">
          <cell r="F8663">
            <v>7.6899999999999996E-2</v>
          </cell>
        </row>
        <row r="8664">
          <cell r="F8664">
            <v>8.3299999999999999E-2</v>
          </cell>
        </row>
        <row r="8665">
          <cell r="F8665">
            <v>8.4000000000000005E-2</v>
          </cell>
        </row>
        <row r="8666">
          <cell r="F8666">
            <v>8.8200000000000001E-2</v>
          </cell>
        </row>
        <row r="8667">
          <cell r="F8667">
            <v>0.1046</v>
          </cell>
        </row>
        <row r="8668">
          <cell r="F8668">
            <v>0.10390000000000001</v>
          </cell>
        </row>
        <row r="8669">
          <cell r="F8669">
            <v>0.10390000000000001</v>
          </cell>
        </row>
        <row r="8670">
          <cell r="F8670">
            <v>9.6100000000000005E-2</v>
          </cell>
        </row>
        <row r="8671">
          <cell r="F8671">
            <v>9.6000000000000002E-2</v>
          </cell>
        </row>
        <row r="8672">
          <cell r="F8672">
            <v>8.4000000000000005E-2</v>
          </cell>
        </row>
        <row r="8673">
          <cell r="F8673">
            <v>8.4000000000000005E-2</v>
          </cell>
        </row>
        <row r="8674">
          <cell r="F8674">
            <v>8.2600000000000007E-2</v>
          </cell>
        </row>
        <row r="8675">
          <cell r="F8675">
            <v>9.2499999999999999E-2</v>
          </cell>
        </row>
        <row r="8676">
          <cell r="F8676">
            <v>8.7499999999999994E-2</v>
          </cell>
        </row>
        <row r="8677">
          <cell r="F8677">
            <v>8.6800000000000002E-2</v>
          </cell>
        </row>
        <row r="8678">
          <cell r="F8678">
            <v>9.0999999999999998E-2</v>
          </cell>
        </row>
        <row r="8679">
          <cell r="F8679">
            <v>9.0999999999999998E-2</v>
          </cell>
        </row>
        <row r="8680">
          <cell r="F8680">
            <v>9.0300000000000005E-2</v>
          </cell>
        </row>
        <row r="8681">
          <cell r="F8681">
            <v>8.7499999999999994E-2</v>
          </cell>
        </row>
        <row r="8682">
          <cell r="F8682">
            <v>7.2800000000000004E-2</v>
          </cell>
        </row>
        <row r="8683">
          <cell r="F8683">
            <v>8.3299999999999999E-2</v>
          </cell>
        </row>
        <row r="8684">
          <cell r="F8684">
            <v>7.9000000000000001E-2</v>
          </cell>
        </row>
        <row r="8685">
          <cell r="F8685">
            <v>7.1199999999999999E-2</v>
          </cell>
        </row>
        <row r="8686">
          <cell r="F8686">
            <v>6.5600000000000006E-2</v>
          </cell>
        </row>
        <row r="8687">
          <cell r="F8687">
            <v>7.1199999999999999E-2</v>
          </cell>
        </row>
        <row r="8688">
          <cell r="F8688">
            <v>8.4000000000000005E-2</v>
          </cell>
        </row>
        <row r="8689">
          <cell r="F8689">
            <v>8.4699999999999998E-2</v>
          </cell>
        </row>
        <row r="8690">
          <cell r="F8690">
            <v>8.6099999999999996E-2</v>
          </cell>
        </row>
        <row r="8691">
          <cell r="F8691">
            <v>8.4699999999999998E-2</v>
          </cell>
        </row>
        <row r="8692">
          <cell r="F8692">
            <v>8.4699999999999998E-2</v>
          </cell>
        </row>
        <row r="8693">
          <cell r="F8693">
            <v>8.4699999999999998E-2</v>
          </cell>
        </row>
        <row r="8694">
          <cell r="F8694">
            <v>9.3200000000000005E-2</v>
          </cell>
        </row>
        <row r="8695">
          <cell r="F8695">
            <v>9.1800000000000007E-2</v>
          </cell>
        </row>
        <row r="8696">
          <cell r="F8696">
            <v>9.1800000000000007E-2</v>
          </cell>
        </row>
        <row r="8697">
          <cell r="F8697">
            <v>9.1800000000000007E-2</v>
          </cell>
        </row>
        <row r="8698">
          <cell r="F8698">
            <v>8.4699999999999998E-2</v>
          </cell>
        </row>
        <row r="8699">
          <cell r="F8699">
            <v>8.4000000000000005E-2</v>
          </cell>
        </row>
        <row r="8700">
          <cell r="F8700">
            <v>8.3299999999999999E-2</v>
          </cell>
        </row>
        <row r="8701">
          <cell r="F8701">
            <v>8.2600000000000007E-2</v>
          </cell>
        </row>
        <row r="8702">
          <cell r="F8702">
            <v>7.9000000000000001E-2</v>
          </cell>
        </row>
        <row r="8703">
          <cell r="F8703">
            <v>7.9000000000000001E-2</v>
          </cell>
        </row>
        <row r="8704">
          <cell r="F8704">
            <v>8.3299999999999999E-2</v>
          </cell>
        </row>
        <row r="8705">
          <cell r="F8705">
            <v>7.9000000000000001E-2</v>
          </cell>
        </row>
        <row r="8706">
          <cell r="F8706">
            <v>7.2700000000000001E-2</v>
          </cell>
        </row>
        <row r="8707">
          <cell r="F8707">
            <v>6.2E-2</v>
          </cell>
        </row>
        <row r="8708">
          <cell r="F8708">
            <v>6.2E-2</v>
          </cell>
        </row>
        <row r="8709">
          <cell r="F8709">
            <v>6.13E-2</v>
          </cell>
        </row>
        <row r="8710">
          <cell r="F8710">
            <v>5.9200000000000003E-2</v>
          </cell>
        </row>
        <row r="8711">
          <cell r="F8711">
            <v>5.9900000000000002E-2</v>
          </cell>
        </row>
        <row r="8712">
          <cell r="F8712">
            <v>5.7799999999999997E-2</v>
          </cell>
        </row>
        <row r="8713">
          <cell r="F8713">
            <v>5.9900000000000002E-2</v>
          </cell>
        </row>
        <row r="8714">
          <cell r="F8714">
            <v>8.3299999999999999E-2</v>
          </cell>
        </row>
        <row r="8715">
          <cell r="F8715">
            <v>8.1900000000000001E-2</v>
          </cell>
        </row>
        <row r="8716">
          <cell r="F8716">
            <v>8.0500000000000002E-2</v>
          </cell>
        </row>
        <row r="8717">
          <cell r="F8717">
            <v>8.1199999999999994E-2</v>
          </cell>
        </row>
        <row r="8718">
          <cell r="F8718">
            <v>8.1900000000000001E-2</v>
          </cell>
        </row>
        <row r="8719">
          <cell r="F8719">
            <v>8.5400000000000004E-2</v>
          </cell>
        </row>
        <row r="8720">
          <cell r="F8720">
            <v>8.4699999999999998E-2</v>
          </cell>
        </row>
        <row r="8721">
          <cell r="F8721">
            <v>8.4699999999999998E-2</v>
          </cell>
        </row>
        <row r="8722">
          <cell r="F8722">
            <v>8.1100000000000005E-2</v>
          </cell>
        </row>
        <row r="8723">
          <cell r="F8723">
            <v>6.9800000000000001E-2</v>
          </cell>
        </row>
        <row r="8724">
          <cell r="F8724">
            <v>6.4199999999999993E-2</v>
          </cell>
        </row>
        <row r="8725">
          <cell r="F8725">
            <v>6.2700000000000006E-2</v>
          </cell>
        </row>
        <row r="8726">
          <cell r="F8726">
            <v>6.2E-2</v>
          </cell>
        </row>
        <row r="8727">
          <cell r="F8727">
            <v>6.2E-2</v>
          </cell>
        </row>
        <row r="8728">
          <cell r="F8728">
            <v>6.0600000000000001E-2</v>
          </cell>
        </row>
        <row r="8729">
          <cell r="F8729">
            <v>5.7799999999999997E-2</v>
          </cell>
        </row>
        <row r="8730">
          <cell r="F8730">
            <v>4.7899999999999998E-2</v>
          </cell>
        </row>
        <row r="8731">
          <cell r="F8731">
            <v>0</v>
          </cell>
        </row>
        <row r="8732">
          <cell r="F8732">
            <v>0</v>
          </cell>
        </row>
        <row r="8733">
          <cell r="F8733">
            <v>0</v>
          </cell>
        </row>
        <row r="8734">
          <cell r="F8734">
            <v>0</v>
          </cell>
        </row>
        <row r="8735">
          <cell r="F8735">
            <v>0</v>
          </cell>
        </row>
        <row r="8736">
          <cell r="F8736">
            <v>0</v>
          </cell>
        </row>
        <row r="8737">
          <cell r="F8737">
            <v>5.7799999999999997E-2</v>
          </cell>
        </row>
        <row r="8738">
          <cell r="F8738">
            <v>8.0399999999999999E-2</v>
          </cell>
        </row>
        <row r="8739">
          <cell r="F8739">
            <v>8.2600000000000007E-2</v>
          </cell>
        </row>
        <row r="8740">
          <cell r="F8740">
            <v>8.3400000000000002E-2</v>
          </cell>
        </row>
        <row r="8741">
          <cell r="F8741">
            <v>8.4199999999999997E-2</v>
          </cell>
        </row>
        <row r="8742">
          <cell r="F8742">
            <v>8.4099999999999994E-2</v>
          </cell>
        </row>
        <row r="8743">
          <cell r="F8743">
            <v>8.6099999999999996E-2</v>
          </cell>
        </row>
        <row r="8744">
          <cell r="F8744">
            <v>8.8200000000000001E-2</v>
          </cell>
        </row>
        <row r="8745">
          <cell r="F8745">
            <v>8.0399999999999999E-2</v>
          </cell>
        </row>
        <row r="8746">
          <cell r="F8746">
            <v>8.3299999999999999E-2</v>
          </cell>
        </row>
        <row r="8747">
          <cell r="F8747">
            <v>7.9699999999999993E-2</v>
          </cell>
        </row>
        <row r="8748">
          <cell r="F8748">
            <v>7.8299999999999995E-2</v>
          </cell>
        </row>
        <row r="8749">
          <cell r="F8749">
            <v>7.7600000000000002E-2</v>
          </cell>
        </row>
        <row r="8750">
          <cell r="F8750">
            <v>7.9699999999999993E-2</v>
          </cell>
        </row>
        <row r="8751">
          <cell r="F8751">
            <v>8.3299999999999999E-2</v>
          </cell>
        </row>
        <row r="8752">
          <cell r="F8752">
            <v>8.6099999999999996E-2</v>
          </cell>
        </row>
        <row r="8753">
          <cell r="F8753">
            <v>8.4699999999999998E-2</v>
          </cell>
        </row>
        <row r="8754">
          <cell r="F8754">
            <v>8.2600000000000007E-2</v>
          </cell>
        </row>
        <row r="8755">
          <cell r="F8755">
            <v>6.5600000000000006E-2</v>
          </cell>
        </row>
        <row r="8756">
          <cell r="F8756">
            <v>6.3500000000000001E-2</v>
          </cell>
        </row>
        <row r="8757">
          <cell r="F8757">
            <v>6.2799999999999995E-2</v>
          </cell>
        </row>
        <row r="8758">
          <cell r="F8758">
            <v>6.4199999999999993E-2</v>
          </cell>
        </row>
        <row r="8759">
          <cell r="F8759">
            <v>6.3500000000000001E-2</v>
          </cell>
        </row>
        <row r="8760">
          <cell r="F8760">
            <v>6.0600000000000001E-2</v>
          </cell>
        </row>
        <row r="8761">
          <cell r="F8761">
            <v>6.4899999999999999E-2</v>
          </cell>
        </row>
        <row r="8762">
          <cell r="F8762">
            <v>8.5400000000000004E-2</v>
          </cell>
        </row>
        <row r="8763">
          <cell r="F8763">
            <v>8.6199999999999999E-2</v>
          </cell>
        </row>
        <row r="8764">
          <cell r="F8764">
            <v>8.6300000000000002E-2</v>
          </cell>
        </row>
        <row r="8765">
          <cell r="F8765">
            <v>7.2499999999999995E-2</v>
          </cell>
        </row>
        <row r="8766">
          <cell r="F8766">
            <v>8.9300000000000004E-2</v>
          </cell>
        </row>
        <row r="8767">
          <cell r="F8767">
            <v>8.1199999999999994E-2</v>
          </cell>
        </row>
        <row r="8768">
          <cell r="F8768">
            <v>8.4699999999999998E-2</v>
          </cell>
        </row>
        <row r="8769">
          <cell r="F8769">
            <v>8.6800000000000002E-2</v>
          </cell>
        </row>
      </sheetData>
      <sheetData sheetId="29" refreshError="1"/>
      <sheetData sheetId="30">
        <row r="5">
          <cell r="W5" t="str">
            <v>Elasticity</v>
          </cell>
          <cell r="AD5">
            <v>72</v>
          </cell>
        </row>
        <row r="6">
          <cell r="W6" t="str">
            <v>HPWH</v>
          </cell>
        </row>
        <row r="7">
          <cell r="W7" t="str">
            <v>Battery</v>
          </cell>
        </row>
        <row r="8">
          <cell r="W8" t="str">
            <v>Managed EV</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isting Debt Service by Reso"/>
      <sheetName val="Existing Debt Service by Series"/>
      <sheetName val="Existing Debt Profile by Reso"/>
      <sheetName val="Existing Debt Profile by Series"/>
      <sheetName val="2011 P3"/>
      <sheetName val="OUTSTANDING"/>
      <sheetName val="Download Sheet"/>
      <sheetName val="Backup data"/>
      <sheetName val="Download"/>
      <sheetName val="Existing_Debt_Service_by_Reso"/>
      <sheetName val="Existing_Debt_Service_by_Series"/>
      <sheetName val="Existing_Debt_Profile_by_Reso"/>
      <sheetName val="Existing_Debt_Profile_by_Series"/>
      <sheetName val="2011_P3"/>
      <sheetName val="Download_Sheet"/>
      <sheetName val="Backup_data"/>
    </sheetNames>
    <sheetDataSet>
      <sheetData sheetId="0"/>
      <sheetData sheetId="1"/>
      <sheetData sheetId="2"/>
      <sheetData sheetId="3"/>
      <sheetData sheetId="4"/>
      <sheetData sheetId="5"/>
      <sheetData sheetId="6" refreshError="1"/>
      <sheetData sheetId="7" refreshError="1"/>
      <sheetData sheetId="8" refreshError="1"/>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etup"/>
      <sheetName val="Billing Units"/>
      <sheetName val="Rate Inputs"/>
      <sheetName val="2026 Forecast"/>
      <sheetName val="RR Schedule Input"/>
      <sheetName val="Cost Allocation"/>
      <sheetName val="Minimum Sys"/>
      <sheetName val="Functional Costs"/>
      <sheetName val="Revenue Summary"/>
      <sheetName val="Allocators"/>
      <sheetName val="Revenue Summary w Riders"/>
      <sheetName val="Rate Summary"/>
      <sheetName val="Revenue Requir (old)"/>
      <sheetName val="Consumer Analysis"/>
      <sheetName val="CA - Lighting"/>
      <sheetName val="CA - Riders"/>
      <sheetName val="Bill Distribution"/>
      <sheetName val="Bill Impacts"/>
    </sheetNames>
    <sheetDataSet>
      <sheetData sheetId="0">
        <row r="9">
          <cell r="D9" t="str">
            <v>Puerto Rico Electric Power Authority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Rates"/>
      <sheetName val="Lighting Rates"/>
      <sheetName val="Bill Distribution"/>
      <sheetName val="Bill Dist FY28 Present Fixed"/>
      <sheetName val="Bill Dist FY28 $16 GRS $35 GSS"/>
      <sheetName val="Bill Dist FY28 Comparison"/>
      <sheetName val="Comparison Average Rate"/>
      <sheetName val="Comparison Revenue Alloc %"/>
      <sheetName val="Comparison Revenue Alloc % Incr"/>
      <sheetName val="Comparison Rates"/>
      <sheetName val="Comparison Lighting Rates"/>
      <sheetName val="Rate Design &gt;"/>
      <sheetName val="Revenue Summary"/>
      <sheetName val="Consumer Analysis"/>
      <sheetName val="Consumer Analysis - Lighting"/>
      <sheetName val="Riders"/>
      <sheetName val="Revenue Summary w Riders"/>
      <sheetName val="Minimum Sys"/>
      <sheetName val="CA - Riders"/>
      <sheetName val="Inputs &gt;"/>
      <sheetName val="Total Revenue from Base Rates"/>
      <sheetName val="COSS Results"/>
      <sheetName val="Billing Determinant Forecast"/>
      <sheetName val="2026 Forecast"/>
      <sheetName val="2027 Forecast"/>
      <sheetName val="2028 Forecast"/>
      <sheetName val="LUMA Bill Impacts"/>
      <sheetName val="LUMA Bill Distribution"/>
      <sheetName val="Helpers &gt;"/>
      <sheetName val="Macro Lists"/>
      <sheetName val="Billing Units"/>
      <sheetName val="Rate Inputs"/>
      <sheetName val="Not Using &gt;"/>
      <sheetName val="Setup"/>
      <sheetName val="Revenue Requir (old)"/>
      <sheetName val="Rate Summary"/>
      <sheetName val="Ah hoc analysis"/>
    </sheetNames>
    <sheetDataSet>
      <sheetData sheetId="0">
        <row r="2">
          <cell r="C2">
            <v>2028</v>
          </cell>
        </row>
        <row r="4">
          <cell r="C4" t="str">
            <v>PREB Approved, Reconciliation in FY27</v>
          </cell>
        </row>
        <row r="5">
          <cell r="C5" t="str">
            <v>PREB FY2026</v>
          </cell>
        </row>
        <row r="6">
          <cell r="C6" t="str">
            <v>GRS $4, Existing Design, FY2026</v>
          </cell>
        </row>
      </sheetData>
      <sheetData sheetId="1"/>
      <sheetData sheetId="2"/>
      <sheetData sheetId="3">
        <row r="13">
          <cell r="D13" t="str">
            <v>Increase ($/cust-mo)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4">
          <cell r="E44">
            <v>0.47701825946508247</v>
          </cell>
        </row>
        <row r="45">
          <cell r="E45">
            <v>0.52298174053491753</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6">
          <cell r="D6">
            <v>2026</v>
          </cell>
        </row>
        <row r="9">
          <cell r="D9" t="str">
            <v>Puerto Rico Electric Power Authority</v>
          </cell>
        </row>
      </sheetData>
      <sheetData sheetId="35"/>
      <sheetData sheetId="36"/>
      <sheetData sheetId="37"/>
    </sheetDataSet>
  </externalBook>
</externalLink>
</file>

<file path=xl/theme/theme1.xml><?xml version="1.0" encoding="utf-8"?>
<a:theme xmlns:a="http://schemas.openxmlformats.org/drawingml/2006/main" name="E3 Bright Arial">
  <a:themeElements>
    <a:clrScheme name="E3 Bright">
      <a:dk1>
        <a:sysClr val="windowText" lastClr="000000"/>
      </a:dk1>
      <a:lt1>
        <a:sysClr val="window" lastClr="FFFFFF"/>
      </a:lt1>
      <a:dk2>
        <a:srgbClr val="315361"/>
      </a:dk2>
      <a:lt2>
        <a:srgbClr val="EEECE1"/>
      </a:lt2>
      <a:accent1>
        <a:srgbClr val="034E6E"/>
      </a:accent1>
      <a:accent2>
        <a:srgbClr val="FFC635"/>
      </a:accent2>
      <a:accent3>
        <a:srgbClr val="FF5D35"/>
      </a:accent3>
      <a:accent4>
        <a:srgbClr val="18FF75"/>
      </a:accent4>
      <a:accent5>
        <a:srgbClr val="FFA035"/>
      </a:accent5>
      <a:accent6>
        <a:srgbClr val="2C46ED"/>
      </a:accent6>
      <a:hlink>
        <a:srgbClr val="6565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hyperlink" Target="https://energia.pr.gov/wp-content/uploads/sites/7/2025/08/20250813-AP20230003-Motion-in-Compl-with-Aug-11th-Order.pdf"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F8121-EA39-4282-81E9-5878C34B7029}">
  <sheetPr codeName="Sheet1">
    <tabColor theme="7" tint="-0.499984740745262"/>
  </sheetPr>
  <dimension ref="A1:P45"/>
  <sheetViews>
    <sheetView showGridLines="0" tabSelected="1" zoomScaleNormal="100" workbookViewId="0">
      <selection activeCell="I16" sqref="I16"/>
    </sheetView>
  </sheetViews>
  <sheetFormatPr defaultColWidth="9.5" defaultRowHeight="11.4"/>
  <cols>
    <col min="1" max="1" width="1.69921875" style="663" bestFit="1" customWidth="1"/>
    <col min="2" max="2" width="46.19921875" style="663" customWidth="1"/>
    <col min="3" max="3" width="17.5" style="663" customWidth="1"/>
    <col min="4" max="4" width="75.5" style="663" customWidth="1"/>
    <col min="5" max="5" width="22" style="663" bestFit="1" customWidth="1"/>
    <col min="6" max="16" width="9.5" style="663"/>
    <col min="17" max="16384" width="9.5" style="661"/>
  </cols>
  <sheetData>
    <row r="1" spans="1:16" s="660" customFormat="1" ht="28.8" thickBot="1">
      <c r="A1" s="662"/>
      <c r="B1" s="662" t="s">
        <v>699</v>
      </c>
      <c r="C1" s="662"/>
      <c r="D1" s="662"/>
      <c r="E1" s="662"/>
      <c r="F1" s="662"/>
      <c r="G1" s="662"/>
      <c r="H1" s="662"/>
      <c r="I1" s="662"/>
      <c r="J1" s="662"/>
      <c r="K1" s="662"/>
      <c r="L1" s="662"/>
      <c r="M1" s="662"/>
      <c r="N1" s="662"/>
      <c r="O1" s="662"/>
      <c r="P1" s="662"/>
    </row>
    <row r="3" spans="1:16" s="1507" customFormat="1" ht="13.8">
      <c r="A3" s="1504"/>
      <c r="B3" s="1505" t="s">
        <v>651</v>
      </c>
      <c r="C3" s="1504"/>
      <c r="D3" s="1504"/>
      <c r="E3" s="1504"/>
      <c r="F3" s="1504"/>
      <c r="G3" s="1506"/>
      <c r="H3" s="1504"/>
      <c r="I3" s="1504"/>
      <c r="J3" s="1504"/>
      <c r="K3" s="1504"/>
      <c r="L3" s="1504"/>
      <c r="M3" s="1504"/>
      <c r="N3" s="1504"/>
      <c r="O3" s="1504"/>
      <c r="P3" s="1504"/>
    </row>
    <row r="4" spans="1:16" s="1503" customFormat="1" ht="13.2">
      <c r="A4" s="1502"/>
      <c r="B4" s="1502"/>
      <c r="C4" s="1502"/>
      <c r="D4" s="1502"/>
      <c r="E4" s="1502"/>
      <c r="F4" s="1502"/>
      <c r="G4" s="1502"/>
      <c r="H4" s="1502"/>
      <c r="I4" s="1502"/>
      <c r="J4" s="1502"/>
      <c r="K4" s="1502"/>
      <c r="L4" s="1502"/>
      <c r="M4" s="1502"/>
      <c r="N4" s="1502"/>
      <c r="O4" s="1502"/>
      <c r="P4" s="1502"/>
    </row>
    <row r="5" spans="1:16" ht="18" thickBot="1">
      <c r="B5" s="664" t="s">
        <v>650</v>
      </c>
      <c r="C5" s="664"/>
      <c r="D5" s="664"/>
      <c r="E5" s="664"/>
    </row>
    <row r="7" spans="1:16" s="1549" customFormat="1" ht="25.05" customHeight="1">
      <c r="A7" s="1548"/>
      <c r="B7" s="1560" t="s">
        <v>698</v>
      </c>
      <c r="C7" s="1560"/>
      <c r="D7" s="1560"/>
      <c r="E7" s="1513"/>
      <c r="F7" s="1548"/>
      <c r="G7" s="1548"/>
      <c r="H7" s="1548"/>
      <c r="I7" s="1548"/>
      <c r="J7" s="1548"/>
      <c r="K7" s="1548"/>
      <c r="L7" s="1548"/>
      <c r="M7" s="1548"/>
      <c r="N7" s="1548"/>
      <c r="O7" s="1548"/>
      <c r="P7" s="1548"/>
    </row>
    <row r="8" spans="1:16" s="1549" customFormat="1" ht="25.05" customHeight="1">
      <c r="A8" s="1548"/>
      <c r="B8" s="1560"/>
      <c r="C8" s="1560"/>
      <c r="D8" s="1560"/>
      <c r="E8" s="1513"/>
      <c r="F8" s="1548"/>
      <c r="G8" s="1548"/>
      <c r="H8" s="1548"/>
      <c r="I8" s="1548"/>
      <c r="J8" s="1548"/>
      <c r="K8" s="1548"/>
      <c r="L8" s="1548"/>
      <c r="M8" s="1548"/>
      <c r="N8" s="1548"/>
      <c r="O8" s="1548"/>
      <c r="P8" s="1548"/>
    </row>
    <row r="9" spans="1:16" s="1549" customFormat="1" ht="25.05" customHeight="1">
      <c r="A9" s="1548"/>
      <c r="B9" s="1560"/>
      <c r="C9" s="1560"/>
      <c r="D9" s="1560"/>
      <c r="E9" s="1513"/>
      <c r="F9" s="1548"/>
      <c r="G9" s="1548"/>
      <c r="H9" s="1548"/>
      <c r="I9" s="1548"/>
      <c r="J9" s="1548"/>
      <c r="K9" s="1548"/>
      <c r="L9" s="1548"/>
      <c r="M9" s="1548"/>
      <c r="N9" s="1548"/>
      <c r="O9" s="1548"/>
      <c r="P9" s="1548"/>
    </row>
    <row r="10" spans="1:16" s="1549" customFormat="1" ht="25.05" customHeight="1">
      <c r="A10" s="1548"/>
      <c r="B10" s="1560"/>
      <c r="C10" s="1560"/>
      <c r="D10" s="1560"/>
      <c r="E10" s="1513"/>
      <c r="F10" s="1548"/>
      <c r="G10" s="1548"/>
      <c r="H10" s="1548"/>
      <c r="I10" s="1548"/>
      <c r="J10" s="1548"/>
      <c r="K10" s="1548"/>
      <c r="L10" s="1548"/>
      <c r="M10" s="1548"/>
      <c r="N10" s="1548"/>
      <c r="O10" s="1548"/>
      <c r="P10" s="1548"/>
    </row>
    <row r="11" spans="1:16" s="1549" customFormat="1" ht="25.05" customHeight="1">
      <c r="A11" s="1548"/>
      <c r="B11" s="1560"/>
      <c r="C11" s="1560"/>
      <c r="D11" s="1560"/>
      <c r="E11" s="1513"/>
      <c r="F11" s="1548"/>
      <c r="G11" s="1548"/>
      <c r="H11" s="1548"/>
      <c r="I11" s="1548"/>
      <c r="J11" s="1548"/>
      <c r="K11" s="1548"/>
      <c r="L11" s="1548"/>
      <c r="M11" s="1548"/>
      <c r="N11" s="1548"/>
      <c r="O11" s="1548"/>
      <c r="P11" s="1548"/>
    </row>
    <row r="12" spans="1:16" s="1549" customFormat="1" ht="25.05" customHeight="1">
      <c r="A12" s="1548"/>
      <c r="B12" s="1560"/>
      <c r="C12" s="1560"/>
      <c r="D12" s="1560"/>
      <c r="E12" s="1513"/>
      <c r="F12" s="1548"/>
      <c r="G12" s="1548"/>
      <c r="H12" s="1548"/>
      <c r="I12" s="1548"/>
      <c r="J12" s="1548"/>
      <c r="K12" s="1548"/>
      <c r="L12" s="1548"/>
      <c r="M12" s="1548"/>
      <c r="N12" s="1548"/>
      <c r="O12" s="1548"/>
      <c r="P12" s="1548"/>
    </row>
    <row r="13" spans="1:16" ht="13.05" customHeight="1">
      <c r="B13" s="1513"/>
      <c r="C13" s="1513"/>
      <c r="D13" s="1513"/>
      <c r="E13" s="1513"/>
    </row>
    <row r="14" spans="1:16" ht="18" thickBot="1">
      <c r="B14" s="664" t="s">
        <v>641</v>
      </c>
      <c r="C14" s="664"/>
      <c r="D14" s="664"/>
      <c r="E14" s="664"/>
    </row>
    <row r="16" spans="1:16" s="1507" customFormat="1" ht="13.8">
      <c r="A16" s="1504"/>
      <c r="B16" s="1508" t="s">
        <v>642</v>
      </c>
      <c r="C16" s="1508" t="s">
        <v>643</v>
      </c>
      <c r="D16" s="1508" t="s">
        <v>304</v>
      </c>
      <c r="E16" s="1504"/>
      <c r="F16" s="1504"/>
      <c r="G16" s="1504"/>
      <c r="H16" s="1504"/>
      <c r="I16" s="1504"/>
      <c r="J16" s="1504"/>
      <c r="K16" s="1504"/>
      <c r="L16" s="1504"/>
      <c r="M16" s="1504"/>
      <c r="N16" s="1504"/>
      <c r="O16" s="1504"/>
      <c r="P16" s="1504"/>
    </row>
    <row r="17" spans="1:16" s="1507" customFormat="1" ht="13.8">
      <c r="A17" s="1504"/>
      <c r="B17" s="1511" t="s">
        <v>652</v>
      </c>
      <c r="C17" s="1553" t="s">
        <v>652</v>
      </c>
      <c r="D17" s="1514" t="s">
        <v>656</v>
      </c>
      <c r="E17" s="1504"/>
      <c r="F17" s="1504"/>
      <c r="G17" s="1504"/>
      <c r="H17" s="1504"/>
      <c r="I17" s="1504"/>
      <c r="J17" s="1504"/>
      <c r="K17" s="1504"/>
      <c r="L17" s="1504"/>
      <c r="M17" s="1504"/>
      <c r="N17" s="1504"/>
      <c r="O17" s="1504"/>
      <c r="P17" s="1504"/>
    </row>
    <row r="18" spans="1:16" s="1507" customFormat="1" ht="13.8">
      <c r="A18" s="1504"/>
      <c r="B18" s="1511" t="s">
        <v>653</v>
      </c>
      <c r="C18" s="1554"/>
      <c r="D18" s="1514" t="s">
        <v>655</v>
      </c>
      <c r="E18" s="1504"/>
      <c r="F18" s="1504"/>
      <c r="G18" s="1504"/>
      <c r="H18" s="1504"/>
      <c r="I18" s="1504"/>
      <c r="J18" s="1504"/>
      <c r="K18" s="1504"/>
      <c r="L18" s="1504"/>
      <c r="M18" s="1504"/>
      <c r="N18" s="1504"/>
      <c r="O18" s="1504"/>
      <c r="P18" s="1504"/>
    </row>
    <row r="19" spans="1:16" s="1507" customFormat="1" ht="13.8">
      <c r="A19" s="1504"/>
      <c r="B19" s="1511" t="s">
        <v>654</v>
      </c>
      <c r="C19" s="1555"/>
      <c r="D19" s="1514" t="s">
        <v>657</v>
      </c>
      <c r="E19" s="1504"/>
      <c r="F19" s="1504"/>
      <c r="G19" s="1504"/>
      <c r="H19" s="1504"/>
      <c r="I19" s="1504"/>
      <c r="J19" s="1504"/>
      <c r="K19" s="1504"/>
      <c r="L19" s="1504"/>
      <c r="M19" s="1504"/>
      <c r="N19" s="1504"/>
      <c r="O19" s="1504"/>
      <c r="P19" s="1504"/>
    </row>
    <row r="20" spans="1:16" s="1507" customFormat="1" ht="41.4">
      <c r="A20" s="1504"/>
      <c r="B20" s="1512" t="s">
        <v>658</v>
      </c>
      <c r="C20" s="1556" t="s">
        <v>645</v>
      </c>
      <c r="D20" s="1514" t="s">
        <v>665</v>
      </c>
      <c r="E20" s="1504"/>
      <c r="F20" s="1504"/>
      <c r="G20" s="1504"/>
      <c r="H20" s="1504"/>
      <c r="I20" s="1504"/>
      <c r="J20" s="1504"/>
      <c r="K20" s="1504"/>
      <c r="L20" s="1504"/>
      <c r="M20" s="1504"/>
      <c r="N20" s="1504"/>
      <c r="O20" s="1504"/>
      <c r="P20" s="1504"/>
    </row>
    <row r="21" spans="1:16" s="1507" customFormat="1" ht="13.8">
      <c r="A21" s="1504"/>
      <c r="B21" s="1512" t="s">
        <v>659</v>
      </c>
      <c r="C21" s="1557"/>
      <c r="D21" s="1514" t="s">
        <v>662</v>
      </c>
      <c r="E21" s="1504"/>
      <c r="F21" s="1504"/>
      <c r="G21" s="1504"/>
      <c r="H21" s="1504"/>
      <c r="I21" s="1504"/>
      <c r="J21" s="1504"/>
      <c r="K21" s="1504"/>
      <c r="L21" s="1504"/>
      <c r="M21" s="1504"/>
      <c r="N21" s="1504"/>
      <c r="O21" s="1504"/>
      <c r="P21" s="1504"/>
    </row>
    <row r="22" spans="1:16" s="1507" customFormat="1" ht="13.8">
      <c r="A22" s="1504"/>
      <c r="B22" s="1512" t="s">
        <v>660</v>
      </c>
      <c r="C22" s="1557"/>
      <c r="D22" s="1514" t="s">
        <v>663</v>
      </c>
      <c r="E22" s="1504"/>
      <c r="F22" s="1504"/>
      <c r="G22" s="1504"/>
      <c r="H22" s="1504"/>
      <c r="I22" s="1504"/>
      <c r="J22" s="1504"/>
      <c r="K22" s="1504"/>
      <c r="L22" s="1504"/>
      <c r="M22" s="1504"/>
      <c r="N22" s="1504"/>
      <c r="O22" s="1504"/>
      <c r="P22" s="1504"/>
    </row>
    <row r="23" spans="1:16" s="1507" customFormat="1" ht="13.8">
      <c r="A23" s="1504"/>
      <c r="B23" s="1512" t="s">
        <v>33</v>
      </c>
      <c r="C23" s="1557"/>
      <c r="D23" s="1514" t="s">
        <v>664</v>
      </c>
      <c r="E23" s="1504"/>
      <c r="F23" s="1504"/>
      <c r="G23" s="1504"/>
      <c r="H23" s="1504"/>
      <c r="I23" s="1504"/>
      <c r="J23" s="1504"/>
      <c r="K23" s="1504"/>
      <c r="L23" s="1504"/>
      <c r="M23" s="1504"/>
      <c r="N23" s="1504"/>
      <c r="O23" s="1504"/>
      <c r="P23" s="1504"/>
    </row>
    <row r="24" spans="1:16" s="1507" customFormat="1" ht="13.8">
      <c r="A24" s="1504"/>
      <c r="B24" s="1512" t="s">
        <v>661</v>
      </c>
      <c r="C24" s="1557"/>
      <c r="D24" s="1514" t="s">
        <v>666</v>
      </c>
      <c r="E24" s="1504"/>
      <c r="F24" s="1504"/>
      <c r="G24" s="1504"/>
      <c r="H24" s="1504"/>
      <c r="I24" s="1504"/>
      <c r="J24" s="1504"/>
      <c r="K24" s="1504"/>
      <c r="L24" s="1504"/>
      <c r="M24" s="1504"/>
      <c r="N24" s="1504"/>
      <c r="O24" s="1504"/>
      <c r="P24" s="1504"/>
    </row>
    <row r="25" spans="1:16" s="1507" customFormat="1" ht="13.8">
      <c r="A25" s="1504"/>
      <c r="B25" s="1515" t="s">
        <v>334</v>
      </c>
      <c r="C25" s="1558" t="s">
        <v>644</v>
      </c>
      <c r="D25" s="1514" t="s">
        <v>668</v>
      </c>
      <c r="E25" s="1504"/>
      <c r="F25" s="1504"/>
      <c r="G25" s="1504"/>
      <c r="H25" s="1504"/>
      <c r="I25" s="1504"/>
      <c r="J25" s="1504"/>
      <c r="K25" s="1504"/>
      <c r="L25" s="1504"/>
      <c r="M25" s="1504"/>
      <c r="N25" s="1504"/>
      <c r="O25" s="1504"/>
      <c r="P25" s="1504"/>
    </row>
    <row r="26" spans="1:16" s="1507" customFormat="1" ht="13.8">
      <c r="A26" s="1504"/>
      <c r="B26" s="1515" t="s">
        <v>545</v>
      </c>
      <c r="C26" s="1559"/>
      <c r="D26" s="1514" t="s">
        <v>667</v>
      </c>
      <c r="E26" s="1504"/>
      <c r="F26" s="1504"/>
      <c r="G26" s="1504"/>
      <c r="H26" s="1504"/>
      <c r="I26" s="1504"/>
      <c r="J26" s="1504"/>
      <c r="K26" s="1504"/>
      <c r="L26" s="1504"/>
      <c r="M26" s="1504"/>
      <c r="N26" s="1504"/>
      <c r="O26" s="1504"/>
      <c r="P26" s="1504"/>
    </row>
    <row r="27" spans="1:16" s="1507" customFormat="1" ht="13.8">
      <c r="A27" s="1504"/>
      <c r="B27" s="1515" t="s">
        <v>669</v>
      </c>
      <c r="C27" s="1559"/>
      <c r="D27" s="1514" t="s">
        <v>670</v>
      </c>
      <c r="E27" s="1504"/>
      <c r="F27" s="1504"/>
      <c r="G27" s="1504"/>
      <c r="H27" s="1504"/>
      <c r="I27" s="1504"/>
      <c r="J27" s="1504"/>
      <c r="K27" s="1504"/>
      <c r="L27" s="1504"/>
      <c r="M27" s="1504"/>
      <c r="N27" s="1504"/>
      <c r="O27" s="1504"/>
      <c r="P27" s="1504"/>
    </row>
    <row r="28" spans="1:16" s="1507" customFormat="1" ht="13.8">
      <c r="A28" s="1504"/>
      <c r="B28" s="1515" t="s">
        <v>671</v>
      </c>
      <c r="C28" s="1559"/>
      <c r="D28" s="1514" t="s">
        <v>674</v>
      </c>
      <c r="E28" s="1504"/>
      <c r="F28" s="1504"/>
      <c r="G28" s="1504"/>
      <c r="H28" s="1504"/>
      <c r="I28" s="1504"/>
      <c r="J28" s="1504"/>
      <c r="K28" s="1504"/>
      <c r="L28" s="1504"/>
      <c r="M28" s="1504"/>
      <c r="N28" s="1504"/>
      <c r="O28" s="1504"/>
      <c r="P28" s="1504"/>
    </row>
    <row r="29" spans="1:16" s="1507" customFormat="1" ht="13.8">
      <c r="A29" s="1504"/>
      <c r="B29" s="1515" t="s">
        <v>672</v>
      </c>
      <c r="C29" s="1559"/>
      <c r="D29" s="1514" t="s">
        <v>675</v>
      </c>
      <c r="E29" s="1504"/>
      <c r="F29" s="1504"/>
      <c r="G29" s="1504"/>
      <c r="H29" s="1504"/>
      <c r="I29" s="1504"/>
      <c r="J29" s="1504"/>
      <c r="K29" s="1504"/>
      <c r="L29" s="1504"/>
      <c r="M29" s="1504"/>
      <c r="N29" s="1504"/>
      <c r="O29" s="1504"/>
      <c r="P29" s="1504"/>
    </row>
    <row r="30" spans="1:16" s="1507" customFormat="1" ht="13.8">
      <c r="A30" s="1504"/>
      <c r="B30" s="1515" t="s">
        <v>673</v>
      </c>
      <c r="C30" s="1559"/>
      <c r="D30" s="1514" t="s">
        <v>676</v>
      </c>
      <c r="E30" s="1504"/>
      <c r="F30" s="1504"/>
      <c r="G30" s="1504"/>
      <c r="H30" s="1504"/>
      <c r="I30" s="1504"/>
      <c r="J30" s="1504"/>
      <c r="K30" s="1504"/>
      <c r="L30" s="1504"/>
      <c r="M30" s="1504"/>
      <c r="N30" s="1504"/>
      <c r="O30" s="1504"/>
      <c r="P30" s="1504"/>
    </row>
    <row r="31" spans="1:16" s="1507" customFormat="1" ht="13.8">
      <c r="A31" s="1504"/>
      <c r="B31" s="1516" t="s">
        <v>646</v>
      </c>
      <c r="C31" s="1550" t="s">
        <v>523</v>
      </c>
      <c r="D31" s="1514" t="s">
        <v>677</v>
      </c>
      <c r="E31" s="1504"/>
      <c r="F31" s="1504"/>
      <c r="G31" s="1504"/>
      <c r="H31" s="1504"/>
      <c r="I31" s="1504"/>
      <c r="J31" s="1504"/>
      <c r="K31" s="1504"/>
      <c r="L31" s="1504"/>
      <c r="M31" s="1504"/>
      <c r="N31" s="1504"/>
      <c r="O31" s="1504"/>
      <c r="P31" s="1504"/>
    </row>
    <row r="32" spans="1:16" s="1507" customFormat="1" ht="27.6">
      <c r="A32" s="1504"/>
      <c r="B32" s="1516" t="s">
        <v>678</v>
      </c>
      <c r="C32" s="1551"/>
      <c r="D32" s="1514" t="s">
        <v>680</v>
      </c>
      <c r="E32" s="1504"/>
      <c r="F32" s="1504"/>
      <c r="G32" s="1504"/>
      <c r="H32" s="1504"/>
      <c r="I32" s="1504"/>
      <c r="J32" s="1504"/>
      <c r="K32" s="1504"/>
      <c r="L32" s="1504"/>
      <c r="M32" s="1504"/>
      <c r="N32" s="1504"/>
      <c r="O32" s="1504"/>
      <c r="P32" s="1504"/>
    </row>
    <row r="33" spans="1:16" s="1507" customFormat="1" ht="13.8">
      <c r="A33" s="1504"/>
      <c r="B33" s="1516" t="s">
        <v>527</v>
      </c>
      <c r="C33" s="1551"/>
      <c r="D33" s="1514" t="s">
        <v>679</v>
      </c>
      <c r="E33" s="1504"/>
      <c r="F33" s="1504"/>
      <c r="G33" s="1504"/>
      <c r="H33" s="1504"/>
      <c r="I33" s="1504"/>
      <c r="J33" s="1504"/>
      <c r="K33" s="1504"/>
      <c r="L33" s="1504"/>
      <c r="M33" s="1504"/>
      <c r="N33" s="1504"/>
      <c r="O33" s="1504"/>
      <c r="P33" s="1504"/>
    </row>
    <row r="34" spans="1:16" s="1507" customFormat="1" ht="13.8">
      <c r="A34" s="1504"/>
      <c r="B34" s="1516" t="s">
        <v>681</v>
      </c>
      <c r="C34" s="1552"/>
      <c r="D34" s="1514" t="s">
        <v>682</v>
      </c>
      <c r="E34" s="1504"/>
      <c r="F34" s="1504"/>
      <c r="G34" s="1504"/>
      <c r="H34" s="1504"/>
      <c r="I34" s="1504"/>
      <c r="J34" s="1504"/>
      <c r="K34" s="1504"/>
      <c r="L34" s="1504"/>
      <c r="M34" s="1504"/>
      <c r="N34" s="1504"/>
      <c r="O34" s="1504"/>
      <c r="P34" s="1504"/>
    </row>
    <row r="36" spans="1:16" ht="18" thickBot="1">
      <c r="B36" s="664" t="s">
        <v>647</v>
      </c>
      <c r="C36" s="664"/>
      <c r="D36" s="664"/>
      <c r="E36" s="664"/>
    </row>
    <row r="38" spans="1:16" s="1507" customFormat="1" ht="13.8">
      <c r="A38" s="1504"/>
      <c r="B38" s="1509" t="s">
        <v>685</v>
      </c>
      <c r="C38" s="1504"/>
      <c r="D38" s="1504"/>
      <c r="E38" s="1504"/>
      <c r="F38" s="1504"/>
      <c r="G38" s="1504"/>
      <c r="H38" s="1504"/>
      <c r="I38" s="1504"/>
      <c r="J38" s="1504"/>
      <c r="K38" s="1504"/>
      <c r="L38" s="1504"/>
      <c r="M38" s="1504"/>
      <c r="N38" s="1504"/>
      <c r="O38" s="1504"/>
      <c r="P38" s="1504"/>
    </row>
    <row r="39" spans="1:16" s="1507" customFormat="1" ht="13.8">
      <c r="A39" s="1504"/>
      <c r="B39" s="1504"/>
      <c r="C39" s="1504"/>
      <c r="D39" s="1504"/>
      <c r="E39" s="1504"/>
      <c r="F39" s="1504"/>
      <c r="G39" s="1504"/>
      <c r="H39" s="1504"/>
      <c r="I39" s="1504"/>
      <c r="J39" s="1504"/>
      <c r="K39" s="1504"/>
      <c r="L39" s="1504"/>
      <c r="M39" s="1504"/>
      <c r="N39" s="1504"/>
      <c r="O39" s="1504"/>
      <c r="P39" s="1504"/>
    </row>
    <row r="40" spans="1:16" s="1507" customFormat="1" ht="13.8">
      <c r="A40" s="1504"/>
      <c r="B40" s="1510" t="s">
        <v>648</v>
      </c>
      <c r="C40" s="1504"/>
      <c r="D40" s="1504"/>
      <c r="E40" s="1504"/>
      <c r="F40" s="1504"/>
      <c r="G40" s="1504"/>
      <c r="H40" s="1504"/>
      <c r="I40" s="1504"/>
      <c r="J40" s="1504"/>
      <c r="K40" s="1504"/>
      <c r="L40" s="1504"/>
      <c r="M40" s="1504"/>
      <c r="N40" s="1504"/>
      <c r="O40" s="1504"/>
      <c r="P40" s="1504"/>
    </row>
    <row r="41" spans="1:16" s="1507" customFormat="1" ht="13.8">
      <c r="A41" s="1504"/>
      <c r="B41" s="1517" t="s">
        <v>683</v>
      </c>
      <c r="C41" s="1504"/>
      <c r="D41" s="1504"/>
      <c r="E41" s="1504"/>
      <c r="F41" s="1504"/>
      <c r="G41" s="1504"/>
      <c r="H41" s="1504"/>
      <c r="I41" s="1504"/>
      <c r="J41" s="1504"/>
      <c r="K41" s="1504"/>
      <c r="L41" s="1504"/>
      <c r="M41" s="1504"/>
      <c r="N41" s="1504"/>
      <c r="O41" s="1504"/>
      <c r="P41" s="1504"/>
    </row>
    <row r="42" spans="1:16" s="1507" customFormat="1" ht="13.8">
      <c r="A42" s="1504"/>
      <c r="B42" s="1518" t="s">
        <v>645</v>
      </c>
      <c r="C42" s="1504"/>
      <c r="D42" s="1504"/>
      <c r="E42" s="1504"/>
      <c r="F42" s="1504"/>
      <c r="G42" s="1504"/>
      <c r="H42" s="1504"/>
      <c r="I42" s="1504"/>
      <c r="J42" s="1504"/>
      <c r="K42" s="1504"/>
      <c r="L42" s="1504"/>
      <c r="M42" s="1504"/>
      <c r="N42" s="1504"/>
      <c r="O42" s="1504"/>
      <c r="P42" s="1504"/>
    </row>
    <row r="43" spans="1:16" s="1507" customFormat="1" ht="13.8">
      <c r="A43" s="1504"/>
      <c r="B43" s="1519" t="s">
        <v>684</v>
      </c>
      <c r="C43" s="1504"/>
      <c r="D43" s="1504"/>
      <c r="E43" s="1504"/>
      <c r="F43" s="1504"/>
      <c r="G43" s="1504"/>
      <c r="H43" s="1504"/>
      <c r="I43" s="1504"/>
      <c r="J43" s="1504"/>
      <c r="K43" s="1504"/>
      <c r="L43" s="1504"/>
      <c r="M43" s="1504"/>
      <c r="N43" s="1504"/>
      <c r="O43" s="1504"/>
      <c r="P43" s="1504"/>
    </row>
    <row r="44" spans="1:16" s="1507" customFormat="1" ht="13.8">
      <c r="A44" s="1504"/>
      <c r="B44" s="1504"/>
      <c r="C44" s="1504"/>
      <c r="D44" s="1504"/>
      <c r="E44" s="1504"/>
      <c r="F44" s="1504"/>
      <c r="G44" s="1504"/>
      <c r="H44" s="1504"/>
      <c r="I44" s="1504"/>
      <c r="J44" s="1504"/>
      <c r="K44" s="1504"/>
      <c r="L44" s="1504"/>
      <c r="M44" s="1504"/>
      <c r="N44" s="1504"/>
      <c r="O44" s="1504"/>
      <c r="P44" s="1504"/>
    </row>
    <row r="45" spans="1:16" s="1503" customFormat="1" ht="13.2">
      <c r="A45" s="1502"/>
      <c r="B45" s="1502"/>
      <c r="C45" s="1502"/>
      <c r="D45" s="1502"/>
      <c r="E45" s="1502"/>
      <c r="F45" s="1502"/>
      <c r="G45" s="1502"/>
      <c r="H45" s="1502"/>
      <c r="I45" s="1502"/>
      <c r="J45" s="1502"/>
      <c r="K45" s="1502"/>
      <c r="L45" s="1502"/>
      <c r="M45" s="1502"/>
      <c r="N45" s="1502"/>
      <c r="O45" s="1502"/>
      <c r="P45" s="1502"/>
    </row>
  </sheetData>
  <mergeCells count="5">
    <mergeCell ref="C31:C34"/>
    <mergeCell ref="C17:C19"/>
    <mergeCell ref="C20:C24"/>
    <mergeCell ref="C25:C30"/>
    <mergeCell ref="B7:D12"/>
  </mergeCells>
  <phoneticPr fontId="12"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94BEF-B2F9-473A-9078-67A89083A4AE}">
  <sheetPr codeName="Sheet10">
    <tabColor theme="3" tint="0.79998168889431442"/>
    <pageSetUpPr fitToPage="1"/>
  </sheetPr>
  <dimension ref="A1:O44"/>
  <sheetViews>
    <sheetView workbookViewId="0"/>
  </sheetViews>
  <sheetFormatPr defaultColWidth="8.296875" defaultRowHeight="13.2"/>
  <cols>
    <col min="1" max="1" width="2.19921875" style="692" customWidth="1"/>
    <col min="2" max="2" width="24.296875" style="692" customWidth="1"/>
    <col min="3" max="3" width="1.19921875" style="692" customWidth="1"/>
    <col min="4" max="4" width="44" style="692" customWidth="1"/>
    <col min="5" max="5" width="14" style="692" customWidth="1"/>
    <col min="6" max="6" width="13.5" style="692" customWidth="1"/>
    <col min="7" max="7" width="16.5" style="692" customWidth="1"/>
    <col min="8" max="8" width="1.5" style="692" customWidth="1"/>
    <col min="9" max="9" width="15.296875" style="692" customWidth="1"/>
    <col min="10" max="10" width="1.5" style="692" customWidth="1"/>
    <col min="11" max="11" width="10.296875" style="692" customWidth="1"/>
    <col min="12" max="15" width="8.296875" style="692"/>
    <col min="16" max="16384" width="8.296875" style="3"/>
  </cols>
  <sheetData>
    <row r="1" spans="2:11">
      <c r="B1" s="989"/>
      <c r="C1" s="989"/>
      <c r="D1" s="989"/>
      <c r="E1" s="989"/>
      <c r="F1" s="989"/>
      <c r="G1" s="989"/>
      <c r="H1" s="989"/>
      <c r="I1" s="989"/>
      <c r="J1" s="989"/>
      <c r="K1" s="989"/>
    </row>
    <row r="2" spans="2:11">
      <c r="B2" s="1604" t="s">
        <v>635</v>
      </c>
      <c r="C2" s="1604"/>
      <c r="D2" s="1604"/>
      <c r="E2" s="689"/>
      <c r="F2" s="689"/>
      <c r="G2" s="689"/>
      <c r="H2" s="689"/>
      <c r="I2" s="689"/>
      <c r="J2" s="689"/>
      <c r="K2" s="689"/>
    </row>
    <row r="3" spans="2:11">
      <c r="B3" s="779" t="s">
        <v>526</v>
      </c>
      <c r="C3" s="773"/>
      <c r="D3" s="875">
        <f>'Lists and Mapping'!C10</f>
        <v>2027</v>
      </c>
      <c r="E3" s="689"/>
      <c r="F3" s="689"/>
      <c r="G3" s="689"/>
      <c r="H3" s="689"/>
      <c r="I3" s="689"/>
      <c r="J3" s="689"/>
      <c r="K3" s="689"/>
    </row>
    <row r="4" spans="2:11">
      <c r="B4" s="779" t="s">
        <v>334</v>
      </c>
      <c r="C4" s="773"/>
      <c r="D4" s="875" t="str">
        <f>'Lists and Mapping'!C12</f>
        <v>PREB Approved, Reconciliation in FY27</v>
      </c>
      <c r="E4" s="689"/>
      <c r="F4" s="689"/>
      <c r="G4" s="689"/>
      <c r="H4" s="689"/>
      <c r="I4" s="689"/>
      <c r="J4" s="689"/>
      <c r="K4" s="689"/>
    </row>
    <row r="5" spans="2:11">
      <c r="B5" s="779" t="s">
        <v>529</v>
      </c>
      <c r="C5" s="773"/>
      <c r="D5" s="875" t="str">
        <f>'Lists and Mapping'!C13</f>
        <v>PREB FY2027</v>
      </c>
      <c r="E5" s="689"/>
      <c r="F5" s="689"/>
    </row>
    <row r="6" spans="2:11">
      <c r="B6" s="784" t="s">
        <v>532</v>
      </c>
      <c r="C6" s="878"/>
      <c r="D6" s="875" t="str">
        <f>'Lists and Mapping'!C14</f>
        <v>PREB FY2027</v>
      </c>
      <c r="G6" s="1577" t="str">
        <f>"PROPOSED"</f>
        <v>PROPOSED</v>
      </c>
      <c r="H6" s="1578"/>
      <c r="I6" s="1578"/>
      <c r="J6" s="1578"/>
      <c r="K6" s="1579"/>
    </row>
    <row r="7" spans="2:11">
      <c r="C7" s="689"/>
      <c r="D7" s="1421"/>
      <c r="E7" s="879" t="s">
        <v>339</v>
      </c>
      <c r="F7" s="880" t="s">
        <v>340</v>
      </c>
      <c r="G7" s="1426"/>
      <c r="H7" s="1421"/>
      <c r="I7" s="1421" t="s">
        <v>341</v>
      </c>
      <c r="J7" s="1421"/>
      <c r="K7" s="1427" t="s">
        <v>342</v>
      </c>
    </row>
    <row r="8" spans="2:11">
      <c r="B8" s="736"/>
      <c r="C8" s="689"/>
      <c r="D8" s="883" t="s">
        <v>343</v>
      </c>
      <c r="E8" s="884" t="s">
        <v>344</v>
      </c>
      <c r="F8" s="885" t="s">
        <v>345</v>
      </c>
      <c r="G8" s="884" t="s">
        <v>345</v>
      </c>
      <c r="H8" s="1421"/>
      <c r="I8" s="883" t="s">
        <v>346</v>
      </c>
      <c r="J8" s="1421"/>
      <c r="K8" s="885" t="s">
        <v>346</v>
      </c>
    </row>
    <row r="9" spans="2:11">
      <c r="E9" s="890"/>
      <c r="F9" s="891"/>
      <c r="G9" s="890"/>
      <c r="K9" s="891"/>
    </row>
    <row r="10" spans="2:11">
      <c r="B10" s="699" t="s">
        <v>3</v>
      </c>
      <c r="D10" s="692" t="s">
        <v>347</v>
      </c>
      <c r="E10" s="892">
        <f>VLOOKUP("TOTAL "&amp;$B10, 'Consumer Analysis'!$B$11:$N$162, 3,FALSE)</f>
        <v>5466100000</v>
      </c>
      <c r="F10" s="893">
        <f>'Revenue Summary'!F10+Riders!$F10</f>
        <v>1497312683.6000001</v>
      </c>
      <c r="G10" s="894">
        <f>'Revenue Summary'!G10+Riders!$F10</f>
        <v>1558447923.6000001</v>
      </c>
      <c r="I10" s="895">
        <f>G10-F10</f>
        <v>61135240</v>
      </c>
      <c r="K10" s="896">
        <f>IF(F10=0,0,ROUND((G10-F10)/F10,9))</f>
        <v>4.0829974999999998E-2</v>
      </c>
    </row>
    <row r="11" spans="2:11">
      <c r="B11" s="699" t="s">
        <v>6</v>
      </c>
      <c r="D11" s="692" t="s">
        <v>348</v>
      </c>
      <c r="E11" s="892">
        <f>VLOOKUP("TOTAL "&amp;$B11, 'Consumer Analysis'!$B$11:$N$162, 3,FALSE)</f>
        <v>455100000</v>
      </c>
      <c r="F11" s="893">
        <f>'Revenue Summary'!F11+Riders!$F11</f>
        <v>107256161.60000001</v>
      </c>
      <c r="G11" s="894">
        <f>'Revenue Summary'!G11+Riders!$F11</f>
        <v>108216896.60000001</v>
      </c>
      <c r="I11" s="895">
        <f>G11-F11</f>
        <v>960735</v>
      </c>
      <c r="K11" s="896">
        <f>IF(F11=0,0,ROUND((G11-F11)/F11,9))</f>
        <v>8.9573870000000007E-3</v>
      </c>
    </row>
    <row r="12" spans="2:11">
      <c r="B12" s="699" t="s">
        <v>8</v>
      </c>
      <c r="D12" s="692" t="s">
        <v>349</v>
      </c>
      <c r="E12" s="892">
        <f>VLOOKUP("TOTAL "&amp;$B12, 'Consumer Analysis'!$B$11:$N$162, 3,FALSE)</f>
        <v>16400000</v>
      </c>
      <c r="F12" s="893">
        <f>'Revenue Summary'!F12+Riders!$F12</f>
        <v>3674597.4000000004</v>
      </c>
      <c r="G12" s="894">
        <f>'Revenue Summary'!G12+Riders!$F12</f>
        <v>3899708.4000000004</v>
      </c>
      <c r="I12" s="895">
        <f>G12-F12</f>
        <v>225111</v>
      </c>
      <c r="K12" s="896">
        <f>IF(F12=0,0,ROUND((G12-F12)/F12,9))</f>
        <v>6.1261404999999998E-2</v>
      </c>
    </row>
    <row r="13" spans="2:11" ht="26.4">
      <c r="B13" s="699" t="s">
        <v>9</v>
      </c>
      <c r="D13" s="715" t="s">
        <v>350</v>
      </c>
      <c r="E13" s="892">
        <f>VLOOKUP("TOTAL "&amp;$B13, 'Consumer Analysis'!$B$11:$N$162, 3,FALSE)</f>
        <v>262000000.00000003</v>
      </c>
      <c r="F13" s="893">
        <f>'Revenue Summary'!F13+Riders!$F13</f>
        <v>79450626</v>
      </c>
      <c r="G13" s="894">
        <f>'Revenue Summary'!G13+Riders!$F13</f>
        <v>77746637</v>
      </c>
      <c r="I13" s="895">
        <f>G13-F13</f>
        <v>-1703989</v>
      </c>
      <c r="K13" s="896">
        <f>IF(F13=0,0,ROUND((G13-F13)/F13,9))</f>
        <v>-2.1447144000000001E-2</v>
      </c>
    </row>
    <row r="14" spans="2:11">
      <c r="B14" s="728"/>
      <c r="C14" s="728"/>
      <c r="D14" s="728" t="s">
        <v>351</v>
      </c>
      <c r="E14" s="919">
        <f>SUM(E10:E13)</f>
        <v>6199600000</v>
      </c>
      <c r="F14" s="920">
        <f t="shared" ref="F14" si="0">SUM(F10:F13)</f>
        <v>1687694068.6000001</v>
      </c>
      <c r="G14" s="921">
        <f>SUM(G10:G13)</f>
        <v>1748311165.6000001</v>
      </c>
      <c r="H14" s="728"/>
      <c r="I14" s="922">
        <f>SUM(I10:I13)</f>
        <v>60617097</v>
      </c>
      <c r="J14" s="728"/>
      <c r="K14" s="923">
        <f>IF(F14=0,0,ROUND((G14-F14)/F14,9))</f>
        <v>3.5917112000000001E-2</v>
      </c>
    </row>
    <row r="15" spans="2:11">
      <c r="E15" s="892"/>
      <c r="F15" s="935"/>
      <c r="G15" s="892"/>
      <c r="I15" s="895"/>
      <c r="K15" s="896"/>
    </row>
    <row r="16" spans="2:11">
      <c r="B16" s="699" t="s">
        <v>10</v>
      </c>
      <c r="D16" s="692" t="s">
        <v>352</v>
      </c>
      <c r="E16" s="892">
        <f>VLOOKUP("TOTAL "&amp;$B16, 'Consumer Analysis'!$B$11:$N$162, 3,FALSE)</f>
        <v>2239100000</v>
      </c>
      <c r="F16" s="893">
        <f>'Revenue Summary'!F16+Riders!$F16</f>
        <v>669959048.60000002</v>
      </c>
      <c r="G16" s="894">
        <f>'Revenue Summary'!G16+Riders!$F16</f>
        <v>654992131.60000002</v>
      </c>
      <c r="I16" s="895">
        <f t="shared" ref="I16:I17" si="1">G16-F16</f>
        <v>-14966917</v>
      </c>
      <c r="K16" s="896">
        <f t="shared" ref="K16:K17" si="2">IF(F16=0,0,ROUND((G16-F16)/F16,9))</f>
        <v>-2.2340048000000001E-2</v>
      </c>
    </row>
    <row r="17" spans="2:11">
      <c r="B17" s="699" t="s">
        <v>22</v>
      </c>
      <c r="D17" s="692" t="s">
        <v>353</v>
      </c>
      <c r="E17" s="892">
        <f>VLOOKUP("TOTAL "&amp;$B17, 'Consumer Analysis'!$B$11:$N$162, 3,FALSE)</f>
        <v>150000</v>
      </c>
      <c r="F17" s="893">
        <f>'Revenue Summary'!F17+Riders!$F17</f>
        <v>95375.4</v>
      </c>
      <c r="G17" s="894">
        <f>'Revenue Summary'!G17+Riders!$F17</f>
        <v>121605.4</v>
      </c>
      <c r="I17" s="895">
        <f t="shared" si="1"/>
        <v>26230</v>
      </c>
      <c r="K17" s="896">
        <f t="shared" si="2"/>
        <v>0.275018506</v>
      </c>
    </row>
    <row r="18" spans="2:11">
      <c r="B18" s="735" t="s">
        <v>21</v>
      </c>
      <c r="C18" s="736"/>
      <c r="D18" s="736" t="s">
        <v>354</v>
      </c>
      <c r="E18" s="944">
        <f>VLOOKUP("TOTAL "&amp;$B18, 'Consumer Analysis'!$B$11:$N$162, 3,FALSE)</f>
        <v>16450000</v>
      </c>
      <c r="F18" s="893">
        <f>'Revenue Summary'!F18+Riders!$F18</f>
        <v>5019863.2</v>
      </c>
      <c r="G18" s="894">
        <f>'Revenue Summary'!G18+Riders!$F18</f>
        <v>5646003.2000000002</v>
      </c>
      <c r="I18" s="895">
        <f>G18-F18</f>
        <v>626140</v>
      </c>
      <c r="K18" s="896">
        <f>IF(F18=0,0,ROUND((G18-F18)/F18,9))</f>
        <v>0.12473248300000001</v>
      </c>
    </row>
    <row r="19" spans="2:11">
      <c r="B19" s="739"/>
      <c r="C19" s="728"/>
      <c r="D19" s="728" t="s">
        <v>355</v>
      </c>
      <c r="E19" s="919">
        <f>SUM(E16:E18)</f>
        <v>2255700000</v>
      </c>
      <c r="F19" s="920">
        <f>SUM(F16:F18)</f>
        <v>675074287.20000005</v>
      </c>
      <c r="G19" s="921">
        <f>SUM(G16:G18)</f>
        <v>660759740.20000005</v>
      </c>
      <c r="H19" s="728"/>
      <c r="I19" s="922">
        <f>SUM(I16:I18)</f>
        <v>-14314547</v>
      </c>
      <c r="J19" s="728"/>
      <c r="K19" s="923">
        <f>IF(F19=0,0,ROUND((G19-F19)/F19,9))</f>
        <v>-2.1204403E-2</v>
      </c>
    </row>
    <row r="20" spans="2:11">
      <c r="B20" s="699"/>
      <c r="E20" s="892"/>
      <c r="F20" s="935"/>
      <c r="G20" s="892"/>
      <c r="I20" s="895"/>
      <c r="K20" s="896"/>
    </row>
    <row r="21" spans="2:11">
      <c r="B21" s="699" t="s">
        <v>12</v>
      </c>
      <c r="D21" s="692" t="s">
        <v>356</v>
      </c>
      <c r="E21" s="892">
        <f>VLOOKUP("TOTAL "&amp;$B21, 'Consumer Analysis'!$B$11:$N$162, 3,FALSE)</f>
        <v>3794500000</v>
      </c>
      <c r="F21" s="893">
        <f>'Revenue Summary'!F21+Riders!$F21</f>
        <v>1138114617</v>
      </c>
      <c r="G21" s="894">
        <f>'Revenue Summary'!G21+Riders!$F21</f>
        <v>1238638753</v>
      </c>
      <c r="I21" s="895">
        <f t="shared" ref="I21" si="3">G21-F21</f>
        <v>100524136</v>
      </c>
      <c r="K21" s="896">
        <f>IF(F21=0,0,ROUND((G21-F21)/F21,9))</f>
        <v>8.8325142999999995E-2</v>
      </c>
    </row>
    <row r="22" spans="2:11">
      <c r="B22" s="699" t="s">
        <v>14</v>
      </c>
      <c r="D22" s="692" t="s">
        <v>357</v>
      </c>
      <c r="E22" s="892">
        <f>VLOOKUP("TOTAL "&amp;$B22, 'Consumer Analysis'!$B$11:$N$162, 3,FALSE)</f>
        <v>6100000</v>
      </c>
      <c r="F22" s="893">
        <f>'Revenue Summary'!F22+Riders!$F22</f>
        <v>1698925.6</v>
      </c>
      <c r="G22" s="894">
        <f>'Revenue Summary'!G22+Riders!$F22</f>
        <v>1816609.6</v>
      </c>
      <c r="I22" s="895">
        <f>G22-F22</f>
        <v>117684</v>
      </c>
      <c r="K22" s="896">
        <f>IF(F22=0,0,ROUND((G22-F22)/F22,9))</f>
        <v>6.9269660999999996E-2</v>
      </c>
    </row>
    <row r="23" spans="2:11">
      <c r="B23" s="728"/>
      <c r="C23" s="728"/>
      <c r="D23" s="728" t="s">
        <v>358</v>
      </c>
      <c r="E23" s="919">
        <f>SUM(E21:E22)</f>
        <v>3800600000</v>
      </c>
      <c r="F23" s="920">
        <f t="shared" ref="F23:G23" si="4">SUM(F21:F22)</f>
        <v>1139813542.5999999</v>
      </c>
      <c r="G23" s="921">
        <f t="shared" si="4"/>
        <v>1240455362.5999999</v>
      </c>
      <c r="H23" s="728"/>
      <c r="I23" s="922">
        <f>G23-F23</f>
        <v>100641820</v>
      </c>
      <c r="J23" s="728"/>
      <c r="K23" s="923">
        <f>IF(F23=0,0,ROUND((G23-F23)/F23,9))</f>
        <v>8.8296739999999999E-2</v>
      </c>
    </row>
    <row r="24" spans="2:11">
      <c r="E24" s="892"/>
      <c r="F24" s="893"/>
      <c r="G24" s="894"/>
      <c r="I24" s="895"/>
      <c r="K24" s="896"/>
    </row>
    <row r="25" spans="2:11">
      <c r="B25" s="699" t="s">
        <v>13</v>
      </c>
      <c r="D25" s="743" t="s">
        <v>359</v>
      </c>
      <c r="E25" s="892">
        <f>VLOOKUP("TOTAL "&amp;$B25, 'Consumer Analysis'!$B$11:$N$162, 3,FALSE)</f>
        <v>2624493598.1999998</v>
      </c>
      <c r="F25" s="893">
        <f>'Revenue Summary'!F25+Riders!$F25</f>
        <v>710301784.32199919</v>
      </c>
      <c r="G25" s="894">
        <f>'Revenue Summary'!G25+Riders!$F25</f>
        <v>678125201.32199919</v>
      </c>
      <c r="I25" s="895">
        <f>G25-F25</f>
        <v>-32176583</v>
      </c>
      <c r="K25" s="896">
        <f>IF(F25=0,0,ROUND((G25-F25)/F25,9))</f>
        <v>-4.5299876000000003E-2</v>
      </c>
    </row>
    <row r="26" spans="2:11">
      <c r="B26" s="699" t="s">
        <v>16</v>
      </c>
      <c r="D26" s="692" t="s">
        <v>360</v>
      </c>
      <c r="E26" s="892">
        <f>VLOOKUP("TOTAL "&amp;$B26, 'Consumer Analysis'!$B$11:$N$162, 3,FALSE)</f>
        <v>289200000</v>
      </c>
      <c r="F26" s="893">
        <f>'Revenue Summary'!F26+Riders!$F26</f>
        <v>77946833.200000003</v>
      </c>
      <c r="G26" s="894">
        <f>'Revenue Summary'!G26+Riders!$F26</f>
        <v>75263185.200000003</v>
      </c>
      <c r="I26" s="895">
        <f>G26-F26</f>
        <v>-2683648</v>
      </c>
      <c r="K26" s="896">
        <f>IF(F26=0,0,ROUND((G26-F26)/F26,9))</f>
        <v>-3.4429211000000001E-2</v>
      </c>
    </row>
    <row r="27" spans="2:11">
      <c r="B27" s="699" t="s">
        <v>17</v>
      </c>
      <c r="D27" s="692" t="s">
        <v>361</v>
      </c>
      <c r="E27" s="892">
        <f>VLOOKUP("TOTAL "&amp;$B27, 'Consumer Analysis'!$B$11:$N$162, 3,FALSE)</f>
        <v>60700000</v>
      </c>
      <c r="F27" s="893">
        <f>'Revenue Summary'!F27+Riders!$F27</f>
        <v>15462790.200000001</v>
      </c>
      <c r="G27" s="894">
        <f>'Revenue Summary'!G27+Riders!$F27</f>
        <v>14833108.200000001</v>
      </c>
      <c r="I27" s="895">
        <f t="shared" ref="I27:I28" si="5">G27-F27</f>
        <v>-629682</v>
      </c>
      <c r="K27" s="896">
        <f t="shared" ref="K27:K28" si="6">IF(F27=0,0,ROUND((G27-F27)/F27,9))</f>
        <v>-4.0722405000000003E-2</v>
      </c>
    </row>
    <row r="28" spans="2:11">
      <c r="B28" s="699" t="s">
        <v>24</v>
      </c>
      <c r="D28" s="692" t="s">
        <v>362</v>
      </c>
      <c r="E28" s="892">
        <f>VLOOKUP("TOTAL "&amp;$B28, 'Consumer Analysis'!$B$11:$N$162, 3,FALSE)</f>
        <v>4200000</v>
      </c>
      <c r="F28" s="893">
        <f>'Revenue Summary'!F28+Riders!$F28</f>
        <v>2080332.2000000002</v>
      </c>
      <c r="G28" s="894">
        <f>'Revenue Summary'!G28+Riders!$F28</f>
        <v>2472910.2000000002</v>
      </c>
      <c r="I28" s="895">
        <f t="shared" si="5"/>
        <v>392578</v>
      </c>
      <c r="K28" s="896">
        <f t="shared" si="6"/>
        <v>0.188709284</v>
      </c>
    </row>
    <row r="29" spans="2:11">
      <c r="B29" s="728"/>
      <c r="C29" s="728"/>
      <c r="D29" s="728" t="s">
        <v>363</v>
      </c>
      <c r="E29" s="919">
        <f>SUM(E25:E28)</f>
        <v>2978593598.1999998</v>
      </c>
      <c r="F29" s="920">
        <f>SUM(F25:F28)</f>
        <v>805791739.92199934</v>
      </c>
      <c r="G29" s="921">
        <f>SUM(G25:G28)</f>
        <v>770694404.92199934</v>
      </c>
      <c r="H29" s="728"/>
      <c r="I29" s="922">
        <f>G29-F29</f>
        <v>-35097335</v>
      </c>
      <c r="J29" s="728"/>
      <c r="K29" s="923">
        <f>IF(F29=0,0,ROUND((G29-F29)/F29,9))</f>
        <v>-4.3556335000000002E-2</v>
      </c>
    </row>
    <row r="30" spans="2:11">
      <c r="E30" s="890"/>
      <c r="F30" s="893"/>
      <c r="G30" s="894"/>
      <c r="K30" s="948"/>
    </row>
    <row r="31" spans="2:11">
      <c r="B31" s="699" t="s">
        <v>1</v>
      </c>
      <c r="D31" s="743" t="s">
        <v>364</v>
      </c>
      <c r="E31" s="892">
        <f>VLOOKUP("TOTAL "&amp;$B31, 'Consumer Analysis - Lighting'!$B$19:$N$137, 3,FALSE)</f>
        <v>265679709.2753191</v>
      </c>
      <c r="F31" s="893">
        <f>'Revenue Summary'!F31+Riders!$F31</f>
        <v>116931821.34008856</v>
      </c>
      <c r="G31" s="894">
        <f>'Revenue Summary'!G31+Riders!$F31</f>
        <v>122583493.34030582</v>
      </c>
      <c r="I31" s="895">
        <f>G31-F31</f>
        <v>5651672.0002172589</v>
      </c>
      <c r="K31" s="896">
        <f>IF(F31=0,0,ROUND((G31-F31)/F31,9))</f>
        <v>4.8333054E-2</v>
      </c>
    </row>
    <row r="32" spans="2:11">
      <c r="B32" s="699" t="s">
        <v>20</v>
      </c>
      <c r="D32" s="750" t="s">
        <v>365</v>
      </c>
      <c r="E32" s="1423">
        <f>VLOOKUP("TOTAL "&amp;$B32, 'Consumer Analysis - Lighting'!$B$13:$N$137, 3,FALSE)</f>
        <v>3109157.565660065</v>
      </c>
      <c r="F32" s="893">
        <f>'Revenue Summary'!F32+Riders!$F32</f>
        <v>950905.58072833857</v>
      </c>
      <c r="G32" s="894">
        <f>'Revenue Summary'!G32+Riders!$F32</f>
        <v>909543.16244349058</v>
      </c>
      <c r="I32" s="895">
        <f>G32-F32</f>
        <v>-41362.418284847983</v>
      </c>
      <c r="K32" s="896">
        <f>IF(F32=0,0,ROUND((G32-F32)/F32,9))</f>
        <v>-4.3497924E-2</v>
      </c>
    </row>
    <row r="33" spans="2:11">
      <c r="B33" s="692" t="s">
        <v>329</v>
      </c>
      <c r="C33" s="728"/>
      <c r="D33" s="728" t="s">
        <v>366</v>
      </c>
      <c r="E33" s="919">
        <f>SUM(E31:E32)</f>
        <v>268788866.84097916</v>
      </c>
      <c r="F33" s="920">
        <f t="shared" ref="F33" si="7">SUM(F31:F32)</f>
        <v>117882726.9208169</v>
      </c>
      <c r="G33" s="921">
        <f>SUM(G31:G32)</f>
        <v>123493036.50274931</v>
      </c>
      <c r="H33" s="728"/>
      <c r="I33" s="922">
        <f>G33-F33</f>
        <v>5610309.5819324106</v>
      </c>
      <c r="J33" s="728"/>
      <c r="K33" s="923">
        <f>IF(F33=0,0,ROUND((G33-F33)/F33,9))</f>
        <v>4.7592295999999999E-2</v>
      </c>
    </row>
    <row r="34" spans="2:11">
      <c r="E34" s="890"/>
      <c r="F34" s="893"/>
      <c r="G34" s="894"/>
      <c r="K34" s="948"/>
    </row>
    <row r="35" spans="2:11" ht="26.4">
      <c r="B35" s="699" t="s">
        <v>19</v>
      </c>
      <c r="D35" s="715" t="s">
        <v>367</v>
      </c>
      <c r="E35" s="892">
        <f>VLOOKUP("TOTAL "&amp;$B35, 'Consumer Analysis'!$B$11:$N$162, 3,FALSE)</f>
        <v>23109614.930104855</v>
      </c>
      <c r="F35" s="893">
        <f>'Revenue Summary'!F35+Riders!$F35</f>
        <v>6449579.7885296978</v>
      </c>
      <c r="G35" s="894">
        <f>'Revenue Summary'!G35+Riders!$F35</f>
        <v>6918785.7885296978</v>
      </c>
      <c r="I35" s="895">
        <f>G35-F35</f>
        <v>469206</v>
      </c>
      <c r="K35" s="896">
        <f>IF(F35=0,0,ROUND((G35-F35)/F35,9))</f>
        <v>7.2749856000000002E-2</v>
      </c>
    </row>
    <row r="36" spans="2:11">
      <c r="B36" s="692" t="s">
        <v>330</v>
      </c>
      <c r="C36" s="728"/>
      <c r="D36" s="728" t="s">
        <v>368</v>
      </c>
      <c r="E36" s="919">
        <f>SUM(E35)</f>
        <v>23109614.930104855</v>
      </c>
      <c r="F36" s="920">
        <f>SUM(F35)</f>
        <v>6449579.7885296978</v>
      </c>
      <c r="G36" s="921">
        <f>SUM(G35)</f>
        <v>6918785.7885296978</v>
      </c>
      <c r="H36" s="728"/>
      <c r="I36" s="922">
        <f>G36-F36</f>
        <v>469206</v>
      </c>
      <c r="J36" s="728"/>
      <c r="K36" s="923">
        <f>IF(F36=0,0,ROUND((G36-F36)/F36,9))</f>
        <v>7.2749856000000002E-2</v>
      </c>
    </row>
    <row r="37" spans="2:11">
      <c r="E37" s="890"/>
      <c r="F37" s="954"/>
      <c r="G37" s="955"/>
      <c r="I37" s="895"/>
      <c r="K37" s="956"/>
    </row>
    <row r="38" spans="2:11" ht="13.8" thickBot="1">
      <c r="B38" s="753" t="s">
        <v>369</v>
      </c>
      <c r="C38" s="754"/>
      <c r="D38" s="754"/>
      <c r="E38" s="959">
        <f>E14+E19+E23+E29+E33+E36</f>
        <v>15526392079.971085</v>
      </c>
      <c r="F38" s="960">
        <f>SUM(F14,F19,F23,F29,F33,F36)</f>
        <v>4432705945.0313463</v>
      </c>
      <c r="G38" s="961">
        <f>SUM(G14, G19,G23,G29,G33,G36,)</f>
        <v>4550632495.6132784</v>
      </c>
      <c r="H38" s="754"/>
      <c r="I38" s="962">
        <f>G38-F38</f>
        <v>117926550.58193207</v>
      </c>
      <c r="J38" s="754"/>
      <c r="K38" s="963">
        <f>IF(F38=0,0,ROUND((G38-F38)/F38,9))</f>
        <v>2.6603739000000001E-2</v>
      </c>
    </row>
    <row r="39" spans="2:11" ht="13.8" thickTop="1">
      <c r="B39" s="743"/>
      <c r="E39" s="975"/>
      <c r="F39" s="895"/>
      <c r="G39" s="895"/>
      <c r="I39" s="895"/>
      <c r="K39" s="976"/>
    </row>
    <row r="40" spans="2:11">
      <c r="I40" s="1428"/>
      <c r="K40" s="951"/>
    </row>
    <row r="42" spans="2:11">
      <c r="I42" s="895"/>
    </row>
    <row r="44" spans="2:11">
      <c r="G44" s="732"/>
    </row>
  </sheetData>
  <mergeCells count="2">
    <mergeCell ref="B2:D2"/>
    <mergeCell ref="G6:K6"/>
  </mergeCells>
  <conditionalFormatting sqref="G9:K9 G30:K30 H31:K33 G34:K34 H35:K36">
    <cfRule type="expression" dxfId="2" priority="16">
      <formula>HideProposed</formula>
    </cfRule>
  </conditionalFormatting>
  <conditionalFormatting sqref="G37:K39">
    <cfRule type="expression" dxfId="1" priority="15">
      <formula>HideProposed</formula>
    </cfRule>
  </conditionalFormatting>
  <conditionalFormatting sqref="H10:K29">
    <cfRule type="expression" dxfId="0" priority="3">
      <formula>HideProposed</formula>
    </cfRule>
  </conditionalFormatting>
  <pageMargins left="0.7" right="0.7" top="0.75" bottom="0.75" header="0.3" footer="0.3"/>
  <pageSetup scale="79" orientation="landscape" blackAndWhite="1" r:id="rId1"/>
  <headerFooter scaleWithDoc="0">
    <oddHeader>&amp;LDocket NEPR-AP-2023-0003
&amp;RSchedule L-1 &amp; Schedule L-2
Page &amp;P of &amp;N</oddHeader>
    <oddFooter>&amp;R&amp;"Times New Roman,Regular"&amp;8Rendered: &amp;D &amp;T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21E73-D063-446E-A437-2B2F90BC16F2}">
  <sheetPr codeName="Sheet26">
    <tabColor theme="5"/>
  </sheetPr>
  <dimension ref="A1"/>
  <sheetViews>
    <sheetView workbookViewId="0"/>
  </sheetViews>
  <sheetFormatPr defaultColWidth="8.796875" defaultRowHeight="13.8"/>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BBE13-EDC1-4EC1-A008-B2BD0AA8AF05}">
  <sheetPr codeName="Sheet27">
    <tabColor theme="5" tint="0.79998168889431442"/>
  </sheetPr>
  <dimension ref="B1:Z27"/>
  <sheetViews>
    <sheetView workbookViewId="0"/>
  </sheetViews>
  <sheetFormatPr defaultColWidth="8.796875" defaultRowHeight="13.8"/>
  <cols>
    <col min="2" max="2" width="32.59765625" style="665" customWidth="1"/>
    <col min="3" max="3" width="15.69921875" style="665" bestFit="1" customWidth="1"/>
    <col min="4" max="4" width="16.796875" style="665" customWidth="1"/>
    <col min="5" max="5" width="17.796875" style="665" customWidth="1"/>
    <col min="6" max="6" width="36.69921875" style="665" customWidth="1"/>
    <col min="7" max="7" width="33.296875" style="665" customWidth="1"/>
    <col min="8" max="10" width="15.69921875" style="665" customWidth="1"/>
    <col min="11" max="13" width="8.5" style="665"/>
    <col min="14" max="26" width="8.5" style="419"/>
  </cols>
  <sheetData>
    <row r="1" spans="2:6" s="669" customFormat="1" ht="13.2"/>
    <row r="2" spans="2:6" s="669" customFormat="1" ht="13.2">
      <c r="C2" s="1529">
        <v>2026</v>
      </c>
      <c r="D2" s="1529">
        <v>2027</v>
      </c>
      <c r="E2" s="1529">
        <v>2028</v>
      </c>
    </row>
    <row r="3" spans="2:6" s="669" customFormat="1" ht="13.2">
      <c r="B3" s="1530" t="s">
        <v>629</v>
      </c>
      <c r="C3" s="1531">
        <f>C4-C5</f>
        <v>1695114653</v>
      </c>
      <c r="D3" s="1531">
        <f>D4-D5+C7</f>
        <v>1793828425</v>
      </c>
      <c r="E3" s="1531">
        <f>E4-E5</f>
        <v>1695130906</v>
      </c>
      <c r="F3" s="669" t="s">
        <v>624</v>
      </c>
    </row>
    <row r="4" spans="2:6" s="669" customFormat="1" ht="13.2">
      <c r="B4" s="1532" t="s">
        <v>623</v>
      </c>
      <c r="C4" s="1531">
        <v>1779519055</v>
      </c>
      <c r="D4" s="1531">
        <v>1782528151</v>
      </c>
      <c r="E4" s="1531">
        <v>1785512071</v>
      </c>
    </row>
    <row r="5" spans="2:6" s="669" customFormat="1" ht="13.2">
      <c r="B5" s="1532" t="s">
        <v>305</v>
      </c>
      <c r="C5" s="1531">
        <v>84404402</v>
      </c>
      <c r="D5" s="1531">
        <v>87341675</v>
      </c>
      <c r="E5" s="1531">
        <v>90381165</v>
      </c>
    </row>
    <row r="6" spans="2:6" s="669" customFormat="1" ht="13.2">
      <c r="C6" s="1533"/>
      <c r="D6" s="1534"/>
      <c r="E6" s="712"/>
    </row>
    <row r="7" spans="2:6" s="669" customFormat="1" ht="13.2">
      <c r="B7" s="669" t="s">
        <v>616</v>
      </c>
      <c r="C7" s="1531">
        <v>98641949</v>
      </c>
      <c r="D7" s="669" t="s">
        <v>625</v>
      </c>
    </row>
    <row r="8" spans="2:6" s="669" customFormat="1" ht="13.2"/>
    <row r="9" spans="2:6" s="669" customFormat="1" ht="13.2">
      <c r="C9" s="1535" t="s">
        <v>649</v>
      </c>
      <c r="E9" s="1536" t="s">
        <v>622</v>
      </c>
    </row>
    <row r="10" spans="2:6" s="669" customFormat="1" ht="26.4">
      <c r="C10" s="1537" t="s">
        <v>578</v>
      </c>
      <c r="D10" s="1537" t="s">
        <v>575</v>
      </c>
      <c r="E10" s="1537" t="s">
        <v>579</v>
      </c>
    </row>
    <row r="11" spans="2:6" s="669" customFormat="1" ht="13.2">
      <c r="B11" s="1217" t="s">
        <v>577</v>
      </c>
      <c r="C11" s="1538">
        <f>C20</f>
        <v>227597598</v>
      </c>
      <c r="D11" s="1539">
        <v>15243558000</v>
      </c>
      <c r="E11" s="1540">
        <f>ROUND(C11/D11,6)</f>
        <v>1.4931E-2</v>
      </c>
    </row>
    <row r="12" spans="2:6" s="669" customFormat="1" ht="13.2">
      <c r="B12" s="1217" t="s">
        <v>576</v>
      </c>
      <c r="C12" s="1538">
        <v>307475000</v>
      </c>
      <c r="D12" s="1539">
        <v>16022250000</v>
      </c>
      <c r="E12" s="1540">
        <f t="shared" ref="E12" si="0">ROUND(C12/D12,6)</f>
        <v>1.9191E-2</v>
      </c>
    </row>
    <row r="13" spans="2:6" s="669" customFormat="1" ht="13.2">
      <c r="B13" s="1217" t="s">
        <v>580</v>
      </c>
      <c r="C13" s="1541">
        <f>SUM(C11:C12)</f>
        <v>535072598</v>
      </c>
      <c r="E13" s="1542">
        <f>SUM(E11:E12)</f>
        <v>3.4122E-2</v>
      </c>
    </row>
    <row r="14" spans="2:6" s="669" customFormat="1" ht="13.2">
      <c r="B14" s="1217"/>
    </row>
    <row r="15" spans="2:6" s="669" customFormat="1" ht="13.2">
      <c r="E15" s="694"/>
    </row>
    <row r="16" spans="2:6" s="669" customFormat="1" ht="13.2">
      <c r="B16" s="1543" t="s">
        <v>618</v>
      </c>
      <c r="C16" s="1544">
        <v>1779626000</v>
      </c>
      <c r="E16" s="1545"/>
    </row>
    <row r="17" spans="2:4" s="669" customFormat="1" ht="13.2">
      <c r="B17" s="1543" t="s">
        <v>620</v>
      </c>
      <c r="C17" s="1544">
        <f>C12</f>
        <v>307475000</v>
      </c>
    </row>
    <row r="18" spans="2:4" s="669" customFormat="1" ht="13.2">
      <c r="B18" s="1543" t="s">
        <v>621</v>
      </c>
      <c r="C18" s="1544">
        <v>1160149000</v>
      </c>
      <c r="D18" s="1546"/>
    </row>
    <row r="19" spans="2:4" s="669" customFormat="1" ht="13.2">
      <c r="B19" s="1543" t="s">
        <v>619</v>
      </c>
      <c r="C19" s="1544">
        <f>C5</f>
        <v>84404402</v>
      </c>
      <c r="D19" s="1546"/>
    </row>
    <row r="20" spans="2:4" s="669" customFormat="1" ht="13.2">
      <c r="B20" s="1543"/>
      <c r="C20" s="1547">
        <f>C16-C19-C17-C18</f>
        <v>227597598</v>
      </c>
    </row>
    <row r="21" spans="2:4" s="669" customFormat="1" ht="13.2"/>
    <row r="22" spans="2:4" s="669" customFormat="1" ht="13.2"/>
    <row r="23" spans="2:4" s="669" customFormat="1" ht="13.2"/>
    <row r="24" spans="2:4" s="669" customFormat="1" ht="13.2"/>
    <row r="25" spans="2:4" s="669" customFormat="1" ht="13.2"/>
    <row r="26" spans="2:4" s="669" customFormat="1" ht="13.2"/>
    <row r="27" spans="2:4" s="669" customFormat="1" ht="13.2"/>
  </sheetData>
  <hyperlinks>
    <hyperlink ref="E9" r:id="rId1" xr:uid="{9415B2D7-3195-4544-8E45-737F2E303AA7}"/>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1CC51-13A7-4DC8-A99B-B468F3C48CB5}">
  <sheetPr>
    <tabColor theme="5" tint="0.79998168889431442"/>
  </sheetPr>
  <dimension ref="A1:V39"/>
  <sheetViews>
    <sheetView workbookViewId="0"/>
  </sheetViews>
  <sheetFormatPr defaultRowHeight="13.8"/>
  <cols>
    <col min="1" max="2" width="8.69921875" style="665"/>
    <col min="3" max="3" width="34.796875" style="665" bestFit="1" customWidth="1"/>
    <col min="4" max="6" width="13.69921875" style="665" customWidth="1"/>
    <col min="7" max="7" width="0.796875" style="665" customWidth="1"/>
    <col min="8" max="10" width="12.69921875" style="665" customWidth="1"/>
    <col min="11" max="11" width="0.796875" style="665" customWidth="1"/>
    <col min="12" max="14" width="12.69921875" style="665" customWidth="1"/>
    <col min="15" max="15" width="0.796875" style="665" customWidth="1"/>
    <col min="16" max="18" width="12.69921875" style="665" customWidth="1"/>
    <col min="19" max="19" width="0.796875" style="665" customWidth="1"/>
    <col min="20" max="22" width="13.19921875" style="665" customWidth="1"/>
  </cols>
  <sheetData>
    <row r="1" spans="1:22" s="657" customFormat="1" ht="46.05" customHeight="1">
      <c r="A1" s="1429"/>
      <c r="B1" s="1429"/>
      <c r="C1" s="1429"/>
      <c r="D1" s="1608" t="s">
        <v>694</v>
      </c>
      <c r="E1" s="1608"/>
      <c r="F1" s="1608"/>
      <c r="G1" s="1429"/>
      <c r="H1" s="1608" t="s">
        <v>695</v>
      </c>
      <c r="I1" s="1608"/>
      <c r="J1" s="1608"/>
      <c r="K1" s="1429"/>
      <c r="L1" s="1430"/>
      <c r="M1" s="1430"/>
      <c r="N1" s="1430"/>
      <c r="O1" s="1430"/>
      <c r="P1" s="1430"/>
      <c r="Q1" s="1430"/>
      <c r="R1" s="1430"/>
      <c r="S1" s="1429"/>
      <c r="T1" s="1430"/>
      <c r="U1" s="1429"/>
      <c r="V1" s="1429"/>
    </row>
    <row r="2" spans="1:22">
      <c r="D2" s="1605" t="s">
        <v>545</v>
      </c>
      <c r="E2" s="1606"/>
      <c r="F2" s="1607"/>
      <c r="H2" s="1605" t="s">
        <v>546</v>
      </c>
      <c r="I2" s="1606"/>
      <c r="J2" s="1607"/>
      <c r="L2" s="1605" t="s">
        <v>547</v>
      </c>
      <c r="M2" s="1606"/>
      <c r="N2" s="1607"/>
      <c r="P2" s="1605" t="s">
        <v>548</v>
      </c>
      <c r="Q2" s="1606"/>
      <c r="R2" s="1607"/>
      <c r="T2" s="1605" t="s">
        <v>570</v>
      </c>
      <c r="U2" s="1606"/>
      <c r="V2" s="1607"/>
    </row>
    <row r="3" spans="1:22">
      <c r="D3" s="884">
        <v>2026</v>
      </c>
      <c r="E3" s="883">
        <v>2027</v>
      </c>
      <c r="F3" s="885">
        <v>2028</v>
      </c>
      <c r="H3" s="884">
        <v>2026</v>
      </c>
      <c r="I3" s="883">
        <v>2027</v>
      </c>
      <c r="J3" s="885">
        <v>2028</v>
      </c>
      <c r="L3" s="884">
        <v>2026</v>
      </c>
      <c r="M3" s="883">
        <v>2027</v>
      </c>
      <c r="N3" s="885">
        <v>2028</v>
      </c>
      <c r="P3" s="884">
        <v>2026</v>
      </c>
      <c r="Q3" s="883">
        <v>2027</v>
      </c>
      <c r="R3" s="885">
        <v>2028</v>
      </c>
      <c r="T3" s="884">
        <v>2026</v>
      </c>
      <c r="U3" s="883">
        <v>2027</v>
      </c>
      <c r="V3" s="885">
        <v>2028</v>
      </c>
    </row>
    <row r="4" spans="1:22">
      <c r="B4" s="699" t="s">
        <v>3</v>
      </c>
      <c r="C4" s="692" t="s">
        <v>347</v>
      </c>
      <c r="D4" s="1431">
        <v>2115700378.441896</v>
      </c>
      <c r="E4" s="1432">
        <v>2187644807.8815231</v>
      </c>
      <c r="F4" s="1433">
        <v>2175218038.5225515</v>
      </c>
      <c r="H4" s="1431">
        <v>998389289.1132102</v>
      </c>
      <c r="I4" s="1432">
        <v>970538851.60000014</v>
      </c>
      <c r="J4" s="1433">
        <v>938737915.49894118</v>
      </c>
      <c r="L4" s="1434">
        <f>D4-H4</f>
        <v>1117311089.3286858</v>
      </c>
      <c r="M4" s="1435">
        <f t="shared" ref="M4:M7" si="0">E4-I4</f>
        <v>1217105956.281523</v>
      </c>
      <c r="N4" s="901">
        <f t="shared" ref="N4:N7" si="1">F4-J4</f>
        <v>1236480123.0236104</v>
      </c>
      <c r="P4" s="1436">
        <f>L4/L$32</f>
        <v>0.42771572383895684</v>
      </c>
      <c r="Q4" s="1437">
        <f t="shared" ref="Q4:Q32" si="2">M4/M$32</f>
        <v>0.43438711077798214</v>
      </c>
      <c r="R4" s="1438">
        <f t="shared" ref="R4:R32" si="3">N4/N$32</f>
        <v>0.44353485007468585</v>
      </c>
      <c r="T4" s="1439">
        <f>P4*T$33</f>
        <v>767248623.24177086</v>
      </c>
      <c r="U4" s="1440">
        <f t="shared" ref="U4:U32" si="4">Q4*U$33</f>
        <v>779215946.76716828</v>
      </c>
      <c r="V4" s="1441">
        <f t="shared" ref="V4:V32" si="5">R4*V$33</f>
        <v>795625421.54208481</v>
      </c>
    </row>
    <row r="5" spans="1:22">
      <c r="B5" s="699" t="s">
        <v>6</v>
      </c>
      <c r="C5" s="692" t="s">
        <v>348</v>
      </c>
      <c r="D5" s="1431">
        <v>179504879.40179279</v>
      </c>
      <c r="E5" s="1432">
        <v>186394222.85860348</v>
      </c>
      <c r="F5" s="1433">
        <v>185792573.01108059</v>
      </c>
      <c r="H5" s="1431">
        <v>83128180.536089361</v>
      </c>
      <c r="I5" s="1432">
        <v>80805735.600000009</v>
      </c>
      <c r="J5" s="1433">
        <v>78161470.447044745</v>
      </c>
      <c r="L5" s="1434">
        <f t="shared" ref="L5:L7" si="6">D5-H5</f>
        <v>96376698.865703434</v>
      </c>
      <c r="M5" s="1435">
        <f t="shared" si="0"/>
        <v>105588487.25860347</v>
      </c>
      <c r="N5" s="901">
        <f t="shared" si="1"/>
        <v>107631102.56403585</v>
      </c>
      <c r="P5" s="1436">
        <f t="shared" ref="P5:P32" si="7">L5/L$32</f>
        <v>3.6893779995794039E-2</v>
      </c>
      <c r="Q5" s="1437">
        <f t="shared" si="2"/>
        <v>3.7684704174657274E-2</v>
      </c>
      <c r="R5" s="1438">
        <f>N5/N$32</f>
        <v>3.8608097332270032E-2</v>
      </c>
      <c r="T5" s="1439">
        <f>P5*T$33</f>
        <v>66181111.262151726</v>
      </c>
      <c r="U5" s="1440">
        <f t="shared" si="4"/>
        <v>67599893.536216378</v>
      </c>
      <c r="V5" s="1441">
        <f t="shared" si="5"/>
        <v>69256302.429792657</v>
      </c>
    </row>
    <row r="6" spans="1:22">
      <c r="B6" s="699" t="s">
        <v>8</v>
      </c>
      <c r="C6" s="692" t="s">
        <v>349</v>
      </c>
      <c r="D6" s="1431">
        <v>6105412.7552721566</v>
      </c>
      <c r="E6" s="1432">
        <v>6303227.3942877725</v>
      </c>
      <c r="F6" s="1433">
        <v>6225988.712185936</v>
      </c>
      <c r="H6" s="1431">
        <v>2990378.6849057344</v>
      </c>
      <c r="I6" s="1432">
        <v>2911918.4000000004</v>
      </c>
      <c r="J6" s="1433">
        <v>2811710.7062659594</v>
      </c>
      <c r="L6" s="1434">
        <f t="shared" si="6"/>
        <v>3115034.0703664222</v>
      </c>
      <c r="M6" s="1435">
        <f t="shared" si="0"/>
        <v>3391308.9942877721</v>
      </c>
      <c r="N6" s="901">
        <f t="shared" si="1"/>
        <v>3414278.0059199766</v>
      </c>
      <c r="P6" s="1436">
        <f t="shared" si="7"/>
        <v>1.1924602421965595E-3</v>
      </c>
      <c r="Q6" s="1437">
        <f t="shared" si="2"/>
        <v>1.2103637388192227E-3</v>
      </c>
      <c r="R6" s="1438">
        <f t="shared" si="3"/>
        <v>1.2247275595226837E-3</v>
      </c>
      <c r="T6" s="1439">
        <f>P6*T$33</f>
        <v>2139069.0781345726</v>
      </c>
      <c r="U6" s="1440">
        <f t="shared" si="4"/>
        <v>2171184.8792831977</v>
      </c>
      <c r="V6" s="1441">
        <f t="shared" si="5"/>
        <v>2196951.1091526696</v>
      </c>
    </row>
    <row r="7" spans="1:22" ht="39.6">
      <c r="B7" s="699" t="s">
        <v>9</v>
      </c>
      <c r="C7" s="715" t="s">
        <v>350</v>
      </c>
      <c r="D7" s="1442">
        <v>95608998.745476484</v>
      </c>
      <c r="E7" s="1443">
        <v>97743387.59276852</v>
      </c>
      <c r="F7" s="1444">
        <v>96026634.140137464</v>
      </c>
      <c r="H7" s="1431">
        <v>47863279.461456224</v>
      </c>
      <c r="I7" s="1432">
        <v>46519672.000000007</v>
      </c>
      <c r="J7" s="1433">
        <v>45003562.919329196</v>
      </c>
      <c r="L7" s="1434">
        <f t="shared" si="6"/>
        <v>47745719.28402026</v>
      </c>
      <c r="M7" s="1435">
        <f t="shared" si="0"/>
        <v>51223715.592768513</v>
      </c>
      <c r="N7" s="901">
        <f t="shared" si="1"/>
        <v>51023071.220808268</v>
      </c>
      <c r="P7" s="1436">
        <f t="shared" si="7"/>
        <v>1.8277447596126768E-2</v>
      </c>
      <c r="Q7" s="1437">
        <f t="shared" si="2"/>
        <v>1.8281828056808089E-2</v>
      </c>
      <c r="R7" s="1438">
        <f t="shared" si="3"/>
        <v>1.830236477148698E-2</v>
      </c>
      <c r="T7" s="1439">
        <f>P7*T$33</f>
        <v>32786605.034380116</v>
      </c>
      <c r="U7" s="1440">
        <f t="shared" si="4"/>
        <v>32794462.829264864</v>
      </c>
      <c r="V7" s="1441">
        <f t="shared" si="5"/>
        <v>32831302.171811976</v>
      </c>
    </row>
    <row r="8" spans="1:22">
      <c r="B8" s="728"/>
      <c r="C8" s="728" t="s">
        <v>351</v>
      </c>
      <c r="D8" s="1445">
        <v>2396919669.3444376</v>
      </c>
      <c r="E8" s="1446">
        <v>2478085645.7271829</v>
      </c>
      <c r="F8" s="1447">
        <v>2463263234.3859558</v>
      </c>
      <c r="H8" s="1448">
        <f>SUM(H4:H7)</f>
        <v>1132371127.7956617</v>
      </c>
      <c r="I8" s="1449">
        <f t="shared" ref="I8:J8" si="8">SUM(I4:I7)</f>
        <v>1100776177.6000001</v>
      </c>
      <c r="J8" s="1450">
        <f t="shared" si="8"/>
        <v>1064714659.571581</v>
      </c>
      <c r="L8" s="1451">
        <f t="shared" ref="L8" si="9">D8-H8</f>
        <v>1264548541.5487759</v>
      </c>
      <c r="M8" s="1452">
        <f t="shared" ref="M8" si="10">E8-I8</f>
        <v>1377309468.1271827</v>
      </c>
      <c r="N8" s="1453">
        <f t="shared" ref="N8" si="11">F8-J8</f>
        <v>1398548574.8143749</v>
      </c>
      <c r="P8" s="1454">
        <f t="shared" si="7"/>
        <v>0.48407941167307422</v>
      </c>
      <c r="Q8" s="1455">
        <f t="shared" si="2"/>
        <v>0.49156400674826672</v>
      </c>
      <c r="R8" s="1456">
        <f t="shared" si="3"/>
        <v>0.50167003973796565</v>
      </c>
      <c r="T8" s="1457">
        <f>P8*T$33</f>
        <v>868355408.61643732</v>
      </c>
      <c r="U8" s="1458">
        <f t="shared" si="4"/>
        <v>881781488.01193261</v>
      </c>
      <c r="V8" s="1459">
        <f t="shared" si="5"/>
        <v>899909977.25284231</v>
      </c>
    </row>
    <row r="9" spans="1:22">
      <c r="B9" s="692"/>
      <c r="C9" s="692"/>
      <c r="D9" s="1431"/>
      <c r="E9" s="1432"/>
      <c r="F9" s="1433"/>
      <c r="H9" s="1460"/>
      <c r="I9" s="1461"/>
      <c r="J9" s="711"/>
      <c r="L9" s="1462"/>
      <c r="M9" s="1463"/>
      <c r="N9" s="1464"/>
      <c r="P9" s="1436"/>
      <c r="Q9" s="1437"/>
      <c r="R9" s="1438"/>
      <c r="T9" s="1439"/>
      <c r="U9" s="1440"/>
      <c r="V9" s="1441"/>
    </row>
    <row r="10" spans="1:22">
      <c r="B10" s="699" t="s">
        <v>10</v>
      </c>
      <c r="C10" s="692" t="s">
        <v>352</v>
      </c>
      <c r="D10" s="1431">
        <v>760431322.27997184</v>
      </c>
      <c r="E10" s="1432">
        <v>808089624.6278708</v>
      </c>
      <c r="F10" s="1433">
        <v>819913176.66586852</v>
      </c>
      <c r="H10" s="1431">
        <v>385552221.37972045</v>
      </c>
      <c r="I10" s="1432">
        <v>397565639.60000002</v>
      </c>
      <c r="J10" s="1433">
        <v>407801098.27662945</v>
      </c>
      <c r="L10" s="1434">
        <f t="shared" ref="L10:L13" si="12">D10-H10</f>
        <v>374879100.90025139</v>
      </c>
      <c r="M10" s="1435">
        <f t="shared" ref="M10:M13" si="13">E10-I10</f>
        <v>410523985.02787077</v>
      </c>
      <c r="N10" s="901">
        <f t="shared" ref="N10:N13" si="14">F10-J10</f>
        <v>412112078.38923907</v>
      </c>
      <c r="P10" s="1436">
        <f t="shared" si="7"/>
        <v>0.14350675252850706</v>
      </c>
      <c r="Q10" s="1437">
        <f t="shared" si="2"/>
        <v>0.14651668315397889</v>
      </c>
      <c r="R10" s="1438">
        <f t="shared" si="3"/>
        <v>0.14782774546780811</v>
      </c>
      <c r="T10" s="1439">
        <f>P10*T$33</f>
        <v>257426491.86507657</v>
      </c>
      <c r="U10" s="1440">
        <f t="shared" si="4"/>
        <v>262825790.97832599</v>
      </c>
      <c r="V10" s="1441">
        <f t="shared" si="5"/>
        <v>265177611.8238191</v>
      </c>
    </row>
    <row r="11" spans="1:22">
      <c r="B11" s="699" t="s">
        <v>22</v>
      </c>
      <c r="C11" s="692" t="s">
        <v>353</v>
      </c>
      <c r="D11" s="1431">
        <v>570773.2125829513</v>
      </c>
      <c r="E11" s="1432">
        <v>657630.54003483488</v>
      </c>
      <c r="F11" s="1433">
        <v>703366.26502672804</v>
      </c>
      <c r="H11" s="1431">
        <v>26438.739600000008</v>
      </c>
      <c r="I11" s="1432">
        <v>26633.4</v>
      </c>
      <c r="J11" s="1433">
        <v>27873.463020000007</v>
      </c>
      <c r="L11" s="1434">
        <f t="shared" si="12"/>
        <v>544334.47298295132</v>
      </c>
      <c r="M11" s="1435">
        <f t="shared" si="13"/>
        <v>630997.14003483485</v>
      </c>
      <c r="N11" s="901">
        <f t="shared" si="14"/>
        <v>675492.80200672802</v>
      </c>
      <c r="P11" s="1436">
        <f t="shared" si="7"/>
        <v>2.0837563982497093E-4</v>
      </c>
      <c r="Q11" s="1437">
        <f t="shared" si="2"/>
        <v>2.2520391355763085E-4</v>
      </c>
      <c r="R11" s="1438">
        <f t="shared" si="3"/>
        <v>2.4230441968767715E-4</v>
      </c>
      <c r="T11" s="1439">
        <f>P11*T$33</f>
        <v>373790.1457955949</v>
      </c>
      <c r="U11" s="1440">
        <f t="shared" si="4"/>
        <v>403977.18156092108</v>
      </c>
      <c r="V11" s="1441">
        <f t="shared" si="5"/>
        <v>434652.55553888489</v>
      </c>
    </row>
    <row r="12" spans="1:22">
      <c r="B12" s="735" t="s">
        <v>21</v>
      </c>
      <c r="C12" s="736" t="s">
        <v>354</v>
      </c>
      <c r="D12" s="1442">
        <v>6380696.2705573747</v>
      </c>
      <c r="E12" s="1443">
        <v>6856794.8775116345</v>
      </c>
      <c r="F12" s="1444">
        <v>6997717.1319587324</v>
      </c>
      <c r="H12" s="1431">
        <v>2831270.01192</v>
      </c>
      <c r="I12" s="1432">
        <v>2920796.2</v>
      </c>
      <c r="J12" s="1433">
        <v>2984911.5794039997</v>
      </c>
      <c r="L12" s="1434">
        <f t="shared" si="12"/>
        <v>3549426.2586373747</v>
      </c>
      <c r="M12" s="1435">
        <f t="shared" si="13"/>
        <v>3935998.6775116343</v>
      </c>
      <c r="N12" s="901">
        <f t="shared" si="14"/>
        <v>4012805.5525547327</v>
      </c>
      <c r="P12" s="1436">
        <f t="shared" si="7"/>
        <v>1.358749086020647E-3</v>
      </c>
      <c r="Q12" s="1437">
        <f t="shared" si="2"/>
        <v>1.4047643795728529E-3</v>
      </c>
      <c r="R12" s="1438">
        <f t="shared" si="3"/>
        <v>1.4394239551372432E-3</v>
      </c>
      <c r="T12" s="1439">
        <f>P12*T$33</f>
        <v>2437362.7329466068</v>
      </c>
      <c r="U12" s="1440">
        <f t="shared" si="4"/>
        <v>2519906.274505273</v>
      </c>
      <c r="V12" s="1441">
        <f t="shared" si="5"/>
        <v>2582079.6063511115</v>
      </c>
    </row>
    <row r="13" spans="1:22">
      <c r="B13" s="739"/>
      <c r="C13" s="728" t="s">
        <v>355</v>
      </c>
      <c r="D13" s="1445">
        <v>767382791.76311219</v>
      </c>
      <c r="E13" s="1446">
        <v>815604050.04541731</v>
      </c>
      <c r="F13" s="1447">
        <v>827614260.06285393</v>
      </c>
      <c r="H13" s="1448">
        <f>SUM(H10:H12)</f>
        <v>388409930.13124043</v>
      </c>
      <c r="I13" s="1449">
        <f t="shared" ref="I13:J13" si="15">SUM(I10:I12)</f>
        <v>400513069.19999999</v>
      </c>
      <c r="J13" s="1450">
        <f t="shared" si="15"/>
        <v>410813883.31905347</v>
      </c>
      <c r="L13" s="1451">
        <f t="shared" si="12"/>
        <v>378972861.63187176</v>
      </c>
      <c r="M13" s="1452">
        <f t="shared" si="13"/>
        <v>415090980.84541732</v>
      </c>
      <c r="N13" s="1453">
        <f t="shared" si="14"/>
        <v>416800376.74380046</v>
      </c>
      <c r="P13" s="1454">
        <f t="shared" si="7"/>
        <v>0.1450738772543527</v>
      </c>
      <c r="Q13" s="1455">
        <f t="shared" si="2"/>
        <v>0.1481466514471094</v>
      </c>
      <c r="R13" s="1456">
        <f t="shared" si="3"/>
        <v>0.14950947384263299</v>
      </c>
      <c r="T13" s="1457">
        <f>P13*T$33</f>
        <v>260237644.74381882</v>
      </c>
      <c r="U13" s="1458">
        <f t="shared" si="4"/>
        <v>265749674.43439221</v>
      </c>
      <c r="V13" s="1459">
        <f t="shared" si="5"/>
        <v>268194343.98570904</v>
      </c>
    </row>
    <row r="14" spans="1:22">
      <c r="B14" s="699"/>
      <c r="C14" s="692"/>
      <c r="D14" s="1431"/>
      <c r="E14" s="1432"/>
      <c r="F14" s="1433"/>
      <c r="H14" s="1460"/>
      <c r="I14" s="1461"/>
      <c r="J14" s="711"/>
      <c r="L14" s="1462"/>
      <c r="M14" s="1463"/>
      <c r="N14" s="1464"/>
      <c r="P14" s="1436"/>
      <c r="Q14" s="1437"/>
      <c r="R14" s="1438"/>
      <c r="T14" s="1439"/>
      <c r="U14" s="1440"/>
      <c r="V14" s="1441"/>
    </row>
    <row r="15" spans="1:22">
      <c r="B15" s="699" t="s">
        <v>12</v>
      </c>
      <c r="C15" s="692" t="s">
        <v>356</v>
      </c>
      <c r="D15" s="1431">
        <v>1294260212.4440875</v>
      </c>
      <c r="E15" s="1432">
        <v>1348214523.0370474</v>
      </c>
      <c r="F15" s="1433">
        <v>1363454971.4326594</v>
      </c>
      <c r="H15" s="1431">
        <v>654496677.25869703</v>
      </c>
      <c r="I15" s="1432">
        <v>673736242.00000012</v>
      </c>
      <c r="J15" s="1433">
        <v>690566154.93023205</v>
      </c>
      <c r="L15" s="1434">
        <f t="shared" ref="L15:L17" si="16">D15-H15</f>
        <v>639763535.18539047</v>
      </c>
      <c r="M15" s="1435">
        <f t="shared" ref="M15:M17" si="17">E15-I15</f>
        <v>674478281.03704727</v>
      </c>
      <c r="N15" s="901">
        <f t="shared" ref="N15:N17" si="18">F15-J15</f>
        <v>672888816.50242734</v>
      </c>
      <c r="P15" s="1436">
        <f t="shared" si="7"/>
        <v>0.24490665683985877</v>
      </c>
      <c r="Q15" s="1437">
        <f t="shared" si="2"/>
        <v>0.24072240405207082</v>
      </c>
      <c r="R15" s="1438">
        <f t="shared" si="3"/>
        <v>0.24137035022813549</v>
      </c>
      <c r="T15" s="1439">
        <f>P15*T$33</f>
        <v>439320522.51105934</v>
      </c>
      <c r="U15" s="1440">
        <f t="shared" si="4"/>
        <v>431814690.92293984</v>
      </c>
      <c r="V15" s="1441">
        <f t="shared" si="5"/>
        <v>432976995.19143468</v>
      </c>
    </row>
    <row r="16" spans="1:22">
      <c r="B16" s="699" t="s">
        <v>14</v>
      </c>
      <c r="C16" s="692" t="s">
        <v>357</v>
      </c>
      <c r="D16" s="1442">
        <v>1837170.6264830136</v>
      </c>
      <c r="E16" s="1443">
        <v>1910162.1017609553</v>
      </c>
      <c r="F16" s="1444">
        <v>1898406.3766915803</v>
      </c>
      <c r="H16" s="1431">
        <v>1042458.0556425315</v>
      </c>
      <c r="I16" s="1432">
        <v>1083091.6000000001</v>
      </c>
      <c r="J16" s="1433">
        <v>1102777.344239746</v>
      </c>
      <c r="L16" s="1434">
        <f t="shared" si="16"/>
        <v>794712.57084048213</v>
      </c>
      <c r="M16" s="1435">
        <f t="shared" si="17"/>
        <v>827070.5017609552</v>
      </c>
      <c r="N16" s="901">
        <f t="shared" si="18"/>
        <v>795629.0324518343</v>
      </c>
      <c r="P16" s="1436">
        <f t="shared" si="7"/>
        <v>3.0422240119820518E-4</v>
      </c>
      <c r="Q16" s="1437">
        <f t="shared" si="2"/>
        <v>2.9518281774519275E-4</v>
      </c>
      <c r="R16" s="1438">
        <f t="shared" si="3"/>
        <v>2.8539820176054162E-4</v>
      </c>
      <c r="T16" s="1439">
        <f>P16*T$33</f>
        <v>545722.79079109454</v>
      </c>
      <c r="U16" s="1440">
        <f t="shared" si="4"/>
        <v>529507.32904292119</v>
      </c>
      <c r="V16" s="1441">
        <f t="shared" si="5"/>
        <v>511955.40676194459</v>
      </c>
    </row>
    <row r="17" spans="2:22">
      <c r="B17" s="728"/>
      <c r="C17" s="728" t="s">
        <v>358</v>
      </c>
      <c r="D17" s="1445">
        <v>1296097383.0705705</v>
      </c>
      <c r="E17" s="1446">
        <v>1350124685.1388083</v>
      </c>
      <c r="F17" s="1447">
        <v>1365353377.809351</v>
      </c>
      <c r="H17" s="1448">
        <f>SUM(H15:H16)</f>
        <v>655539135.31433952</v>
      </c>
      <c r="I17" s="1449">
        <f t="shared" ref="I17:J17" si="19">SUM(I15:I16)</f>
        <v>674819333.60000014</v>
      </c>
      <c r="J17" s="1450">
        <f t="shared" si="19"/>
        <v>691668932.27447176</v>
      </c>
      <c r="L17" s="1451">
        <f t="shared" si="16"/>
        <v>640558247.75623095</v>
      </c>
      <c r="M17" s="1452">
        <f t="shared" si="17"/>
        <v>675305351.53880811</v>
      </c>
      <c r="N17" s="1453">
        <f t="shared" si="18"/>
        <v>673684445.53487921</v>
      </c>
      <c r="P17" s="1454">
        <f t="shared" si="7"/>
        <v>0.24521087924105697</v>
      </c>
      <c r="Q17" s="1455">
        <f t="shared" si="2"/>
        <v>0.24101758686981598</v>
      </c>
      <c r="R17" s="1456">
        <f t="shared" si="3"/>
        <v>0.24165574842989604</v>
      </c>
      <c r="T17" s="1457">
        <f>P17*T$33</f>
        <v>439866245.30185044</v>
      </c>
      <c r="U17" s="1458">
        <f t="shared" si="4"/>
        <v>432344198.25198269</v>
      </c>
      <c r="V17" s="1459">
        <f t="shared" si="5"/>
        <v>433488950.59819663</v>
      </c>
    </row>
    <row r="18" spans="2:22">
      <c r="B18" s="692"/>
      <c r="C18" s="692"/>
      <c r="D18" s="1431"/>
      <c r="E18" s="1432"/>
      <c r="F18" s="1433"/>
      <c r="H18" s="1431"/>
      <c r="I18" s="1432"/>
      <c r="J18" s="1433"/>
      <c r="L18" s="1434"/>
      <c r="M18" s="1435"/>
      <c r="N18" s="901"/>
      <c r="P18" s="1436"/>
      <c r="Q18" s="1437"/>
      <c r="R18" s="1438"/>
      <c r="T18" s="1439"/>
      <c r="U18" s="1440"/>
      <c r="V18" s="1441"/>
    </row>
    <row r="19" spans="2:22">
      <c r="B19" s="699" t="s">
        <v>13</v>
      </c>
      <c r="C19" s="743" t="s">
        <v>359</v>
      </c>
      <c r="D19" s="1431">
        <v>666084396.72902715</v>
      </c>
      <c r="E19" s="1432">
        <v>663808151.16704059</v>
      </c>
      <c r="F19" s="1433">
        <v>640981956.70963275</v>
      </c>
      <c r="H19" s="1431">
        <v>462266720.04737443</v>
      </c>
      <c r="I19" s="1432">
        <v>465994585.32199919</v>
      </c>
      <c r="J19" s="1433">
        <v>472940346.78599542</v>
      </c>
      <c r="L19" s="1434">
        <f t="shared" ref="L19:L23" si="20">D19-H19</f>
        <v>203817676.68165272</v>
      </c>
      <c r="M19" s="1435">
        <f t="shared" ref="M19:M23" si="21">E19-I19</f>
        <v>197813565.84504139</v>
      </c>
      <c r="N19" s="901">
        <f t="shared" ref="N19:N23" si="22">F19-J19</f>
        <v>168041609.92363733</v>
      </c>
      <c r="P19" s="1436">
        <f t="shared" si="7"/>
        <v>7.8023055481750883E-2</v>
      </c>
      <c r="Q19" s="1437">
        <f t="shared" si="2"/>
        <v>7.0599985890005906E-2</v>
      </c>
      <c r="R19" s="1438">
        <f t="shared" si="3"/>
        <v>6.0277807039495888E-2</v>
      </c>
      <c r="T19" s="1439">
        <f>P19*T$33</f>
        <v>139959974.72851682</v>
      </c>
      <c r="U19" s="1440">
        <f t="shared" si="4"/>
        <v>126644261.49409151</v>
      </c>
      <c r="V19" s="1441">
        <f t="shared" si="5"/>
        <v>108128043.66411282</v>
      </c>
    </row>
    <row r="20" spans="2:22">
      <c r="B20" s="699" t="s">
        <v>16</v>
      </c>
      <c r="C20" s="692" t="s">
        <v>360</v>
      </c>
      <c r="D20" s="1431">
        <v>78395910.701359913</v>
      </c>
      <c r="E20" s="1432">
        <v>75500633.92033653</v>
      </c>
      <c r="F20" s="1433">
        <v>72080371.799109489</v>
      </c>
      <c r="H20" s="1431">
        <v>53109797.607994594</v>
      </c>
      <c r="I20" s="1432">
        <v>51349195.200000003</v>
      </c>
      <c r="J20" s="1433">
        <v>51064174.935815394</v>
      </c>
      <c r="L20" s="1434">
        <f t="shared" si="20"/>
        <v>25286113.093365319</v>
      </c>
      <c r="M20" s="1435">
        <f t="shared" si="21"/>
        <v>24151438.720336527</v>
      </c>
      <c r="N20" s="901">
        <f t="shared" si="22"/>
        <v>21016196.863294095</v>
      </c>
      <c r="P20" s="1436">
        <f t="shared" si="7"/>
        <v>9.6797286522060846E-3</v>
      </c>
      <c r="Q20" s="1437">
        <f t="shared" si="2"/>
        <v>8.6196880663624246E-3</v>
      </c>
      <c r="R20" s="1438">
        <f t="shared" si="3"/>
        <v>7.5386700937069883E-3</v>
      </c>
      <c r="T20" s="1439">
        <f>P20*T$33</f>
        <v>17363772.402614214</v>
      </c>
      <c r="U20" s="1440">
        <f t="shared" si="4"/>
        <v>15462241.468074204</v>
      </c>
      <c r="V20" s="1441">
        <f t="shared" si="5"/>
        <v>13523080.700789008</v>
      </c>
    </row>
    <row r="21" spans="2:22">
      <c r="B21" s="699" t="s">
        <v>17</v>
      </c>
      <c r="C21" s="692" t="s">
        <v>361</v>
      </c>
      <c r="D21" s="1431">
        <v>16693142.808635103</v>
      </c>
      <c r="E21" s="1432">
        <v>16139399.684420036</v>
      </c>
      <c r="F21" s="1433">
        <v>15486409.516251249</v>
      </c>
      <c r="H21" s="1431">
        <v>11148185.331684873</v>
      </c>
      <c r="I21" s="1432">
        <v>10777649.200000001</v>
      </c>
      <c r="J21" s="1433">
        <v>10718792.231065763</v>
      </c>
      <c r="L21" s="1434">
        <f t="shared" si="20"/>
        <v>5544957.4769502301</v>
      </c>
      <c r="M21" s="1435">
        <f t="shared" si="21"/>
        <v>5361750.484420035</v>
      </c>
      <c r="N21" s="901">
        <f t="shared" si="22"/>
        <v>4767617.2851854861</v>
      </c>
      <c r="P21" s="1436">
        <f t="shared" si="7"/>
        <v>2.1226545798762025E-3</v>
      </c>
      <c r="Q21" s="1437">
        <f t="shared" si="2"/>
        <v>1.9136175364348788E-3</v>
      </c>
      <c r="R21" s="1438">
        <f t="shared" si="3"/>
        <v>1.7101806801611216E-3</v>
      </c>
      <c r="T21" s="1439">
        <f>P21*T$33</f>
        <v>3807678.1218383648</v>
      </c>
      <c r="U21" s="1440">
        <f t="shared" si="4"/>
        <v>3432701.5314353588</v>
      </c>
      <c r="V21" s="1441">
        <f t="shared" si="5"/>
        <v>3067770.7159588537</v>
      </c>
    </row>
    <row r="22" spans="2:22">
      <c r="B22" s="699" t="s">
        <v>24</v>
      </c>
      <c r="C22" s="692" t="s">
        <v>362</v>
      </c>
      <c r="D22" s="1442">
        <v>6226214.5870169709</v>
      </c>
      <c r="E22" s="1443">
        <v>6352016.70434104</v>
      </c>
      <c r="F22" s="1444">
        <v>1342968.3000152197</v>
      </c>
      <c r="H22" s="1431">
        <v>762857.96996006393</v>
      </c>
      <c r="I22" s="1432">
        <v>745735.20000000007</v>
      </c>
      <c r="J22" s="1433">
        <v>733475.07585602044</v>
      </c>
      <c r="L22" s="1434">
        <f t="shared" si="20"/>
        <v>5463356.6170569072</v>
      </c>
      <c r="M22" s="1435">
        <f t="shared" si="21"/>
        <v>5606281.5043410398</v>
      </c>
      <c r="N22" s="901">
        <f t="shared" si="22"/>
        <v>609493.22415919928</v>
      </c>
      <c r="P22" s="1436">
        <f t="shared" si="7"/>
        <v>2.0914171105728915E-3</v>
      </c>
      <c r="Q22" s="1437">
        <f t="shared" si="2"/>
        <v>2.0008910582600477E-3</v>
      </c>
      <c r="R22" s="1438">
        <f t="shared" si="3"/>
        <v>2.1862986777170003E-4</v>
      </c>
      <c r="T22" s="1439">
        <f>P22*T$33</f>
        <v>3751643.4614770208</v>
      </c>
      <c r="U22" s="1440">
        <f t="shared" si="4"/>
        <v>3589255.2556352047</v>
      </c>
      <c r="V22" s="1441">
        <f t="shared" si="5"/>
        <v>392184.47136286693</v>
      </c>
    </row>
    <row r="23" spans="2:22">
      <c r="B23" s="728"/>
      <c r="C23" s="728" t="s">
        <v>363</v>
      </c>
      <c r="D23" s="1445">
        <v>767399664.82603908</v>
      </c>
      <c r="E23" s="1446">
        <v>761800201.47613811</v>
      </c>
      <c r="F23" s="1447">
        <v>729891706.32500863</v>
      </c>
      <c r="H23" s="1448">
        <f>SUM(H19:H22)</f>
        <v>527287560.95701402</v>
      </c>
      <c r="I23" s="1449">
        <f t="shared" ref="I23:J23" si="23">SUM(I19:I22)</f>
        <v>528867164.92199916</v>
      </c>
      <c r="J23" s="1450">
        <f t="shared" si="23"/>
        <v>535456789.0287326</v>
      </c>
      <c r="L23" s="1451">
        <f t="shared" si="20"/>
        <v>240112103.86902505</v>
      </c>
      <c r="M23" s="1452">
        <f t="shared" si="21"/>
        <v>232933036.55413896</v>
      </c>
      <c r="N23" s="1453">
        <f t="shared" si="22"/>
        <v>194434917.29627603</v>
      </c>
      <c r="P23" s="1454">
        <f t="shared" si="7"/>
        <v>9.1916855824406021E-2</v>
      </c>
      <c r="Q23" s="1455">
        <f t="shared" si="2"/>
        <v>8.3134182551063238E-2</v>
      </c>
      <c r="R23" s="1456">
        <f t="shared" si="3"/>
        <v>6.9745287681135665E-2</v>
      </c>
      <c r="T23" s="1457">
        <f>P23*T$33</f>
        <v>164883068.71444634</v>
      </c>
      <c r="U23" s="1458">
        <f t="shared" si="4"/>
        <v>149128459.74923626</v>
      </c>
      <c r="V23" s="1459">
        <f t="shared" si="5"/>
        <v>125111079.55222349</v>
      </c>
    </row>
    <row r="24" spans="2:22">
      <c r="B24" s="692"/>
      <c r="C24" s="692"/>
      <c r="D24" s="1431"/>
      <c r="E24" s="1432"/>
      <c r="F24" s="1433"/>
      <c r="H24" s="1431"/>
      <c r="I24" s="1432"/>
      <c r="J24" s="1433"/>
      <c r="L24" s="1434"/>
      <c r="M24" s="1435"/>
      <c r="N24" s="901"/>
      <c r="P24" s="1436"/>
      <c r="Q24" s="1437"/>
      <c r="R24" s="1438"/>
      <c r="T24" s="1439"/>
      <c r="U24" s="1440"/>
      <c r="V24" s="1441"/>
    </row>
    <row r="25" spans="2:22">
      <c r="B25" s="699" t="s">
        <v>1</v>
      </c>
      <c r="C25" s="743" t="s">
        <v>364</v>
      </c>
      <c r="D25" s="1431"/>
      <c r="E25" s="1432"/>
      <c r="F25" s="1433"/>
      <c r="H25" s="1431">
        <v>48669463.914414994</v>
      </c>
      <c r="I25" s="1432">
        <v>47173026.460088566</v>
      </c>
      <c r="J25" s="1433">
        <v>49370653.734998234</v>
      </c>
      <c r="L25" s="1434"/>
      <c r="M25" s="1435"/>
      <c r="N25" s="901"/>
      <c r="P25" s="1436"/>
      <c r="Q25" s="1437"/>
      <c r="R25" s="1438"/>
      <c r="T25" s="1439">
        <f>P25*T$33</f>
        <v>0</v>
      </c>
      <c r="U25" s="1440">
        <f t="shared" si="4"/>
        <v>0</v>
      </c>
      <c r="V25" s="1441">
        <f t="shared" si="5"/>
        <v>0</v>
      </c>
    </row>
    <row r="26" spans="2:22">
      <c r="B26" s="699" t="s">
        <v>20</v>
      </c>
      <c r="C26" s="750" t="s">
        <v>365</v>
      </c>
      <c r="D26" s="1442"/>
      <c r="E26" s="1443"/>
      <c r="F26" s="1444"/>
      <c r="H26" s="1431">
        <v>534961.65074747079</v>
      </c>
      <c r="I26" s="1432">
        <v>552049.58072833857</v>
      </c>
      <c r="J26" s="1433">
        <v>563991.85493803886</v>
      </c>
      <c r="L26" s="1434"/>
      <c r="M26" s="1435"/>
      <c r="N26" s="901"/>
      <c r="P26" s="1436"/>
      <c r="Q26" s="1437"/>
      <c r="R26" s="1438"/>
      <c r="T26" s="1439">
        <f>P26*T$33</f>
        <v>0</v>
      </c>
      <c r="U26" s="1440">
        <f t="shared" si="4"/>
        <v>0</v>
      </c>
      <c r="V26" s="1441">
        <f t="shared" si="5"/>
        <v>0</v>
      </c>
    </row>
    <row r="27" spans="2:22">
      <c r="B27" s="728"/>
      <c r="C27" s="728" t="s">
        <v>366</v>
      </c>
      <c r="D27" s="1445">
        <v>126235608.78512052</v>
      </c>
      <c r="E27" s="1446">
        <v>136349796.72969306</v>
      </c>
      <c r="F27" s="1447">
        <v>141017961.49074143</v>
      </c>
      <c r="H27" s="1448">
        <f>SUM(H25:H26)</f>
        <v>49204425.565162465</v>
      </c>
      <c r="I27" s="1449">
        <f t="shared" ref="I27:J27" si="24">SUM(I25:I26)</f>
        <v>47725076.040816903</v>
      </c>
      <c r="J27" s="1450">
        <f t="shared" si="24"/>
        <v>49934645.589936271</v>
      </c>
      <c r="L27" s="1451">
        <f>D27-H27</f>
        <v>77031183.219958052</v>
      </c>
      <c r="M27" s="1452">
        <f t="shared" ref="M27:N27" si="25">E27-I27</f>
        <v>88624720.688876152</v>
      </c>
      <c r="N27" s="1453">
        <f t="shared" si="25"/>
        <v>91083315.90080516</v>
      </c>
      <c r="P27" s="1454">
        <f t="shared" si="7"/>
        <v>2.9488160104892084E-2</v>
      </c>
      <c r="Q27" s="1455">
        <f t="shared" si="2"/>
        <v>3.1630308080294954E-2</v>
      </c>
      <c r="R27" s="1456">
        <f t="shared" si="3"/>
        <v>3.2672280055404873E-2</v>
      </c>
      <c r="T27" s="1457">
        <f>P27*T$33</f>
        <v>52896699.7971064</v>
      </c>
      <c r="U27" s="1458">
        <f t="shared" si="4"/>
        <v>56739345.725940272</v>
      </c>
      <c r="V27" s="1459">
        <f t="shared" si="5"/>
        <v>58608464.672945835</v>
      </c>
    </row>
    <row r="28" spans="2:22">
      <c r="B28" s="692"/>
      <c r="C28" s="692"/>
      <c r="D28" s="1431"/>
      <c r="E28" s="1432"/>
      <c r="F28" s="1433"/>
      <c r="H28" s="1431"/>
      <c r="I28" s="1432"/>
      <c r="J28" s="1433"/>
      <c r="L28" s="1434"/>
      <c r="M28" s="1435"/>
      <c r="N28" s="901"/>
      <c r="P28" s="1436"/>
      <c r="Q28" s="1437"/>
      <c r="R28" s="1438"/>
      <c r="T28" s="1439"/>
      <c r="U28" s="1440"/>
      <c r="V28" s="1441"/>
    </row>
    <row r="29" spans="2:22" ht="26.4">
      <c r="B29" s="699" t="s">
        <v>19</v>
      </c>
      <c r="C29" s="715" t="s">
        <v>367</v>
      </c>
      <c r="D29" s="1442"/>
      <c r="E29" s="1443"/>
      <c r="F29" s="1444"/>
      <c r="H29" s="1431">
        <v>3976240.3448738419</v>
      </c>
      <c r="I29" s="1432">
        <v>4103250.7885296983</v>
      </c>
      <c r="J29" s="1433">
        <v>4200763.9248446897</v>
      </c>
      <c r="L29" s="1434"/>
      <c r="M29" s="1435"/>
      <c r="N29" s="901"/>
      <c r="P29" s="1436"/>
      <c r="Q29" s="1437"/>
      <c r="R29" s="1438"/>
      <c r="T29" s="1439">
        <f>P29*T$33</f>
        <v>0</v>
      </c>
      <c r="U29" s="1440">
        <f t="shared" si="4"/>
        <v>0</v>
      </c>
      <c r="V29" s="1441">
        <f t="shared" si="5"/>
        <v>0</v>
      </c>
    </row>
    <row r="30" spans="2:22">
      <c r="B30" s="728"/>
      <c r="C30" s="728" t="s">
        <v>368</v>
      </c>
      <c r="D30" s="1445">
        <v>15028294.924555518</v>
      </c>
      <c r="E30" s="1446">
        <v>16732120.508993026</v>
      </c>
      <c r="F30" s="1447">
        <v>17434857.384269044</v>
      </c>
      <c r="H30" s="1448">
        <f>H29</f>
        <v>3976240.3448738419</v>
      </c>
      <c r="I30" s="1449">
        <f>I29</f>
        <v>4103250.7885296983</v>
      </c>
      <c r="J30" s="1450">
        <f>J29</f>
        <v>4200763.9248446897</v>
      </c>
      <c r="L30" s="1451">
        <f>D30-H30</f>
        <v>11052054.579681676</v>
      </c>
      <c r="M30" s="1452">
        <f t="shared" ref="M30" si="26">E30-I30</f>
        <v>12628869.720463328</v>
      </c>
      <c r="N30" s="1453">
        <f t="shared" ref="N30" si="27">F30-J30</f>
        <v>13234093.459424354</v>
      </c>
      <c r="P30" s="1454">
        <f t="shared" si="7"/>
        <v>4.2308159022178982E-3</v>
      </c>
      <c r="Q30" s="1455">
        <f t="shared" si="2"/>
        <v>4.5072643034496079E-3</v>
      </c>
      <c r="R30" s="1456">
        <f t="shared" si="3"/>
        <v>4.747170252964979E-3</v>
      </c>
      <c r="T30" s="1457">
        <f>P30*T$33</f>
        <v>7589357.8263404863</v>
      </c>
      <c r="U30" s="1458">
        <f t="shared" si="4"/>
        <v>8085258.8265157323</v>
      </c>
      <c r="V30" s="1459">
        <f t="shared" si="5"/>
        <v>8515608.9380830191</v>
      </c>
    </row>
    <row r="31" spans="2:22">
      <c r="B31" s="692"/>
      <c r="C31" s="692"/>
      <c r="D31" s="1465"/>
      <c r="E31" s="1466"/>
      <c r="F31" s="1467"/>
      <c r="H31" s="1468"/>
      <c r="I31" s="1469"/>
      <c r="J31" s="1470"/>
      <c r="L31" s="1471"/>
      <c r="M31" s="1472"/>
      <c r="N31" s="1473"/>
      <c r="P31" s="1474"/>
      <c r="Q31" s="1475"/>
      <c r="R31" s="1476"/>
      <c r="T31" s="1477"/>
      <c r="U31" s="1478"/>
      <c r="V31" s="1479"/>
    </row>
    <row r="32" spans="2:22" ht="14.4" thickBot="1">
      <c r="B32" s="753" t="s">
        <v>369</v>
      </c>
      <c r="C32" s="754"/>
      <c r="D32" s="1480">
        <v>5369063412.7138357</v>
      </c>
      <c r="E32" s="1481">
        <v>5558696499.6262331</v>
      </c>
      <c r="F32" s="1482">
        <v>5544575397.4581795</v>
      </c>
      <c r="H32" s="1483">
        <v>2756788420.1082921</v>
      </c>
      <c r="I32" s="1484">
        <v>2756804072.1513462</v>
      </c>
      <c r="J32" s="1485">
        <v>2756789673.7086201</v>
      </c>
      <c r="L32" s="1486">
        <f t="shared" ref="L32" si="28">D32-H32</f>
        <v>2612274992.6055436</v>
      </c>
      <c r="M32" s="1487">
        <f t="shared" ref="M32" si="29">E32-I32</f>
        <v>2801892427.4748869</v>
      </c>
      <c r="N32" s="1488">
        <f t="shared" ref="N32" si="30">F32-J32</f>
        <v>2787785723.7495594</v>
      </c>
      <c r="P32" s="1489">
        <f t="shared" si="7"/>
        <v>1</v>
      </c>
      <c r="Q32" s="1490">
        <f t="shared" si="2"/>
        <v>1</v>
      </c>
      <c r="R32" s="1491">
        <f t="shared" si="3"/>
        <v>1</v>
      </c>
      <c r="T32" s="1492">
        <f>P32*T$33</f>
        <v>1793828425</v>
      </c>
      <c r="U32" s="1493">
        <f t="shared" si="4"/>
        <v>1793828425</v>
      </c>
      <c r="V32" s="1494">
        <f t="shared" si="5"/>
        <v>1793828425</v>
      </c>
    </row>
    <row r="33" spans="4:22" ht="14.4" thickTop="1">
      <c r="T33" s="1495">
        <f>Dashboard!$C$6</f>
        <v>1793828425</v>
      </c>
      <c r="U33" s="1495">
        <f>Dashboard!$C$6</f>
        <v>1793828425</v>
      </c>
      <c r="V33" s="1495">
        <f>Dashboard!$C$6</f>
        <v>1793828425</v>
      </c>
    </row>
    <row r="34" spans="4:22">
      <c r="D34" s="1496"/>
      <c r="E34" s="1496"/>
      <c r="F34" s="1496"/>
    </row>
    <row r="35" spans="4:22">
      <c r="D35" s="1496"/>
      <c r="E35" s="1496"/>
      <c r="F35" s="1496"/>
    </row>
    <row r="36" spans="4:22">
      <c r="D36" s="1496"/>
      <c r="E36" s="1496"/>
      <c r="F36" s="1496"/>
    </row>
    <row r="37" spans="4:22">
      <c r="D37" s="1496"/>
      <c r="E37" s="1496"/>
      <c r="F37" s="1496"/>
    </row>
    <row r="38" spans="4:22">
      <c r="D38" s="1496"/>
      <c r="E38" s="1496"/>
      <c r="F38" s="1496"/>
    </row>
    <row r="39" spans="4:22">
      <c r="D39" s="1496"/>
      <c r="E39" s="1496"/>
      <c r="F39" s="1496"/>
    </row>
  </sheetData>
  <mergeCells count="7">
    <mergeCell ref="T2:V2"/>
    <mergeCell ref="H1:J1"/>
    <mergeCell ref="D1:F1"/>
    <mergeCell ref="D2:F2"/>
    <mergeCell ref="H2:J2"/>
    <mergeCell ref="L2:N2"/>
    <mergeCell ref="P2:R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902F2-09E5-46FA-A906-1F9892BA6096}">
  <sheetPr codeName="Sheet3">
    <tabColor theme="5" tint="0.79998168889431442"/>
  </sheetPr>
  <dimension ref="A1:BF474"/>
  <sheetViews>
    <sheetView workbookViewId="0"/>
  </sheetViews>
  <sheetFormatPr defaultColWidth="8.296875" defaultRowHeight="15"/>
  <cols>
    <col min="1" max="1" width="8.5" style="450" customWidth="1"/>
    <col min="2" max="2" width="22.5" style="451" customWidth="1"/>
    <col min="3" max="3" width="9.296875" style="450" customWidth="1"/>
    <col min="4" max="4" width="20.5" style="450" customWidth="1"/>
    <col min="5" max="5" width="12.69921875" style="450" customWidth="1"/>
    <col min="6" max="7" width="11" style="450" customWidth="1"/>
    <col min="8" max="8" width="15.5" style="450" customWidth="1"/>
    <col min="9" max="9" width="15.296875" style="450" customWidth="1"/>
    <col min="10" max="10" width="21" style="450" customWidth="1"/>
    <col min="11" max="11" width="14.5" style="450" customWidth="1"/>
    <col min="12" max="12" width="13" style="450" customWidth="1"/>
    <col min="13" max="13" width="11.5" style="450" customWidth="1"/>
    <col min="14" max="14" width="11" style="450" customWidth="1"/>
    <col min="15" max="15" width="11.5" style="450" customWidth="1"/>
    <col min="16" max="16" width="13.296875" style="450" customWidth="1"/>
    <col min="17" max="18" width="11.5" style="450" customWidth="1"/>
    <col min="19" max="26" width="10.5" style="450" customWidth="1"/>
    <col min="27" max="27" width="13" style="450" customWidth="1"/>
    <col min="28" max="28" width="14.5" style="640" customWidth="1"/>
    <col min="29" max="29" width="14" style="640" customWidth="1"/>
    <col min="30" max="31" width="13.5" style="640" customWidth="1"/>
    <col min="32" max="32" width="9.296875" style="450" customWidth="1"/>
    <col min="33" max="33" width="14" style="450" customWidth="1"/>
    <col min="34" max="35" width="10.5" style="450" customWidth="1"/>
    <col min="36" max="36" width="12.796875" style="450" customWidth="1"/>
    <col min="37" max="39" width="10.5" style="450" customWidth="1"/>
    <col min="40" max="40" width="12.296875" style="450" customWidth="1"/>
    <col min="41" max="41" width="8.296875" style="445"/>
    <col min="42" max="42" width="8.5" style="445" customWidth="1"/>
    <col min="43" max="43" width="8.296875" style="445"/>
    <col min="44" max="44" width="11" style="445" customWidth="1"/>
    <col min="45" max="45" width="8.296875" style="445"/>
    <col min="46" max="16384" width="8.296875" style="44"/>
  </cols>
  <sheetData>
    <row r="1" spans="2:58">
      <c r="B1" s="451" t="s">
        <v>175</v>
      </c>
      <c r="E1" s="420"/>
      <c r="G1" s="421" t="s">
        <v>33</v>
      </c>
      <c r="H1" s="420"/>
      <c r="J1" s="450" t="s">
        <v>176</v>
      </c>
      <c r="W1" s="452"/>
      <c r="AA1" s="452"/>
      <c r="AB1" s="453"/>
      <c r="AC1" s="453"/>
      <c r="AD1" s="453"/>
      <c r="AE1" s="453"/>
      <c r="AF1" s="452"/>
      <c r="AG1" s="452"/>
      <c r="AH1" s="452"/>
      <c r="AI1" s="452"/>
      <c r="AJ1" s="452"/>
      <c r="AK1" s="452"/>
      <c r="AL1" s="452"/>
      <c r="AM1" s="452"/>
      <c r="AN1" s="452"/>
      <c r="AO1" s="446"/>
      <c r="AP1" s="446"/>
      <c r="AQ1" s="446"/>
      <c r="AR1" s="446"/>
      <c r="AS1" s="446"/>
      <c r="AT1" s="72"/>
      <c r="AU1" s="72"/>
      <c r="AV1" s="72"/>
      <c r="AW1" s="72"/>
      <c r="AX1" s="72"/>
      <c r="AY1" s="72"/>
      <c r="AZ1" s="72"/>
      <c r="BA1" s="72"/>
      <c r="BB1" s="72"/>
      <c r="BC1" s="72"/>
      <c r="BD1" s="72"/>
      <c r="BE1" s="72"/>
      <c r="BF1" s="72"/>
    </row>
    <row r="2" spans="2:58">
      <c r="C2" s="452"/>
      <c r="D2" s="454" t="s">
        <v>177</v>
      </c>
      <c r="E2" s="455">
        <f>CHOOSE(MATCH('Lists and Mapping'!$C$10,'Lists and Mapping'!$B$3:$B$5,0),'2026 Forecast'!E2,'2027 Forecast'!E2,'2028 Forecast'!E2)</f>
        <v>15526219788.182505</v>
      </c>
      <c r="G2" s="456" t="s">
        <v>178</v>
      </c>
      <c r="H2" s="457">
        <f>CHOOSE(MATCH('Lists and Mapping'!$C$10,'Lists and Mapping'!$B$3:$B$5,0),'2026 Forecast'!H2,'2027 Forecast'!H2,'2028 Forecast'!H2)</f>
        <v>0.11019810694184269</v>
      </c>
      <c r="I2" s="458"/>
      <c r="J2" s="459"/>
      <c r="K2" s="459" t="s">
        <v>179</v>
      </c>
      <c r="L2" s="459" t="s">
        <v>180</v>
      </c>
      <c r="W2" s="452"/>
      <c r="AA2" s="452"/>
      <c r="AB2" s="453"/>
      <c r="AC2" s="453"/>
      <c r="AD2" s="453"/>
      <c r="AE2" s="453"/>
      <c r="AF2" s="452"/>
      <c r="AG2" s="452"/>
      <c r="AH2" s="452"/>
      <c r="AI2" s="452"/>
      <c r="AJ2" s="452"/>
      <c r="AK2" s="452"/>
      <c r="AL2" s="452"/>
      <c r="AM2" s="452"/>
      <c r="AN2" s="452"/>
      <c r="AO2" s="446"/>
      <c r="AP2" s="446"/>
      <c r="AQ2" s="446"/>
      <c r="AR2" s="446"/>
      <c r="AS2" s="446"/>
      <c r="AT2" s="72"/>
      <c r="AU2" s="72"/>
      <c r="AV2" s="72"/>
      <c r="AW2" s="72"/>
      <c r="AX2" s="72"/>
      <c r="AY2" s="72"/>
      <c r="AZ2" s="72"/>
      <c r="BA2" s="72"/>
      <c r="BB2" s="72"/>
      <c r="BC2" s="72"/>
      <c r="BD2" s="72"/>
      <c r="BE2" s="72"/>
      <c r="BF2" s="72"/>
    </row>
    <row r="3" spans="2:58">
      <c r="C3" s="452"/>
      <c r="D3" s="454" t="s">
        <v>181</v>
      </c>
      <c r="E3" s="455">
        <f>CHOOSE(MATCH('Lists and Mapping'!$C$10,'Lists and Mapping'!$B$3:$B$5,0),'2026 Forecast'!E3,'2027 Forecast'!E3,'2028 Forecast'!E3)</f>
        <v>1710960028.6206899</v>
      </c>
      <c r="G3" s="456" t="s">
        <v>182</v>
      </c>
      <c r="H3" s="457">
        <f>CHOOSE(MATCH('Lists and Mapping'!$C$10,'Lists and Mapping'!$B$3:$B$5,0),'2026 Forecast'!H3,'2027 Forecast'!H3,'2028 Forecast'!H3)</f>
        <v>4.6743720050413926E-2</v>
      </c>
      <c r="I3" s="460"/>
      <c r="J3" s="450">
        <v>105</v>
      </c>
      <c r="K3" s="461">
        <f>CHOOSE(MATCH('Lists and Mapping'!$C$10,'Lists and Mapping'!$B$3:$B$5,0),'2026 Forecast'!K3,'2027 Forecast'!K3,'2028 Forecast'!K3)</f>
        <v>25300000</v>
      </c>
      <c r="L3" s="461">
        <f>CHOOSE(MATCH('Lists and Mapping'!$C$10,'Lists and Mapping'!$B$3:$B$5,0),'2026 Forecast'!L3,'2027 Forecast'!L3,'2028 Forecast'!L3)</f>
        <v>0</v>
      </c>
      <c r="W3" s="452"/>
      <c r="AA3" s="452"/>
      <c r="AB3" s="453"/>
      <c r="AC3" s="453"/>
      <c r="AD3" s="453"/>
      <c r="AE3" s="453"/>
      <c r="AF3" s="452"/>
      <c r="AG3" s="452"/>
      <c r="AH3" s="452"/>
      <c r="AI3" s="452"/>
      <c r="AJ3" s="452"/>
      <c r="AK3" s="452"/>
      <c r="AL3" s="452"/>
      <c r="AM3" s="452"/>
      <c r="AN3" s="452"/>
      <c r="AO3" s="446"/>
      <c r="AP3" s="446"/>
      <c r="AQ3" s="446"/>
      <c r="AR3" s="446"/>
      <c r="AS3" s="446"/>
      <c r="AT3" s="72"/>
      <c r="AU3" s="72"/>
      <c r="AV3" s="72"/>
      <c r="AW3" s="72"/>
      <c r="AX3" s="72"/>
      <c r="AY3" s="72"/>
      <c r="AZ3" s="72"/>
      <c r="BA3" s="72"/>
      <c r="BB3" s="72"/>
      <c r="BC3" s="72"/>
      <c r="BD3" s="72"/>
      <c r="BE3" s="72"/>
      <c r="BF3" s="72"/>
    </row>
    <row r="4" spans="2:58">
      <c r="C4" s="452"/>
      <c r="D4" s="454" t="s">
        <v>183</v>
      </c>
      <c r="E4" s="455">
        <f>CHOOSE(MATCH('Lists and Mapping'!$C$10,'Lists and Mapping'!$B$3:$B$5,0),'2026 Forecast'!E4,'2027 Forecast'!E4,'2028 Forecast'!E4)</f>
        <v>22850467.925561026</v>
      </c>
      <c r="G4" s="456" t="s">
        <v>184</v>
      </c>
      <c r="H4" s="457">
        <f>CHOOSE(MATCH('Lists and Mapping'!$C$10,'Lists and Mapping'!$B$3:$B$5,0),'2026 Forecast'!H4,'2027 Forecast'!H4,'2028 Forecast'!H4)</f>
        <v>5.7299999999999999E-3</v>
      </c>
      <c r="I4" s="462"/>
      <c r="J4" s="450">
        <v>106</v>
      </c>
      <c r="K4" s="461">
        <f>CHOOSE(MATCH('Lists and Mapping'!$C$10,'Lists and Mapping'!$B$3:$B$5,0),'2026 Forecast'!K4,'2027 Forecast'!K4,'2028 Forecast'!K4)</f>
        <v>204100000</v>
      </c>
      <c r="L4" s="461">
        <f>CHOOSE(MATCH('Lists and Mapping'!$C$10,'Lists and Mapping'!$B$3:$B$5,0),'2026 Forecast'!L4,'2027 Forecast'!L4,'2028 Forecast'!L4)</f>
        <v>0</v>
      </c>
      <c r="W4" s="452"/>
      <c r="AA4" s="452"/>
      <c r="AB4" s="453"/>
      <c r="AC4" s="453"/>
      <c r="AD4" s="453"/>
      <c r="AE4" s="453"/>
      <c r="AF4" s="452"/>
      <c r="AG4" s="452"/>
      <c r="AH4" s="452"/>
      <c r="AI4" s="452"/>
      <c r="AJ4" s="452"/>
      <c r="AK4" s="452"/>
      <c r="AL4" s="452"/>
      <c r="AM4" s="452"/>
      <c r="AN4" s="452"/>
      <c r="AO4" s="446"/>
      <c r="AP4" s="446"/>
      <c r="AQ4" s="446"/>
      <c r="AR4" s="446"/>
      <c r="AS4" s="446"/>
      <c r="AT4" s="72"/>
      <c r="AU4" s="72"/>
      <c r="AV4" s="72"/>
      <c r="AW4" s="72"/>
      <c r="AX4" s="72"/>
      <c r="AY4" s="72"/>
      <c r="AZ4" s="72"/>
      <c r="BA4" s="72"/>
      <c r="BB4" s="72"/>
      <c r="BC4" s="72"/>
      <c r="BD4" s="72"/>
      <c r="BE4" s="72"/>
      <c r="BF4" s="72"/>
    </row>
    <row r="5" spans="2:58">
      <c r="C5" s="452"/>
      <c r="D5" s="454" t="s">
        <v>185</v>
      </c>
      <c r="E5" s="455">
        <f>CHOOSE(MATCH('Lists and Mapping'!$C$10,'Lists and Mapping'!$B$3:$B$5,0),'2026 Forecast'!E5,'2027 Forecast'!E5,'2028 Forecast'!E5)</f>
        <v>74.876367267156624</v>
      </c>
      <c r="G5" s="463" t="s">
        <v>186</v>
      </c>
      <c r="H5" s="457">
        <f>CHOOSE(MATCH('Lists and Mapping'!$C$10,'Lists and Mapping'!$B$3:$B$5,0),'2026 Forecast'!H5,'2027 Forecast'!H5,'2028 Forecast'!H5)</f>
        <v>1.1678000000000001E-2</v>
      </c>
      <c r="I5" s="464"/>
      <c r="J5" s="450">
        <v>107</v>
      </c>
      <c r="K5" s="461">
        <f>CHOOSE(MATCH('Lists and Mapping'!$C$10,'Lists and Mapping'!$B$3:$B$5,0),'2026 Forecast'!K5,'2027 Forecast'!K5,'2028 Forecast'!K5)</f>
        <v>27165600</v>
      </c>
      <c r="L5" s="461">
        <f>CHOOSE(MATCH('Lists and Mapping'!$C$10,'Lists and Mapping'!$B$3:$B$5,0),'2026 Forecast'!L5,'2027 Forecast'!L5,'2028 Forecast'!L5)</f>
        <v>5534400.0000000037</v>
      </c>
      <c r="W5" s="452"/>
      <c r="AA5" s="452"/>
      <c r="AB5" s="453"/>
      <c r="AC5" s="453"/>
      <c r="AD5" s="453"/>
      <c r="AE5" s="453"/>
      <c r="AF5" s="452"/>
      <c r="AG5" s="452"/>
      <c r="AH5" s="452"/>
      <c r="AI5" s="452"/>
      <c r="AJ5" s="452"/>
      <c r="AK5" s="452"/>
      <c r="AL5" s="452"/>
      <c r="AM5" s="452"/>
      <c r="AN5" s="452"/>
      <c r="AO5" s="446"/>
      <c r="AP5" s="446"/>
      <c r="AQ5" s="446"/>
      <c r="AR5" s="446"/>
      <c r="AS5" s="446"/>
      <c r="AT5" s="72"/>
      <c r="AU5" s="72"/>
      <c r="AV5" s="72"/>
      <c r="AW5" s="72"/>
      <c r="AX5" s="72"/>
      <c r="AY5" s="72"/>
      <c r="AZ5" s="72"/>
      <c r="BA5" s="72"/>
      <c r="BB5" s="72"/>
      <c r="BC5" s="72"/>
      <c r="BD5" s="72"/>
      <c r="BE5" s="72"/>
      <c r="BF5" s="72"/>
    </row>
    <row r="6" spans="2:58">
      <c r="C6" s="452"/>
      <c r="D6" s="465" t="s">
        <v>187</v>
      </c>
      <c r="E6" s="455">
        <f>CHOOSE(MATCH('Lists and Mapping'!$C$10,'Lists and Mapping'!$B$3:$B$5,0),'2026 Forecast'!E6,'2027 Forecast'!E6,'2028 Forecast'!E6)</f>
        <v>725753271.22000003</v>
      </c>
      <c r="F6" s="466"/>
      <c r="G6" s="456" t="s">
        <v>188</v>
      </c>
      <c r="H6" s="457">
        <f>CHOOSE(MATCH('Lists and Mapping'!$C$10,'Lists and Mapping'!$B$3:$B$5,0),'2026 Forecast'!H6,'2027 Forecast'!H6,'2028 Forecast'!H6)</f>
        <v>8.5899999999999987E-5</v>
      </c>
      <c r="I6" s="467"/>
      <c r="J6" s="458"/>
      <c r="K6" s="461">
        <f>CHOOSE(MATCH('Lists and Mapping'!$C$10,'Lists and Mapping'!$B$3:$B$5,0),'2026 Forecast'!K6,'2027 Forecast'!K6,'2028 Forecast'!K6)</f>
        <v>256565600</v>
      </c>
      <c r="L6" s="461">
        <f>CHOOSE(MATCH('Lists and Mapping'!$C$10,'Lists and Mapping'!$B$3:$B$5,0),'2026 Forecast'!L6,'2027 Forecast'!L6,'2028 Forecast'!L6)</f>
        <v>0</v>
      </c>
      <c r="W6" s="452"/>
      <c r="AA6" s="452"/>
      <c r="AB6" s="453"/>
      <c r="AC6" s="453"/>
      <c r="AD6" s="453"/>
      <c r="AE6" s="453"/>
      <c r="AF6" s="452"/>
      <c r="AG6" s="452"/>
      <c r="AH6" s="452"/>
      <c r="AI6" s="452"/>
      <c r="AJ6" s="452"/>
      <c r="AK6" s="452"/>
      <c r="AL6" s="452"/>
      <c r="AM6" s="452"/>
      <c r="AN6" s="452"/>
      <c r="AO6" s="446"/>
      <c r="AP6" s="446"/>
      <c r="AQ6" s="446"/>
      <c r="AR6" s="446"/>
      <c r="AS6" s="446"/>
      <c r="AT6" s="72"/>
      <c r="AU6" s="72"/>
      <c r="AV6" s="72"/>
      <c r="AW6" s="72"/>
      <c r="AX6" s="72"/>
      <c r="AY6" s="72"/>
      <c r="AZ6" s="72"/>
      <c r="BA6" s="72"/>
      <c r="BB6" s="72"/>
      <c r="BC6" s="72"/>
      <c r="BD6" s="72"/>
      <c r="BE6" s="72"/>
      <c r="BF6" s="72"/>
    </row>
    <row r="7" spans="2:58">
      <c r="C7" s="452"/>
      <c r="D7" s="468"/>
      <c r="E7" s="469"/>
      <c r="F7" s="469"/>
      <c r="G7" s="456" t="s">
        <v>189</v>
      </c>
      <c r="H7" s="457">
        <f>CHOOSE(MATCH('Lists and Mapping'!$C$10,'Lists and Mapping'!$B$3:$B$5,0),'2026 Forecast'!H7,'2027 Forecast'!H7,'2028 Forecast'!H7)</f>
        <v>1.9821098460390599E-2</v>
      </c>
      <c r="I7" s="470"/>
      <c r="J7" s="458"/>
      <c r="K7" s="462"/>
      <c r="L7" s="462"/>
      <c r="AA7" s="452"/>
      <c r="AB7" s="453"/>
      <c r="AC7" s="453"/>
      <c r="AD7" s="453"/>
      <c r="AE7" s="453"/>
      <c r="AF7" s="452"/>
      <c r="AG7" s="452"/>
      <c r="AH7" s="452"/>
      <c r="AI7" s="452"/>
      <c r="AJ7" s="452"/>
      <c r="AK7" s="452"/>
      <c r="AL7" s="452"/>
      <c r="AM7" s="452"/>
      <c r="AN7" s="452"/>
      <c r="AO7" s="446"/>
      <c r="AP7" s="446"/>
      <c r="AQ7" s="446"/>
      <c r="AR7" s="446"/>
      <c r="AS7" s="446"/>
      <c r="AT7" s="72"/>
      <c r="AU7" s="72"/>
      <c r="AV7" s="72"/>
      <c r="AW7" s="72"/>
      <c r="AX7" s="72"/>
      <c r="AY7" s="72"/>
      <c r="AZ7" s="72"/>
      <c r="BA7" s="72"/>
      <c r="BB7" s="72"/>
      <c r="BC7" s="72"/>
      <c r="BD7" s="72"/>
      <c r="BE7" s="72"/>
      <c r="BF7" s="72"/>
    </row>
    <row r="8" spans="2:58" ht="15.6" thickBot="1">
      <c r="C8" s="452"/>
      <c r="D8" s="471" t="s">
        <v>190</v>
      </c>
      <c r="E8" s="472" t="s">
        <v>191</v>
      </c>
      <c r="F8" s="473" t="s">
        <v>192</v>
      </c>
      <c r="G8" s="456"/>
      <c r="H8" s="474"/>
      <c r="I8" s="475"/>
      <c r="J8" s="642" t="s">
        <v>537</v>
      </c>
      <c r="K8" s="643"/>
      <c r="L8" s="644"/>
      <c r="W8" s="452"/>
      <c r="AA8" s="452"/>
      <c r="AB8" s="453"/>
      <c r="AC8" s="453"/>
      <c r="AD8" s="453"/>
      <c r="AE8" s="453"/>
      <c r="AF8" s="452"/>
      <c r="AG8" s="452"/>
      <c r="AH8" s="452"/>
      <c r="AI8" s="452"/>
      <c r="AJ8" s="452"/>
      <c r="AK8" s="452"/>
      <c r="AL8" s="452"/>
      <c r="AM8" s="452"/>
      <c r="AN8" s="452"/>
      <c r="AO8" s="446"/>
      <c r="AP8" s="446"/>
      <c r="AQ8" s="446"/>
      <c r="AR8" s="446"/>
      <c r="AS8" s="446"/>
      <c r="AT8" s="72"/>
      <c r="AU8" s="72"/>
      <c r="AV8" s="72"/>
      <c r="AW8" s="72"/>
      <c r="AX8" s="72"/>
      <c r="AY8" s="72"/>
      <c r="AZ8" s="72"/>
      <c r="BA8" s="72"/>
      <c r="BB8" s="72"/>
      <c r="BC8" s="72"/>
      <c r="BD8" s="72"/>
      <c r="BE8" s="72"/>
      <c r="BF8" s="72"/>
    </row>
    <row r="9" spans="2:58">
      <c r="C9" s="452"/>
      <c r="D9" s="468" t="s">
        <v>193</v>
      </c>
      <c r="E9" s="461">
        <f>CHOOSE(MATCH('Lists and Mapping'!$C$10,'Lists and Mapping'!$B$3:$B$5,0),'2026 Forecast'!E9,'2027 Forecast'!E9,'2028 Forecast'!E9)</f>
        <v>5668.5895671135731</v>
      </c>
      <c r="F9" s="455">
        <f>CHOOSE(MATCH('Lists and Mapping'!$C$10,'Lists and Mapping'!$B$3:$B$5,0),'2026 Forecast'!F9,'2027 Forecast'!F9,'2028 Forecast'!F9)</f>
        <v>1378874</v>
      </c>
      <c r="G9" s="477"/>
      <c r="H9" s="474"/>
      <c r="I9" s="474"/>
      <c r="J9" s="643"/>
      <c r="K9" s="645" t="s">
        <v>77</v>
      </c>
      <c r="L9" s="642" t="s">
        <v>78</v>
      </c>
      <c r="W9" s="452"/>
      <c r="AA9" s="452"/>
      <c r="AB9" s="453"/>
      <c r="AC9" s="453"/>
      <c r="AD9" s="453"/>
      <c r="AE9" s="453"/>
      <c r="AF9" s="452"/>
      <c r="AG9" s="452"/>
      <c r="AH9" s="452"/>
      <c r="AI9" s="452"/>
      <c r="AJ9" s="452"/>
      <c r="AK9" s="452"/>
      <c r="AL9" s="452"/>
      <c r="AM9" s="452"/>
      <c r="AN9" s="452"/>
      <c r="AO9" s="446"/>
      <c r="AP9" s="446"/>
      <c r="AQ9" s="446"/>
      <c r="AR9" s="446"/>
      <c r="AS9" s="446"/>
      <c r="AT9" s="72"/>
      <c r="AU9" s="72"/>
      <c r="AV9" s="72"/>
      <c r="AW9" s="72"/>
      <c r="AX9" s="72"/>
      <c r="AY9" s="72"/>
      <c r="AZ9" s="72"/>
      <c r="BA9" s="72"/>
      <c r="BB9" s="72"/>
      <c r="BC9" s="72"/>
      <c r="BD9" s="72"/>
      <c r="BE9" s="72"/>
      <c r="BF9" s="72"/>
    </row>
    <row r="10" spans="2:58">
      <c r="C10" s="452"/>
      <c r="D10" s="468" t="s">
        <v>194</v>
      </c>
      <c r="E10" s="461">
        <f>CHOOSE(MATCH('Lists and Mapping'!$C$10,'Lists and Mapping'!$B$3:$B$5,0),'2026 Forecast'!E10,'2027 Forecast'!E10,'2028 Forecast'!E10)</f>
        <v>6861.6496386784274</v>
      </c>
      <c r="F10" s="455">
        <f>CHOOSE(MATCH('Lists and Mapping'!$C$10,'Lists and Mapping'!$B$3:$B$5,0),'2026 Forecast'!F10,'2027 Forecast'!F10,'2028 Forecast'!F10)</f>
        <v>125036.15473984106</v>
      </c>
      <c r="G10" s="477"/>
      <c r="H10" s="464"/>
      <c r="I10" s="464"/>
      <c r="J10" s="646" t="s">
        <v>12</v>
      </c>
      <c r="L10" s="461">
        <f>CHOOSE(MATCH('Lists and Mapping'!$C$10,'Lists and Mapping'!$B$3:$B$5,0),'2026 Forecast'!L10,'2027 Forecast'!L10,'2028 Forecast'!L10)</f>
        <v>1440923</v>
      </c>
      <c r="W10" s="452"/>
      <c r="AA10" s="452"/>
      <c r="AB10" s="453"/>
      <c r="AC10" s="453"/>
      <c r="AD10" s="453"/>
      <c r="AE10" s="453"/>
      <c r="AF10" s="452"/>
      <c r="AG10" s="452"/>
      <c r="AH10" s="452"/>
      <c r="AI10" s="452"/>
      <c r="AJ10" s="452"/>
      <c r="AK10" s="452"/>
      <c r="AL10" s="452"/>
      <c r="AM10" s="452"/>
      <c r="AN10" s="452"/>
      <c r="AO10" s="446"/>
      <c r="AP10" s="446"/>
      <c r="AQ10" s="446"/>
      <c r="AR10" s="446"/>
      <c r="AS10" s="446"/>
      <c r="AT10" s="72"/>
      <c r="AU10" s="72"/>
      <c r="AV10" s="72"/>
      <c r="AW10" s="72"/>
      <c r="AX10" s="72"/>
      <c r="AY10" s="72"/>
      <c r="AZ10" s="72"/>
      <c r="BA10" s="72"/>
      <c r="BB10" s="72"/>
      <c r="BC10" s="72"/>
      <c r="BD10" s="72"/>
      <c r="BE10" s="72"/>
      <c r="BF10" s="72"/>
    </row>
    <row r="11" spans="2:58">
      <c r="C11" s="452"/>
      <c r="D11" s="468" t="s">
        <v>195</v>
      </c>
      <c r="E11" s="461">
        <f>CHOOSE(MATCH('Lists and Mapping'!$C$10,'Lists and Mapping'!$B$3:$B$5,0),'2026 Forecast'!E11,'2027 Forecast'!E11,'2028 Forecast'!E11)</f>
        <v>1768.754738262515</v>
      </c>
      <c r="F11" s="455">
        <f>CHOOSE(MATCH('Lists and Mapping'!$C$10,'Lists and Mapping'!$B$3:$B$5,0),'2026 Forecast'!F11,'2027 Forecast'!F11,'2028 Forecast'!F11)</f>
        <v>583</v>
      </c>
      <c r="G11" s="477"/>
      <c r="H11" s="479"/>
      <c r="I11" s="479"/>
      <c r="J11" s="643" t="s">
        <v>13</v>
      </c>
      <c r="L11" s="461">
        <f>CHOOSE(MATCH('Lists and Mapping'!$C$10,'Lists and Mapping'!$B$3:$B$5,0),'2026 Forecast'!L11,'2027 Forecast'!L11,'2028 Forecast'!L11)</f>
        <v>347823</v>
      </c>
      <c r="W11" s="452"/>
      <c r="AA11" s="452"/>
      <c r="AB11" s="453"/>
      <c r="AC11" s="453"/>
      <c r="AD11" s="453"/>
      <c r="AE11" s="453"/>
      <c r="AF11" s="452"/>
      <c r="AG11" s="452"/>
      <c r="AH11" s="452"/>
      <c r="AI11" s="452"/>
      <c r="AJ11" s="452"/>
      <c r="AK11" s="452"/>
      <c r="AL11" s="452"/>
      <c r="AM11" s="452"/>
      <c r="AN11" s="452"/>
      <c r="AO11" s="446"/>
      <c r="AP11" s="446"/>
      <c r="AQ11" s="446"/>
      <c r="AR11" s="446"/>
      <c r="AS11" s="446"/>
      <c r="AT11" s="72"/>
      <c r="AU11" s="72"/>
      <c r="AV11" s="72"/>
      <c r="AW11" s="72"/>
      <c r="AX11" s="72"/>
      <c r="AY11" s="72"/>
      <c r="AZ11" s="72"/>
      <c r="BA11" s="72"/>
      <c r="BB11" s="72"/>
      <c r="BC11" s="72"/>
      <c r="BD11" s="72"/>
      <c r="BE11" s="72"/>
      <c r="BF11" s="72"/>
    </row>
    <row r="12" spans="2:58">
      <c r="C12" s="452"/>
      <c r="D12" s="468" t="s">
        <v>196</v>
      </c>
      <c r="E12" s="461">
        <f>CHOOSE(MATCH('Lists and Mapping'!$C$10,'Lists and Mapping'!$B$3:$B$5,0),'2026 Forecast'!E12,'2027 Forecast'!E12,'2028 Forecast'!E12)</f>
        <v>235.31472663582704</v>
      </c>
      <c r="F12" s="455">
        <f>CHOOSE(MATCH('Lists and Mapping'!$C$10,'Lists and Mapping'!$B$3:$B$5,0),'2026 Forecast'!F12,'2027 Forecast'!F12,'2028 Forecast'!F12)</f>
        <v>2174</v>
      </c>
      <c r="G12" s="477"/>
      <c r="H12" s="461">
        <f>CHOOSE(MATCH('Lists and Mapping'!$C$10,'Lists and Mapping'!$B$3:$B$5,0),'2026 Forecast'!H12,'2027 Forecast'!H12,'2028 Forecast'!H12)</f>
        <v>170.38177818593118</v>
      </c>
      <c r="J12" s="647" t="s">
        <v>24</v>
      </c>
      <c r="K12" s="461">
        <f>CHOOSE(MATCH('Lists and Mapping'!$C$10,'Lists and Mapping'!$B$3:$B$5,0),'2026 Forecast'!K12,'2027 Forecast'!K12,'2028 Forecast'!K12)</f>
        <v>123625</v>
      </c>
      <c r="W12" s="452"/>
      <c r="AA12" s="452"/>
      <c r="AB12" s="453"/>
      <c r="AC12" s="453"/>
      <c r="AD12" s="453"/>
      <c r="AE12" s="453"/>
      <c r="AF12" s="452"/>
      <c r="AG12" s="452"/>
      <c r="AH12" s="452"/>
      <c r="AI12" s="452"/>
      <c r="AJ12" s="452"/>
      <c r="AK12" s="452"/>
      <c r="AL12" s="452"/>
      <c r="AM12" s="452"/>
      <c r="AN12" s="452"/>
      <c r="AO12" s="446"/>
      <c r="AP12" s="446"/>
      <c r="AQ12" s="446"/>
      <c r="AR12" s="446"/>
      <c r="AS12" s="446"/>
      <c r="AT12" s="72"/>
      <c r="AU12" s="72"/>
      <c r="AV12" s="72"/>
      <c r="AW12" s="72"/>
      <c r="AX12" s="72"/>
      <c r="AY12" s="72"/>
      <c r="AZ12" s="72"/>
      <c r="BA12" s="72"/>
      <c r="BB12" s="72"/>
      <c r="BC12" s="72"/>
      <c r="BD12" s="72"/>
      <c r="BE12" s="72"/>
      <c r="BF12" s="72"/>
    </row>
    <row r="13" spans="2:58">
      <c r="C13" s="452"/>
      <c r="D13" s="468" t="s">
        <v>197</v>
      </c>
      <c r="E13" s="461">
        <f>CHOOSE(MATCH('Lists and Mapping'!$C$10,'Lists and Mapping'!$B$3:$B$5,0),'2026 Forecast'!E13,'2027 Forecast'!E13,'2028 Forecast'!E13)</f>
        <v>36.155253116297253</v>
      </c>
      <c r="F13" s="455">
        <f>CHOOSE(MATCH('Lists and Mapping'!$C$10,'Lists and Mapping'!$B$3:$B$5,0),'2026 Forecast'!F13,'2027 Forecast'!F13,'2028 Forecast'!F13)</f>
        <v>2</v>
      </c>
      <c r="G13" s="477"/>
      <c r="H13" s="461">
        <f>CHOOSE(MATCH('Lists and Mapping'!$C$10,'Lists and Mapping'!$B$3:$B$5,0),'2026 Forecast'!H13,'2027 Forecast'!H13,'2028 Forecast'!H13)</f>
        <v>1.25327922128545</v>
      </c>
      <c r="I13" s="464"/>
      <c r="W13" s="452"/>
      <c r="AA13" s="452"/>
      <c r="AB13" s="453"/>
      <c r="AC13" s="453"/>
      <c r="AD13" s="453"/>
      <c r="AE13" s="453"/>
      <c r="AF13" s="452"/>
      <c r="AG13" s="452"/>
      <c r="AH13" s="452"/>
      <c r="AI13" s="452"/>
      <c r="AJ13" s="452"/>
      <c r="AK13" s="452"/>
      <c r="AL13" s="452"/>
      <c r="AM13" s="452"/>
      <c r="AN13" s="452"/>
      <c r="AO13" s="446"/>
      <c r="AP13" s="446"/>
      <c r="AQ13" s="446"/>
      <c r="AR13" s="446"/>
      <c r="AS13" s="446"/>
      <c r="AT13" s="72"/>
      <c r="AU13" s="72"/>
      <c r="AV13" s="72"/>
      <c r="AW13" s="72"/>
      <c r="AX13" s="72"/>
      <c r="AY13" s="72"/>
      <c r="AZ13" s="72"/>
      <c r="BA13" s="72"/>
      <c r="BB13" s="72"/>
      <c r="BC13" s="72"/>
      <c r="BD13" s="72"/>
      <c r="BE13" s="72"/>
      <c r="BF13" s="72"/>
    </row>
    <row r="14" spans="2:58">
      <c r="C14" s="452"/>
      <c r="D14" s="468" t="s">
        <v>198</v>
      </c>
      <c r="E14" s="480">
        <f>CHOOSE(MATCH('Lists and Mapping'!$C$10,'Lists and Mapping'!$B$3:$B$5,0),'2026 Forecast'!E14,'2027 Forecast'!E14,'2028 Forecast'!E14)</f>
        <v>19.515369388357588</v>
      </c>
      <c r="F14" s="481">
        <f>CHOOSE(MATCH('Lists and Mapping'!$C$10,'Lists and Mapping'!$B$3:$B$5,0),'2026 Forecast'!F14,'2027 Forecast'!F14,'2028 Forecast'!F14)</f>
        <v>1103</v>
      </c>
      <c r="G14" s="477"/>
      <c r="H14" s="461">
        <f>CHOOSE(MATCH('Lists and Mapping'!$C$10,'Lists and Mapping'!$B$3:$B$5,0),'2026 Forecast'!H14,'2027 Forecast'!H14,'2028 Forecast'!H14)</f>
        <v>289.18941610547807</v>
      </c>
      <c r="W14" s="452"/>
      <c r="AA14" s="452"/>
      <c r="AB14" s="453"/>
      <c r="AC14" s="453"/>
      <c r="AD14" s="453"/>
      <c r="AE14" s="453"/>
      <c r="AF14" s="452"/>
      <c r="AG14" s="452"/>
      <c r="AH14" s="452"/>
      <c r="AI14" s="452"/>
      <c r="AJ14" s="452"/>
      <c r="AK14" s="452"/>
      <c r="AL14" s="452"/>
      <c r="AM14" s="452"/>
      <c r="AN14" s="452"/>
      <c r="AO14" s="446"/>
      <c r="AP14" s="446"/>
      <c r="AQ14" s="446"/>
      <c r="AR14" s="446"/>
      <c r="AS14" s="446"/>
      <c r="AT14" s="72"/>
      <c r="AU14" s="72"/>
      <c r="AV14" s="72"/>
      <c r="AW14" s="72"/>
      <c r="AX14" s="72"/>
      <c r="AY14" s="72"/>
      <c r="AZ14" s="72"/>
      <c r="BA14" s="72"/>
      <c r="BB14" s="72"/>
      <c r="BC14" s="72"/>
      <c r="BD14" s="72"/>
      <c r="BE14" s="72"/>
      <c r="BF14" s="72"/>
    </row>
    <row r="15" spans="2:58" ht="15.6" thickBot="1">
      <c r="C15" s="452"/>
      <c r="D15" s="482" t="s">
        <v>199</v>
      </c>
      <c r="E15" s="461">
        <f>CHOOSE(MATCH('Lists and Mapping'!$C$10,'Lists and Mapping'!$B$3:$B$5,0),'2026 Forecast'!E15,'2027 Forecast'!E15,'2028 Forecast'!E15)</f>
        <v>14589.979293194996</v>
      </c>
      <c r="F15" s="455">
        <f>CHOOSE(MATCH('Lists and Mapping'!$C$10,'Lists and Mapping'!$B$3:$B$5,0),'2026 Forecast'!F15,'2027 Forecast'!F15,'2028 Forecast'!F15)</f>
        <v>1507772.1547398411</v>
      </c>
      <c r="H15" s="483"/>
      <c r="I15" s="483"/>
      <c r="W15" s="452"/>
      <c r="AA15" s="452"/>
      <c r="AB15" s="453"/>
      <c r="AC15" s="453"/>
      <c r="AD15" s="453"/>
      <c r="AE15" s="453"/>
      <c r="AF15" s="452"/>
      <c r="AG15" s="452"/>
      <c r="AH15" s="452"/>
      <c r="AI15" s="452"/>
      <c r="AJ15" s="452"/>
      <c r="AK15" s="452"/>
      <c r="AL15" s="452"/>
      <c r="AM15" s="452"/>
      <c r="AN15" s="452"/>
      <c r="AO15" s="446"/>
      <c r="AP15" s="446"/>
      <c r="AQ15" s="446"/>
      <c r="AR15" s="446"/>
      <c r="AS15" s="446"/>
      <c r="AT15" s="72"/>
      <c r="AU15" s="72"/>
      <c r="AV15" s="72"/>
      <c r="AW15" s="72"/>
      <c r="AX15" s="72"/>
      <c r="AY15" s="72"/>
      <c r="AZ15" s="72"/>
      <c r="BA15" s="72"/>
      <c r="BB15" s="72"/>
      <c r="BC15" s="72"/>
      <c r="BD15" s="72"/>
      <c r="BE15" s="72"/>
      <c r="BF15" s="72"/>
    </row>
    <row r="16" spans="2:58">
      <c r="C16" s="452"/>
      <c r="D16" s="484" t="s">
        <v>200</v>
      </c>
      <c r="E16" s="461">
        <f>CHOOSE(MATCH('Lists and Mapping'!$C$10,'Lists and Mapping'!$B$3:$B$5,0),'2026 Forecast'!E16,'2027 Forecast'!E16,'2028 Forecast'!E16)</f>
        <v>218.70575463582705</v>
      </c>
      <c r="F16" s="469"/>
      <c r="H16" s="485"/>
      <c r="I16" s="485"/>
      <c r="W16" s="452"/>
      <c r="AA16" s="452"/>
      <c r="AB16" s="453"/>
      <c r="AC16" s="453"/>
      <c r="AD16" s="453"/>
      <c r="AE16" s="453"/>
      <c r="AF16" s="452"/>
      <c r="AG16" s="452"/>
      <c r="AH16" s="452"/>
      <c r="AI16" s="452"/>
      <c r="AJ16" s="452"/>
      <c r="AK16" s="452"/>
      <c r="AL16" s="452"/>
      <c r="AM16" s="452"/>
      <c r="AN16" s="452"/>
      <c r="AO16" s="446"/>
      <c r="AP16" s="446"/>
      <c r="AQ16" s="446"/>
      <c r="AR16" s="446"/>
      <c r="AS16" s="446"/>
      <c r="AT16" s="72"/>
      <c r="AU16" s="72"/>
      <c r="AV16" s="72"/>
      <c r="AW16" s="72"/>
      <c r="AX16" s="72"/>
      <c r="AY16" s="72"/>
      <c r="AZ16" s="72"/>
      <c r="BA16" s="72"/>
      <c r="BB16" s="72"/>
      <c r="BC16" s="72"/>
      <c r="BD16" s="72"/>
      <c r="BE16" s="72"/>
      <c r="BF16" s="72"/>
    </row>
    <row r="17" spans="1:58">
      <c r="C17" s="452"/>
      <c r="D17" s="484" t="s">
        <v>201</v>
      </c>
      <c r="E17" s="461">
        <f>CHOOSE(MATCH('Lists and Mapping'!$C$10,'Lists and Mapping'!$B$3:$B$5,0),'2026 Forecast'!E17,'2027 Forecast'!E17,'2028 Forecast'!E17)</f>
        <v>16.608971999999998</v>
      </c>
      <c r="F17" s="461">
        <f>CHOOSE(MATCH('Lists and Mapping'!$C$10,'Lists and Mapping'!$B$3:$B$5,0),'2026 Forecast'!F17,'2027 Forecast'!F17,'2028 Forecast'!F17)</f>
        <v>235.31472663582704</v>
      </c>
      <c r="G17" s="478"/>
      <c r="H17" s="486"/>
      <c r="I17" s="486"/>
      <c r="W17" s="452"/>
      <c r="AA17" s="452"/>
      <c r="AB17" s="453"/>
      <c r="AC17" s="453"/>
      <c r="AD17" s="453"/>
      <c r="AE17" s="453"/>
      <c r="AF17" s="452"/>
      <c r="AG17" s="452"/>
      <c r="AH17" s="452"/>
      <c r="AI17" s="452"/>
      <c r="AJ17" s="452"/>
      <c r="AK17" s="452"/>
      <c r="AL17" s="452"/>
      <c r="AM17" s="452"/>
      <c r="AN17" s="452"/>
      <c r="AO17" s="446"/>
      <c r="AP17" s="446"/>
      <c r="AQ17" s="446"/>
      <c r="AR17" s="446"/>
      <c r="AS17" s="446"/>
      <c r="AT17" s="72"/>
      <c r="AU17" s="72"/>
      <c r="AV17" s="72"/>
      <c r="AW17" s="72"/>
      <c r="AX17" s="72"/>
      <c r="AY17" s="72"/>
      <c r="AZ17" s="72"/>
      <c r="BA17" s="72"/>
      <c r="BB17" s="72"/>
      <c r="BC17" s="72"/>
      <c r="BD17" s="72"/>
      <c r="BE17" s="72"/>
      <c r="BF17" s="72"/>
    </row>
    <row r="18" spans="1:58">
      <c r="C18" s="452"/>
      <c r="E18" s="487"/>
      <c r="F18" s="487">
        <f>+F17-E12</f>
        <v>0</v>
      </c>
      <c r="G18" s="488"/>
      <c r="H18" s="489"/>
      <c r="I18" s="489"/>
      <c r="W18" s="452"/>
      <c r="AA18" s="452"/>
      <c r="AB18" s="453"/>
      <c r="AC18" s="453"/>
      <c r="AD18" s="453"/>
      <c r="AE18" s="453"/>
      <c r="AF18" s="452"/>
      <c r="AG18" s="452"/>
      <c r="AH18" s="452"/>
      <c r="AI18" s="452"/>
      <c r="AJ18" s="452"/>
      <c r="AK18" s="452"/>
      <c r="AL18" s="452"/>
      <c r="AM18" s="452"/>
      <c r="AN18" s="452"/>
      <c r="AO18" s="446"/>
      <c r="AP18" s="446"/>
      <c r="AQ18" s="446"/>
      <c r="AR18" s="446"/>
      <c r="AS18" s="446"/>
      <c r="AT18" s="72"/>
      <c r="AU18" s="72"/>
      <c r="AV18" s="72"/>
      <c r="AW18" s="72"/>
      <c r="AX18" s="72"/>
      <c r="AY18" s="72"/>
      <c r="AZ18" s="72"/>
      <c r="BA18" s="72"/>
      <c r="BB18" s="72"/>
      <c r="BC18" s="72"/>
      <c r="BD18" s="72"/>
      <c r="BE18" s="72"/>
      <c r="BF18" s="72"/>
    </row>
    <row r="19" spans="1:58" s="114" customFormat="1" ht="27" thickBot="1">
      <c r="A19" s="490"/>
      <c r="B19" s="451"/>
      <c r="C19" s="491"/>
      <c r="D19" s="490"/>
      <c r="E19" s="492"/>
      <c r="F19" s="492"/>
      <c r="G19" s="493"/>
      <c r="H19" s="494"/>
      <c r="I19" s="494"/>
      <c r="J19" s="490"/>
      <c r="K19" s="490"/>
      <c r="L19" s="490"/>
      <c r="M19" s="490"/>
      <c r="N19" s="490"/>
      <c r="O19" s="490"/>
      <c r="P19" s="495" t="s">
        <v>202</v>
      </c>
      <c r="Q19" s="495" t="s">
        <v>203</v>
      </c>
      <c r="R19" s="495" t="s">
        <v>204</v>
      </c>
      <c r="S19" s="495" t="s">
        <v>203</v>
      </c>
      <c r="T19" s="495" t="s">
        <v>204</v>
      </c>
      <c r="U19" s="495" t="s">
        <v>205</v>
      </c>
      <c r="V19" s="495"/>
      <c r="W19" s="496" t="s">
        <v>206</v>
      </c>
      <c r="X19" s="496" t="s">
        <v>207</v>
      </c>
      <c r="Y19" s="496" t="s">
        <v>208</v>
      </c>
      <c r="Z19" s="490"/>
      <c r="AA19" s="491"/>
      <c r="AB19" s="497"/>
      <c r="AC19" s="497"/>
      <c r="AD19" s="497"/>
      <c r="AE19" s="497"/>
      <c r="AF19" s="491"/>
      <c r="AG19" s="491"/>
      <c r="AH19" s="491"/>
      <c r="AI19" s="491"/>
      <c r="AJ19" s="491"/>
      <c r="AK19" s="491"/>
      <c r="AL19" s="491"/>
      <c r="AM19" s="491"/>
      <c r="AN19" s="491"/>
      <c r="AO19" s="447"/>
      <c r="AP19" s="447"/>
      <c r="AQ19" s="447"/>
      <c r="AR19" s="447"/>
      <c r="AS19" s="447"/>
      <c r="AT19" s="120"/>
      <c r="AU19" s="120"/>
      <c r="AV19" s="120"/>
      <c r="AW19" s="120"/>
      <c r="AX19" s="120"/>
      <c r="AY19" s="120"/>
      <c r="AZ19" s="120"/>
      <c r="BA19" s="120"/>
      <c r="BB19" s="120"/>
      <c r="BC19" s="120"/>
      <c r="BD19" s="120"/>
      <c r="BE19" s="120"/>
      <c r="BF19" s="120"/>
    </row>
    <row r="20" spans="1:58" ht="15.6">
      <c r="C20" s="422" t="s">
        <v>209</v>
      </c>
      <c r="D20" s="498"/>
      <c r="E20" s="450" t="b">
        <v>1</v>
      </c>
      <c r="H20" s="499"/>
      <c r="I20" s="499"/>
      <c r="J20" s="499"/>
      <c r="K20" s="499"/>
      <c r="L20" s="499"/>
      <c r="M20" s="499"/>
      <c r="N20" s="499"/>
      <c r="O20" s="452" t="s">
        <v>210</v>
      </c>
      <c r="P20" s="500">
        <v>1000000</v>
      </c>
      <c r="Q20" s="453"/>
      <c r="R20" s="453"/>
      <c r="S20" s="453"/>
      <c r="T20" s="453"/>
      <c r="U20" s="453"/>
      <c r="V20" s="453"/>
      <c r="W20" s="453"/>
      <c r="X20" s="453"/>
      <c r="Y20" s="453"/>
      <c r="Z20" s="453"/>
      <c r="AA20" s="452"/>
      <c r="AB20" s="453"/>
      <c r="AC20" s="453"/>
      <c r="AD20" s="453"/>
      <c r="AE20" s="453"/>
      <c r="AF20" s="452"/>
      <c r="AG20" s="452"/>
      <c r="AH20" s="452"/>
      <c r="AI20" s="452"/>
      <c r="AJ20" s="452"/>
      <c r="AK20" s="452"/>
      <c r="AL20" s="452"/>
      <c r="AM20" s="452"/>
      <c r="AN20" s="452"/>
      <c r="AO20" s="446"/>
      <c r="AP20" s="446"/>
      <c r="AQ20" s="446"/>
      <c r="AR20" s="446"/>
      <c r="AS20" s="446"/>
      <c r="AT20" s="72"/>
      <c r="AU20" s="72"/>
      <c r="AV20" s="72"/>
      <c r="AW20" s="72"/>
      <c r="AX20" s="72"/>
      <c r="AY20" s="72"/>
      <c r="AZ20" s="72"/>
      <c r="BA20" s="72"/>
      <c r="BB20" s="72"/>
      <c r="BC20" s="72"/>
      <c r="BD20" s="72"/>
      <c r="BE20" s="72"/>
      <c r="BF20" s="72"/>
    </row>
    <row r="21" spans="1:58" ht="15.6">
      <c r="C21" s="501" t="s">
        <v>211</v>
      </c>
      <c r="D21" s="422" t="str" cm="1">
        <f t="array" aca="1" ref="D21" ca="1">RIGHT(CELL("filename",E2),LEN(CELL("filename",E2))-FIND("]",CELL("filename",E2)))</f>
        <v>Billing Determinant Forecast</v>
      </c>
      <c r="H21" s="499"/>
      <c r="I21" s="499"/>
      <c r="J21" s="499"/>
      <c r="K21" s="499"/>
      <c r="L21" s="499"/>
      <c r="M21" s="499"/>
      <c r="N21" s="499"/>
      <c r="O21" s="452" t="s">
        <v>212</v>
      </c>
      <c r="P21" s="452">
        <v>12</v>
      </c>
      <c r="Q21" s="453"/>
      <c r="R21" s="453"/>
      <c r="S21" s="453"/>
      <c r="T21" s="453"/>
      <c r="U21" s="453"/>
      <c r="V21" s="453"/>
      <c r="W21" s="453"/>
      <c r="X21" s="453"/>
      <c r="Y21" s="453"/>
      <c r="Z21" s="453"/>
      <c r="AA21" s="452"/>
      <c r="AB21" s="453"/>
      <c r="AC21" s="453"/>
      <c r="AD21" s="453"/>
      <c r="AE21" s="453"/>
      <c r="AF21" s="452"/>
      <c r="AG21" s="452"/>
      <c r="AH21" s="452"/>
      <c r="AI21" s="452"/>
      <c r="AJ21" s="452"/>
      <c r="AK21" s="452"/>
      <c r="AL21" s="452"/>
      <c r="AM21" s="452"/>
      <c r="AN21" s="452"/>
      <c r="AO21" s="446"/>
      <c r="AP21" s="446"/>
      <c r="AQ21" s="446"/>
      <c r="AR21" s="446"/>
      <c r="AS21" s="446"/>
      <c r="AT21" s="72"/>
      <c r="AU21" s="72"/>
      <c r="AV21" s="72"/>
      <c r="AW21" s="72"/>
      <c r="AX21" s="72"/>
      <c r="AY21" s="72"/>
      <c r="AZ21" s="72"/>
      <c r="BA21" s="72"/>
      <c r="BB21" s="72"/>
      <c r="BC21" s="72"/>
      <c r="BD21" s="72"/>
      <c r="BE21" s="72"/>
      <c r="BF21" s="72"/>
    </row>
    <row r="22" spans="1:58">
      <c r="C22" s="502"/>
      <c r="D22" s="502"/>
      <c r="E22" s="503"/>
      <c r="F22" s="1609" t="s">
        <v>213</v>
      </c>
      <c r="G22" s="1609"/>
      <c r="H22" s="1609"/>
      <c r="I22" s="1609"/>
      <c r="J22" s="1610"/>
      <c r="K22" s="503"/>
      <c r="L22" s="504" t="s">
        <v>214</v>
      </c>
      <c r="M22" s="425" t="s">
        <v>215</v>
      </c>
      <c r="N22" s="425"/>
      <c r="O22" s="424"/>
      <c r="P22" s="426" t="s">
        <v>216</v>
      </c>
      <c r="Q22" s="505"/>
      <c r="R22" s="505"/>
      <c r="S22" s="505"/>
      <c r="T22" s="505"/>
      <c r="U22" s="505"/>
      <c r="V22" s="505"/>
      <c r="W22" s="505"/>
      <c r="X22" s="505"/>
      <c r="Y22" s="505"/>
      <c r="Z22" s="505"/>
      <c r="AA22" s="506"/>
      <c r="AB22" s="507" t="s">
        <v>217</v>
      </c>
      <c r="AC22" s="508"/>
      <c r="AD22" s="508"/>
      <c r="AE22" s="508"/>
      <c r="AF22" s="506"/>
      <c r="AG22" s="424"/>
      <c r="AH22" s="509"/>
      <c r="AI22" s="509"/>
      <c r="AJ22" s="509" t="s">
        <v>218</v>
      </c>
      <c r="AK22" s="509"/>
      <c r="AL22" s="509" t="s">
        <v>219</v>
      </c>
      <c r="AM22" s="509" t="s">
        <v>219</v>
      </c>
      <c r="AN22" s="423"/>
      <c r="AO22" s="446"/>
      <c r="AP22" s="446"/>
      <c r="AQ22" s="446"/>
      <c r="AR22" s="446"/>
      <c r="AS22" s="446"/>
      <c r="AT22" s="72"/>
      <c r="AU22" s="72"/>
      <c r="AV22" s="72"/>
      <c r="AW22" s="72"/>
      <c r="AX22" s="72"/>
      <c r="AY22" s="72"/>
      <c r="AZ22" s="72"/>
      <c r="BA22" s="72"/>
      <c r="BB22" s="72"/>
      <c r="BC22" s="72"/>
      <c r="BD22" s="72"/>
      <c r="BE22" s="72"/>
      <c r="BF22" s="72"/>
    </row>
    <row r="23" spans="1:58" ht="39.75" customHeight="1" thickBot="1">
      <c r="C23" s="510" t="s">
        <v>220</v>
      </c>
      <c r="D23" s="510" t="s">
        <v>221</v>
      </c>
      <c r="E23" s="427" t="s">
        <v>192</v>
      </c>
      <c r="F23" s="511" t="s">
        <v>222</v>
      </c>
      <c r="G23" s="511" t="s">
        <v>223</v>
      </c>
      <c r="H23" s="511" t="s">
        <v>224</v>
      </c>
      <c r="I23" s="511" t="s">
        <v>225</v>
      </c>
      <c r="J23" s="512" t="s">
        <v>226</v>
      </c>
      <c r="K23" s="512" t="s">
        <v>227</v>
      </c>
      <c r="L23" s="512" t="s">
        <v>228</v>
      </c>
      <c r="M23" s="428" t="s">
        <v>199</v>
      </c>
      <c r="N23" s="511" t="s">
        <v>229</v>
      </c>
      <c r="O23" s="512" t="s">
        <v>230</v>
      </c>
      <c r="P23" s="495" t="s">
        <v>231</v>
      </c>
      <c r="Q23" s="496" t="s">
        <v>232</v>
      </c>
      <c r="R23" s="496" t="s">
        <v>233</v>
      </c>
      <c r="S23" s="496" t="s">
        <v>234</v>
      </c>
      <c r="T23" s="496" t="s">
        <v>235</v>
      </c>
      <c r="U23" s="496" t="s">
        <v>205</v>
      </c>
      <c r="V23" s="513" t="s">
        <v>222</v>
      </c>
      <c r="W23" s="513" t="s">
        <v>236</v>
      </c>
      <c r="X23" s="513" t="s">
        <v>237</v>
      </c>
      <c r="Y23" s="513" t="s">
        <v>238</v>
      </c>
      <c r="Z23" s="513" t="s">
        <v>236</v>
      </c>
      <c r="AA23" s="514" t="s">
        <v>239</v>
      </c>
      <c r="AB23" s="515" t="s">
        <v>240</v>
      </c>
      <c r="AC23" s="516" t="s">
        <v>241</v>
      </c>
      <c r="AD23" s="516" t="s">
        <v>242</v>
      </c>
      <c r="AE23" s="516" t="s">
        <v>243</v>
      </c>
      <c r="AF23" s="514" t="s">
        <v>244</v>
      </c>
      <c r="AG23" s="429" t="s">
        <v>245</v>
      </c>
      <c r="AH23" s="517" t="s">
        <v>246</v>
      </c>
      <c r="AI23" s="517" t="s">
        <v>247</v>
      </c>
      <c r="AJ23" s="518" t="s">
        <v>248</v>
      </c>
      <c r="AK23" s="519" t="s">
        <v>249</v>
      </c>
      <c r="AL23" s="517" t="s">
        <v>250</v>
      </c>
      <c r="AM23" s="517" t="s">
        <v>251</v>
      </c>
      <c r="AN23" s="519" t="s">
        <v>249</v>
      </c>
      <c r="AO23" s="446"/>
      <c r="AP23" s="446"/>
      <c r="AQ23" s="446"/>
      <c r="AR23" s="446"/>
      <c r="AS23" s="446"/>
      <c r="AT23" s="72"/>
      <c r="AU23" s="72"/>
      <c r="AV23" s="72"/>
      <c r="AW23" s="72"/>
      <c r="AX23" s="72"/>
      <c r="AY23" s="72"/>
      <c r="AZ23" s="72"/>
      <c r="BA23" s="72"/>
      <c r="BB23" s="72"/>
      <c r="BC23" s="72"/>
      <c r="BD23" s="72"/>
      <c r="BE23" s="72"/>
      <c r="BF23" s="72"/>
    </row>
    <row r="24" spans="1:58">
      <c r="C24" s="420" t="s">
        <v>252</v>
      </c>
      <c r="D24" s="452"/>
      <c r="E24" s="520"/>
      <c r="F24" s="521"/>
      <c r="G24" s="521"/>
      <c r="H24" s="521"/>
      <c r="I24" s="521"/>
      <c r="J24" s="522"/>
      <c r="K24" s="522"/>
      <c r="L24" s="522"/>
      <c r="M24" s="521"/>
      <c r="N24" s="521"/>
      <c r="O24" s="522"/>
      <c r="P24" s="523"/>
      <c r="Q24" s="524"/>
      <c r="R24" s="524"/>
      <c r="S24" s="524"/>
      <c r="T24" s="524"/>
      <c r="U24" s="524"/>
      <c r="V24" s="525"/>
      <c r="W24" s="524"/>
      <c r="X24" s="524"/>
      <c r="Y24" s="524"/>
      <c r="Z24" s="525"/>
      <c r="AA24" s="526"/>
      <c r="AB24" s="453"/>
      <c r="AC24" s="453"/>
      <c r="AD24" s="453"/>
      <c r="AE24" s="453"/>
      <c r="AF24" s="526"/>
      <c r="AG24" s="527"/>
      <c r="AH24" s="528"/>
      <c r="AI24" s="528"/>
      <c r="AJ24" s="528"/>
      <c r="AK24" s="452"/>
      <c r="AL24" s="528"/>
      <c r="AM24" s="528"/>
      <c r="AN24" s="452"/>
      <c r="AO24" s="446"/>
      <c r="AP24" s="446"/>
      <c r="AQ24" s="446"/>
      <c r="AR24" s="446"/>
      <c r="AS24" s="446"/>
      <c r="AT24" s="72"/>
      <c r="AU24" s="72"/>
      <c r="AV24" s="72"/>
      <c r="AW24" s="72"/>
      <c r="AX24" s="72"/>
      <c r="AY24" s="72"/>
      <c r="AZ24" s="72"/>
      <c r="BA24" s="72"/>
      <c r="BB24" s="72"/>
    </row>
    <row r="25" spans="1:58">
      <c r="B25" s="529" t="s">
        <v>8</v>
      </c>
      <c r="C25" s="452" t="s">
        <v>253</v>
      </c>
      <c r="D25" s="530" t="s">
        <v>254</v>
      </c>
      <c r="E25" s="531">
        <f>CHOOSE(MATCH('Lists and Mapping'!$C$10,'Lists and Mapping'!$B$3:$B$5,0),'2026 Forecast'!E25,'2027 Forecast'!E25,'2028 Forecast'!E25)</f>
        <v>1100</v>
      </c>
      <c r="F25" s="532">
        <f>CHOOSE(MATCH('Lists and Mapping'!$C$10,'Lists and Mapping'!$B$3:$B$5,0),'2026 Forecast'!F25,'2027 Forecast'!F25,'2028 Forecast'!F25)</f>
        <v>9.1999999999999993</v>
      </c>
      <c r="G25" s="533">
        <f>CHOOSE(MATCH('Lists and Mapping'!$C$10,'Lists and Mapping'!$B$3:$B$5,0),'2026 Forecast'!G25,'2027 Forecast'!G25,'2028 Forecast'!G25)</f>
        <v>4.5999999999999996</v>
      </c>
      <c r="H25" s="533">
        <f>CHOOSE(MATCH('Lists and Mapping'!$C$10,'Lists and Mapping'!$B$3:$B$5,0),'2026 Forecast'!H25,'2027 Forecast'!H25,'2028 Forecast'!H25)</f>
        <v>4.5999999999999996</v>
      </c>
      <c r="I25" s="534">
        <f>CHOOSE(MATCH('Lists and Mapping'!$C$10,'Lists and Mapping'!$B$3:$B$5,0),'2026 Forecast'!I25,'2027 Forecast'!I25,'2028 Forecast'!I25)</f>
        <v>0</v>
      </c>
      <c r="J25" s="535">
        <f>CHOOSE(MATCH('Lists and Mapping'!$C$10,'Lists and Mapping'!$B$3:$B$5,0),'2026 Forecast'!J25,'2027 Forecast'!J25,'2028 Forecast'!J25)</f>
        <v>0</v>
      </c>
      <c r="K25" s="535">
        <f>CHOOSE(MATCH('Lists and Mapping'!$C$10,'Lists and Mapping'!$B$3:$B$5,0),'2026 Forecast'!K25,'2027 Forecast'!K25,'2028 Forecast'!K25)</f>
        <v>0</v>
      </c>
      <c r="L25" s="535">
        <f>CHOOSE(MATCH('Lists and Mapping'!$C$10,'Lists and Mapping'!$B$3:$B$5,0),'2026 Forecast'!L25,'2027 Forecast'!L25,'2028 Forecast'!L25)</f>
        <v>0</v>
      </c>
      <c r="M25" s="536">
        <f>CHOOSE(MATCH('Lists and Mapping'!$C$10,'Lists and Mapping'!$B$3:$B$5,0),'2026 Forecast'!M25,'2027 Forecast'!M25,'2028 Forecast'!M25)</f>
        <v>0</v>
      </c>
      <c r="N25" s="537">
        <f>CHOOSE(MATCH('Lists and Mapping'!$C$10,'Lists and Mapping'!$B$3:$B$5,0),'2026 Forecast'!N25,'2027 Forecast'!N25,'2028 Forecast'!N25)</f>
        <v>0</v>
      </c>
      <c r="O25" s="535">
        <f>CHOOSE(MATCH('Lists and Mapping'!$C$10,'Lists and Mapping'!$B$3:$B$5,0),'2026 Forecast'!O25,'2027 Forecast'!O25,'2028 Forecast'!O25)</f>
        <v>0</v>
      </c>
      <c r="P25" s="538">
        <f>CHOOSE(MATCH('Lists and Mapping'!$C$10,'Lists and Mapping'!$B$3:$B$5,0),'2026 Forecast'!P25,'2027 Forecast'!P25,'2028 Forecast'!P25)</f>
        <v>2.8247999999999999E-2</v>
      </c>
      <c r="Q25" s="539">
        <f>CHOOSE(MATCH('Lists and Mapping'!$C$10,'Lists and Mapping'!$B$3:$B$5,0),'2026 Forecast'!Q25,'2027 Forecast'!Q25,'2028 Forecast'!Q25)</f>
        <v>4.1658738000000001E-2</v>
      </c>
      <c r="R25" s="539">
        <f>CHOOSE(MATCH('Lists and Mapping'!$C$10,'Lists and Mapping'!$B$3:$B$5,0),'2026 Forecast'!R25,'2027 Forecast'!R25,'2028 Forecast'!R25)</f>
        <v>0.12574524353615832</v>
      </c>
      <c r="S25" s="539">
        <f>CHOOSE(MATCH('Lists and Mapping'!$C$10,'Lists and Mapping'!$B$3:$B$5,0),'2026 Forecast'!S25,'2027 Forecast'!S25,'2028 Forecast'!S25)</f>
        <v>0</v>
      </c>
      <c r="T25" s="539">
        <f>CHOOSE(MATCH('Lists and Mapping'!$C$10,'Lists and Mapping'!$B$3:$B$5,0),'2026 Forecast'!T25,'2027 Forecast'!T25,'2028 Forecast'!T25)</f>
        <v>0</v>
      </c>
      <c r="U25" s="539">
        <f>CHOOSE(MATCH('Lists and Mapping'!$C$10,'Lists and Mapping'!$B$3:$B$5,0),'2026 Forecast'!U25,'2027 Forecast'!U25,'2028 Forecast'!U25)</f>
        <v>0</v>
      </c>
      <c r="V25" s="540">
        <f>CHOOSE(MATCH('Lists and Mapping'!$C$10,'Lists and Mapping'!$B$3:$B$5,0),'2026 Forecast'!V25,'2027 Forecast'!V25,'2028 Forecast'!V25)</f>
        <v>0.16740398153615832</v>
      </c>
      <c r="W25" s="541">
        <f>CHOOSE(MATCH('Lists and Mapping'!$C$10,'Lists and Mapping'!$B$3:$B$5,0),'2026 Forecast'!W25,'2027 Forecast'!W25,'2028 Forecast'!W25)</f>
        <v>0</v>
      </c>
      <c r="X25" s="542">
        <f>CHOOSE(MATCH('Lists and Mapping'!$C$10,'Lists and Mapping'!$B$3:$B$5,0),'2026 Forecast'!X25,'2027 Forecast'!X25,'2028 Forecast'!X25)</f>
        <v>0</v>
      </c>
      <c r="Y25" s="542">
        <f>CHOOSE(MATCH('Lists and Mapping'!$C$10,'Lists and Mapping'!$B$3:$B$5,0),'2026 Forecast'!Y25,'2027 Forecast'!Y25,'2028 Forecast'!Y25)</f>
        <v>0</v>
      </c>
      <c r="Z25" s="540">
        <f>CHOOSE(MATCH('Lists and Mapping'!$C$10,'Lists and Mapping'!$B$3:$B$5,0),'2026 Forecast'!Z25,'2027 Forecast'!Z25,'2028 Forecast'!Z25)</f>
        <v>0</v>
      </c>
      <c r="AA25" s="543">
        <f>CHOOSE(MATCH('Lists and Mapping'!$C$10,'Lists and Mapping'!$B$3:$B$5,0),'2026 Forecast'!AA25,'2027 Forecast'!AA25,'2028 Forecast'!AA25)</f>
        <v>0.19565198153615831</v>
      </c>
      <c r="AB25" s="544">
        <f>CHOOSE(MATCH('Lists and Mapping'!$C$10,'Lists and Mapping'!$B$3:$B$5,0),'2026 Forecast'!AB25,'2027 Forecast'!AB25,'2028 Forecast'!AB25)</f>
        <v>1.0138225838649526</v>
      </c>
      <c r="AC25" s="544">
        <f>CHOOSE(MATCH('Lists and Mapping'!$C$10,'Lists and Mapping'!$B$3:$B$5,0),'2026 Forecast'!AC25,'2027 Forecast'!AC25,'2028 Forecast'!AC25)</f>
        <v>0.43004222446380808</v>
      </c>
      <c r="AD25" s="544">
        <f>CHOOSE(MATCH('Lists and Mapping'!$C$10,'Lists and Mapping'!$B$3:$B$5,0),'2026 Forecast'!AD25,'2027 Forecast'!AD25,'2028 Forecast'!AD25)</f>
        <v>5.2715999999999992E-2</v>
      </c>
      <c r="AE25" s="544">
        <f>CHOOSE(MATCH('Lists and Mapping'!$C$10,'Lists and Mapping'!$B$3:$B$5,0),'2026 Forecast'!AE25,'2027 Forecast'!AE25,'2028 Forecast'!AE25)</f>
        <v>0.10743759999999999</v>
      </c>
      <c r="AF25" s="543">
        <f>CHOOSE(MATCH('Lists and Mapping'!$C$10,'Lists and Mapping'!$B$3:$B$5,0),'2026 Forecast'!AF25,'2027 Forecast'!AF25,'2028 Forecast'!AF25)</f>
        <v>7.9027999999999987E-4</v>
      </c>
      <c r="AG25" s="545">
        <f>CHOOSE(MATCH('Lists and Mapping'!$C$10,'Lists and Mapping'!$B$3:$B$5,0),'2026 Forecast'!AG25,'2027 Forecast'!AG25,'2028 Forecast'!AG25)</f>
        <v>1.8004606698649188</v>
      </c>
      <c r="AH25" s="546">
        <f>CHOOSE(MATCH('Lists and Mapping'!$C$10,'Lists and Mapping'!$B$3:$B$5,0),'2026 Forecast'!AH25,'2027 Forecast'!AH25,'2028 Forecast'!AH25)</f>
        <v>2.1266519732191123</v>
      </c>
      <c r="AI25" s="546">
        <f>CHOOSE(MATCH('Lists and Mapping'!$C$10,'Lists and Mapping'!$B$3:$B$5,0),'2026 Forecast'!AI25,'2027 Forecast'!AI25,'2028 Forecast'!AI25)</f>
        <v>11.019810694184267</v>
      </c>
      <c r="AJ25" s="546">
        <f>CHOOSE(MATCH('Lists and Mapping'!$C$10,'Lists and Mapping'!$B$3:$B$5,0),'2026 Forecast'!AJ25,'2027 Forecast'!AJ25,'2028 Forecast'!AJ25)</f>
        <v>4.6743720050413922</v>
      </c>
      <c r="AK25" s="547">
        <f>CHOOSE(MATCH('Lists and Mapping'!$C$10,'Lists and Mapping'!$B$3:$B$5,0),'2026 Forecast'!AK25,'2027 Forecast'!AK25,'2028 Forecast'!AK25)</f>
        <v>19.570224672444773</v>
      </c>
      <c r="AL25" s="546">
        <f>CHOOSE(MATCH('Lists and Mapping'!$C$10,'Lists and Mapping'!$B$3:$B$5,0),'2026 Forecast'!AL25,'2027 Forecast'!AL25,'2028 Forecast'!AL25)</f>
        <v>1.1678000000000002</v>
      </c>
      <c r="AM25" s="546">
        <f>CHOOSE(MATCH('Lists and Mapping'!$C$10,'Lists and Mapping'!$B$3:$B$5,0),'2026 Forecast'!AM25,'2027 Forecast'!AM25,'2028 Forecast'!AM25)</f>
        <v>8.5899999999999987E-3</v>
      </c>
      <c r="AN25" s="547">
        <f>CHOOSE(MATCH('Lists and Mapping'!$C$10,'Lists and Mapping'!$B$3:$B$5,0),'2026 Forecast'!AN25,'2027 Forecast'!AN25,'2028 Forecast'!AN25)</f>
        <v>19.570224672444773</v>
      </c>
      <c r="AO25" s="446"/>
      <c r="AP25" s="446"/>
      <c r="AQ25" s="446"/>
      <c r="AR25" s="446"/>
      <c r="AS25" s="446"/>
      <c r="AT25" s="72"/>
      <c r="AU25" s="72"/>
      <c r="AV25" s="72"/>
      <c r="AW25" s="72"/>
      <c r="AX25" s="72"/>
      <c r="AY25" s="72"/>
      <c r="AZ25" s="72"/>
      <c r="BA25" s="72"/>
      <c r="BB25" s="72"/>
    </row>
    <row r="26" spans="1:58">
      <c r="B26" s="529" t="s">
        <v>8</v>
      </c>
      <c r="C26" s="452" t="s">
        <v>253</v>
      </c>
      <c r="D26" s="530" t="s">
        <v>255</v>
      </c>
      <c r="E26" s="531">
        <f>CHOOSE(MATCH('Lists and Mapping'!$C$10,'Lists and Mapping'!$B$3:$B$5,0),'2026 Forecast'!E26,'2027 Forecast'!E26,'2028 Forecast'!E26)</f>
        <v>3285</v>
      </c>
      <c r="F26" s="532">
        <f>CHOOSE(MATCH('Lists and Mapping'!$C$10,'Lists and Mapping'!$B$3:$B$5,0),'2026 Forecast'!F26,'2027 Forecast'!F26,'2028 Forecast'!F26)</f>
        <v>7.2</v>
      </c>
      <c r="G26" s="533">
        <f>CHOOSE(MATCH('Lists and Mapping'!$C$10,'Lists and Mapping'!$B$3:$B$5,0),'2026 Forecast'!G26,'2027 Forecast'!G26,'2028 Forecast'!G26)</f>
        <v>7.1</v>
      </c>
      <c r="H26" s="533">
        <f>CHOOSE(MATCH('Lists and Mapping'!$C$10,'Lists and Mapping'!$B$3:$B$5,0),'2026 Forecast'!H26,'2027 Forecast'!H26,'2028 Forecast'!H26)</f>
        <v>0.1</v>
      </c>
      <c r="I26" s="533">
        <f>CHOOSE(MATCH('Lists and Mapping'!$C$10,'Lists and Mapping'!$B$3:$B$5,0),'2026 Forecast'!I26,'2027 Forecast'!I26,'2028 Forecast'!I26)</f>
        <v>0</v>
      </c>
      <c r="J26" s="535">
        <f>CHOOSE(MATCH('Lists and Mapping'!$C$10,'Lists and Mapping'!$B$3:$B$5,0),'2026 Forecast'!J26,'2027 Forecast'!J26,'2028 Forecast'!J26)</f>
        <v>0</v>
      </c>
      <c r="K26" s="535">
        <f>CHOOSE(MATCH('Lists and Mapping'!$C$10,'Lists and Mapping'!$B$3:$B$5,0),'2026 Forecast'!K26,'2027 Forecast'!K26,'2028 Forecast'!K26)</f>
        <v>0</v>
      </c>
      <c r="L26" s="535">
        <f>CHOOSE(MATCH('Lists and Mapping'!$C$10,'Lists and Mapping'!$B$3:$B$5,0),'2026 Forecast'!L26,'2027 Forecast'!L26,'2028 Forecast'!L26)</f>
        <v>0</v>
      </c>
      <c r="M26" s="537">
        <f>CHOOSE(MATCH('Lists and Mapping'!$C$10,'Lists and Mapping'!$B$3:$B$5,0),'2026 Forecast'!M26,'2027 Forecast'!M26,'2028 Forecast'!M26)</f>
        <v>0</v>
      </c>
      <c r="N26" s="537">
        <f>CHOOSE(MATCH('Lists and Mapping'!$C$10,'Lists and Mapping'!$B$3:$B$5,0),'2026 Forecast'!N26,'2027 Forecast'!N26,'2028 Forecast'!N26)</f>
        <v>0</v>
      </c>
      <c r="O26" s="548">
        <f>CHOOSE(MATCH('Lists and Mapping'!$C$10,'Lists and Mapping'!$B$3:$B$5,0),'2026 Forecast'!O26,'2027 Forecast'!O26,'2028 Forecast'!O26)</f>
        <v>0</v>
      </c>
      <c r="P26" s="538">
        <f>CHOOSE(MATCH('Lists and Mapping'!$C$10,'Lists and Mapping'!$B$3:$B$5,0),'2026 Forecast'!P26,'2027 Forecast'!P26,'2028 Forecast'!P26)</f>
        <v>9.5808000000000004E-2</v>
      </c>
      <c r="Q26" s="539">
        <f>CHOOSE(MATCH('Lists and Mapping'!$C$10,'Lists and Mapping'!$B$3:$B$5,0),'2026 Forecast'!Q26,'2027 Forecast'!Q26,'2028 Forecast'!Q26)</f>
        <v>5.9445959490555214E-2</v>
      </c>
      <c r="R26" s="539">
        <f>CHOOSE(MATCH('Lists and Mapping'!$C$10,'Lists and Mapping'!$B$3:$B$5,0),'2026 Forecast'!R26,'2027 Forecast'!R26,'2028 Forecast'!R26)</f>
        <v>0</v>
      </c>
      <c r="S26" s="539">
        <f>CHOOSE(MATCH('Lists and Mapping'!$C$10,'Lists and Mapping'!$B$3:$B$5,0),'2026 Forecast'!S26,'2027 Forecast'!S26,'2028 Forecast'!S26)</f>
        <v>0</v>
      </c>
      <c r="T26" s="539">
        <f>CHOOSE(MATCH('Lists and Mapping'!$C$10,'Lists and Mapping'!$B$3:$B$5,0),'2026 Forecast'!T26,'2027 Forecast'!T26,'2028 Forecast'!T26)</f>
        <v>0</v>
      </c>
      <c r="U26" s="539">
        <f>CHOOSE(MATCH('Lists and Mapping'!$C$10,'Lists and Mapping'!$B$3:$B$5,0),'2026 Forecast'!U26,'2027 Forecast'!U26,'2028 Forecast'!U26)</f>
        <v>0</v>
      </c>
      <c r="V26" s="540">
        <f>CHOOSE(MATCH('Lists and Mapping'!$C$10,'Lists and Mapping'!$B$3:$B$5,0),'2026 Forecast'!V26,'2027 Forecast'!V26,'2028 Forecast'!V26)</f>
        <v>5.9445959490555214E-2</v>
      </c>
      <c r="W26" s="542">
        <f>CHOOSE(MATCH('Lists and Mapping'!$C$10,'Lists and Mapping'!$B$3:$B$5,0),'2026 Forecast'!W26,'2027 Forecast'!W26,'2028 Forecast'!W26)</f>
        <v>0</v>
      </c>
      <c r="X26" s="542">
        <f>CHOOSE(MATCH('Lists and Mapping'!$C$10,'Lists and Mapping'!$B$3:$B$5,0),'2026 Forecast'!X26,'2027 Forecast'!X26,'2028 Forecast'!X26)</f>
        <v>0</v>
      </c>
      <c r="Y26" s="542">
        <f>CHOOSE(MATCH('Lists and Mapping'!$C$10,'Lists and Mapping'!$B$3:$B$5,0),'2026 Forecast'!Y26,'2027 Forecast'!Y26,'2028 Forecast'!Y26)</f>
        <v>0</v>
      </c>
      <c r="Z26" s="540">
        <f>CHOOSE(MATCH('Lists and Mapping'!$C$10,'Lists and Mapping'!$B$3:$B$5,0),'2026 Forecast'!Z26,'2027 Forecast'!Z26,'2028 Forecast'!Z26)</f>
        <v>0</v>
      </c>
      <c r="AA26" s="543">
        <f>CHOOSE(MATCH('Lists and Mapping'!$C$10,'Lists and Mapping'!$B$3:$B$5,0),'2026 Forecast'!AA26,'2027 Forecast'!AA26,'2028 Forecast'!AA26)</f>
        <v>0.1552539594905552</v>
      </c>
      <c r="AB26" s="544">
        <f>CHOOSE(MATCH('Lists and Mapping'!$C$10,'Lists and Mapping'!$B$3:$B$5,0),'2026 Forecast'!AB26,'2027 Forecast'!AB26,'2028 Forecast'!AB26)</f>
        <v>0.79342636998126737</v>
      </c>
      <c r="AC26" s="544">
        <f>CHOOSE(MATCH('Lists and Mapping'!$C$10,'Lists and Mapping'!$B$3:$B$5,0),'2026 Forecast'!AC26,'2027 Forecast'!AC26,'2028 Forecast'!AC26)</f>
        <v>0.33655478436298025</v>
      </c>
      <c r="AD26" s="544">
        <f>CHOOSE(MATCH('Lists and Mapping'!$C$10,'Lists and Mapping'!$B$3:$B$5,0),'2026 Forecast'!AD26,'2027 Forecast'!AD26,'2028 Forecast'!AD26)</f>
        <v>4.1256000000000001E-2</v>
      </c>
      <c r="AE26" s="544">
        <f>CHOOSE(MATCH('Lists and Mapping'!$C$10,'Lists and Mapping'!$B$3:$B$5,0),'2026 Forecast'!AE26,'2027 Forecast'!AE26,'2028 Forecast'!AE26)</f>
        <v>8.4081600000000006E-2</v>
      </c>
      <c r="AF26" s="543">
        <f>CHOOSE(MATCH('Lists and Mapping'!$C$10,'Lists and Mapping'!$B$3:$B$5,0),'2026 Forecast'!AF26,'2027 Forecast'!AF26,'2028 Forecast'!AF26)</f>
        <v>6.1847999999999992E-4</v>
      </c>
      <c r="AG26" s="545">
        <f>CHOOSE(MATCH('Lists and Mapping'!$C$10,'Lists and Mapping'!$B$3:$B$5,0),'2026 Forecast'!AG26,'2027 Forecast'!AG26,'2028 Forecast'!AG26)</f>
        <v>1.4111911938348027</v>
      </c>
      <c r="AH26" s="546">
        <f>CHOOSE(MATCH('Lists and Mapping'!$C$10,'Lists and Mapping'!$B$3:$B$5,0),'2026 Forecast'!AH26,'2027 Forecast'!AH26,'2028 Forecast'!AH26)</f>
        <v>2.1563049929243778</v>
      </c>
      <c r="AI26" s="546">
        <f>CHOOSE(MATCH('Lists and Mapping'!$C$10,'Lists and Mapping'!$B$3:$B$5,0),'2026 Forecast'!AI26,'2027 Forecast'!AI26,'2028 Forecast'!AI26)</f>
        <v>11.019810694184269</v>
      </c>
      <c r="AJ26" s="546">
        <f>CHOOSE(MATCH('Lists and Mapping'!$C$10,'Lists and Mapping'!$B$3:$B$5,0),'2026 Forecast'!AJ26,'2027 Forecast'!AJ26,'2028 Forecast'!AJ26)</f>
        <v>4.6743720050413922</v>
      </c>
      <c r="AK26" s="547">
        <f>CHOOSE(MATCH('Lists and Mapping'!$C$10,'Lists and Mapping'!$B$3:$B$5,0),'2026 Forecast'!AK26,'2027 Forecast'!AK26,'2028 Forecast'!AK26)</f>
        <v>19.599877692150038</v>
      </c>
      <c r="AL26" s="546">
        <f>CHOOSE(MATCH('Lists and Mapping'!$C$10,'Lists and Mapping'!$B$3:$B$5,0),'2026 Forecast'!AL26,'2027 Forecast'!AL26,'2028 Forecast'!AL26)</f>
        <v>1.1678000000000002</v>
      </c>
      <c r="AM26" s="546">
        <f>CHOOSE(MATCH('Lists and Mapping'!$C$10,'Lists and Mapping'!$B$3:$B$5,0),'2026 Forecast'!AM26,'2027 Forecast'!AM26,'2028 Forecast'!AM26)</f>
        <v>8.5899999999999987E-3</v>
      </c>
      <c r="AN26" s="547">
        <f>CHOOSE(MATCH('Lists and Mapping'!$C$10,'Lists and Mapping'!$B$3:$B$5,0),'2026 Forecast'!AN26,'2027 Forecast'!AN26,'2028 Forecast'!AN26)</f>
        <v>19.599877692150038</v>
      </c>
      <c r="AO26" s="446"/>
      <c r="AP26" s="446"/>
      <c r="AQ26" s="446"/>
      <c r="AR26" s="446"/>
      <c r="AS26" s="446"/>
      <c r="AT26" s="72"/>
      <c r="AU26" s="72"/>
      <c r="AV26" s="72"/>
      <c r="AW26" s="72"/>
      <c r="AX26" s="72"/>
      <c r="AY26" s="72"/>
      <c r="AZ26" s="72"/>
      <c r="BA26" s="72"/>
      <c r="BB26" s="72"/>
    </row>
    <row r="27" spans="1:58">
      <c r="B27" s="529" t="s">
        <v>9</v>
      </c>
      <c r="C27" s="452" t="s">
        <v>253</v>
      </c>
      <c r="D27" s="530" t="s">
        <v>256</v>
      </c>
      <c r="E27" s="531">
        <f>CHOOSE(MATCH('Lists and Mapping'!$C$10,'Lists and Mapping'!$B$3:$B$5,0),'2026 Forecast'!E27,'2027 Forecast'!E27,'2028 Forecast'!E27)</f>
        <v>7716</v>
      </c>
      <c r="F27" s="532">
        <f>CHOOSE(MATCH('Lists and Mapping'!$C$10,'Lists and Mapping'!$B$3:$B$5,0),'2026 Forecast'!F27,'2027 Forecast'!F27,'2028 Forecast'!F27)</f>
        <v>25.3</v>
      </c>
      <c r="G27" s="533">
        <f>CHOOSE(MATCH('Lists and Mapping'!$C$10,'Lists and Mapping'!$B$3:$B$5,0),'2026 Forecast'!G27,'2027 Forecast'!G27,'2028 Forecast'!G27)</f>
        <v>20.399999999999999</v>
      </c>
      <c r="H27" s="533">
        <f>CHOOSE(MATCH('Lists and Mapping'!$C$10,'Lists and Mapping'!$B$3:$B$5,0),'2026 Forecast'!H27,'2027 Forecast'!H27,'2028 Forecast'!H27)</f>
        <v>4.9000000000000004</v>
      </c>
      <c r="I27" s="533">
        <f>CHOOSE(MATCH('Lists and Mapping'!$C$10,'Lists and Mapping'!$B$3:$B$5,0),'2026 Forecast'!I27,'2027 Forecast'!I27,'2028 Forecast'!I27)</f>
        <v>0</v>
      </c>
      <c r="J27" s="535">
        <f>CHOOSE(MATCH('Lists and Mapping'!$C$10,'Lists and Mapping'!$B$3:$B$5,0),'2026 Forecast'!J27,'2027 Forecast'!J27,'2028 Forecast'!J27)</f>
        <v>0</v>
      </c>
      <c r="K27" s="535">
        <f>CHOOSE(MATCH('Lists and Mapping'!$C$10,'Lists and Mapping'!$B$3:$B$5,0),'2026 Forecast'!K27,'2027 Forecast'!K27,'2028 Forecast'!K27)</f>
        <v>0</v>
      </c>
      <c r="L27" s="535">
        <f>CHOOSE(MATCH('Lists and Mapping'!$C$10,'Lists and Mapping'!$B$3:$B$5,0),'2026 Forecast'!L27,'2027 Forecast'!L27,'2028 Forecast'!L27)</f>
        <v>0</v>
      </c>
      <c r="M27" s="537">
        <f>CHOOSE(MATCH('Lists and Mapping'!$C$10,'Lists and Mapping'!$B$3:$B$5,0),'2026 Forecast'!M27,'2027 Forecast'!M27,'2028 Forecast'!M27)</f>
        <v>0</v>
      </c>
      <c r="N27" s="537">
        <f>CHOOSE(MATCH('Lists and Mapping'!$C$10,'Lists and Mapping'!$B$3:$B$5,0),'2026 Forecast'!N27,'2027 Forecast'!N27,'2028 Forecast'!N27)</f>
        <v>0</v>
      </c>
      <c r="O27" s="548">
        <f>CHOOSE(MATCH('Lists and Mapping'!$C$10,'Lists and Mapping'!$B$3:$B$5,0),'2026 Forecast'!O27,'2027 Forecast'!O27,'2028 Forecast'!O27)</f>
        <v>0</v>
      </c>
      <c r="P27" s="538">
        <f>CHOOSE(MATCH('Lists and Mapping'!$C$10,'Lists and Mapping'!$B$3:$B$5,0),'2026 Forecast'!P27,'2027 Forecast'!P27,'2028 Forecast'!P27)</f>
        <v>0</v>
      </c>
      <c r="Q27" s="539">
        <f>CHOOSE(MATCH('Lists and Mapping'!$C$10,'Lists and Mapping'!$B$3:$B$5,0),'2026 Forecast'!Q27,'2027 Forecast'!Q27,'2028 Forecast'!Q27)</f>
        <v>0</v>
      </c>
      <c r="R27" s="539">
        <f>CHOOSE(MATCH('Lists and Mapping'!$C$10,'Lists and Mapping'!$B$3:$B$5,0),'2026 Forecast'!R27,'2027 Forecast'!R27,'2028 Forecast'!R27)</f>
        <v>0</v>
      </c>
      <c r="S27" s="539">
        <f>CHOOSE(MATCH('Lists and Mapping'!$C$10,'Lists and Mapping'!$B$3:$B$5,0),'2026 Forecast'!S27,'2027 Forecast'!S27,'2028 Forecast'!S27)</f>
        <v>0</v>
      </c>
      <c r="T27" s="539">
        <f>CHOOSE(MATCH('Lists and Mapping'!$C$10,'Lists and Mapping'!$B$3:$B$5,0),'2026 Forecast'!T27,'2027 Forecast'!T27,'2028 Forecast'!T27)</f>
        <v>0</v>
      </c>
      <c r="U27" s="539">
        <f>CHOOSE(MATCH('Lists and Mapping'!$C$10,'Lists and Mapping'!$B$3:$B$5,0),'2026 Forecast'!U27,'2027 Forecast'!U27,'2028 Forecast'!U27)</f>
        <v>0</v>
      </c>
      <c r="V27" s="540">
        <f>CHOOSE(MATCH('Lists and Mapping'!$C$10,'Lists and Mapping'!$B$3:$B$5,0),'2026 Forecast'!V27,'2027 Forecast'!V27,'2028 Forecast'!V27)</f>
        <v>0</v>
      </c>
      <c r="W27" s="542">
        <f>CHOOSE(MATCH('Lists and Mapping'!$C$10,'Lists and Mapping'!$B$3:$B$5,0),'2026 Forecast'!W27,'2027 Forecast'!W27,'2028 Forecast'!W27)</f>
        <v>0</v>
      </c>
      <c r="X27" s="542">
        <f>CHOOSE(MATCH('Lists and Mapping'!$C$10,'Lists and Mapping'!$B$3:$B$5,0),'2026 Forecast'!X27,'2027 Forecast'!X27,'2028 Forecast'!X27)</f>
        <v>0</v>
      </c>
      <c r="Y27" s="542">
        <f>CHOOSE(MATCH('Lists and Mapping'!$C$10,'Lists and Mapping'!$B$3:$B$5,0),'2026 Forecast'!Y27,'2027 Forecast'!Y27,'2028 Forecast'!Y27)</f>
        <v>0</v>
      </c>
      <c r="Z27" s="540">
        <f>CHOOSE(MATCH('Lists and Mapping'!$C$10,'Lists and Mapping'!$B$3:$B$5,0),'2026 Forecast'!Z27,'2027 Forecast'!Z27,'2028 Forecast'!Z27)</f>
        <v>0</v>
      </c>
      <c r="AA27" s="543">
        <f>CHOOSE(MATCH('Lists and Mapping'!$C$10,'Lists and Mapping'!$B$3:$B$5,0),'2026 Forecast'!AA27,'2027 Forecast'!AA27,'2028 Forecast'!AA27)</f>
        <v>0</v>
      </c>
      <c r="AB27" s="544">
        <f>CHOOSE(MATCH('Lists and Mapping'!$C$10,'Lists and Mapping'!$B$3:$B$5,0),'2026 Forecast'!AB27,'2027 Forecast'!AB27,'2028 Forecast'!AB27)</f>
        <v>2.7880121056286202</v>
      </c>
      <c r="AC27" s="544">
        <f>CHOOSE(MATCH('Lists and Mapping'!$C$10,'Lists and Mapping'!$B$3:$B$5,0),'2026 Forecast'!AC27,'2027 Forecast'!AC27,'2028 Forecast'!AC27)</f>
        <v>1.1826161172754723</v>
      </c>
      <c r="AD27" s="544">
        <f>CHOOSE(MATCH('Lists and Mapping'!$C$10,'Lists and Mapping'!$B$3:$B$5,0),'2026 Forecast'!AD27,'2027 Forecast'!AD27,'2028 Forecast'!AD27)</f>
        <v>0.14496899999999999</v>
      </c>
      <c r="AE27" s="544">
        <f>CHOOSE(MATCH('Lists and Mapping'!$C$10,'Lists and Mapping'!$B$3:$B$5,0),'2026 Forecast'!AE27,'2027 Forecast'!AE27,'2028 Forecast'!AE27)</f>
        <v>0.29545340000000003</v>
      </c>
      <c r="AF27" s="543">
        <f>CHOOSE(MATCH('Lists and Mapping'!$C$10,'Lists and Mapping'!$B$3:$B$5,0),'2026 Forecast'!AF27,'2027 Forecast'!AF27,'2028 Forecast'!AF27)</f>
        <v>2.1732699999999997E-3</v>
      </c>
      <c r="AG27" s="545">
        <f>CHOOSE(MATCH('Lists and Mapping'!$C$10,'Lists and Mapping'!$B$3:$B$5,0),'2026 Forecast'!AG27,'2027 Forecast'!AG27,'2028 Forecast'!AG27)</f>
        <v>4.4132238929040932</v>
      </c>
      <c r="AH27" s="546">
        <f>CHOOSE(MATCH('Lists and Mapping'!$C$10,'Lists and Mapping'!$B$3:$B$5,0),'2026 Forecast'!AH27,'2027 Forecast'!AH27,'2028 Forecast'!AH27)</f>
        <v>0</v>
      </c>
      <c r="AI27" s="546">
        <f>CHOOSE(MATCH('Lists and Mapping'!$C$10,'Lists and Mapping'!$B$3:$B$5,0),'2026 Forecast'!AI27,'2027 Forecast'!AI27,'2028 Forecast'!AI27)</f>
        <v>11.019810694184269</v>
      </c>
      <c r="AJ27" s="546">
        <f>CHOOSE(MATCH('Lists and Mapping'!$C$10,'Lists and Mapping'!$B$3:$B$5,0),'2026 Forecast'!AJ27,'2027 Forecast'!AJ27,'2028 Forecast'!AJ27)</f>
        <v>4.6743720050413922</v>
      </c>
      <c r="AK27" s="547">
        <f>CHOOSE(MATCH('Lists and Mapping'!$C$10,'Lists and Mapping'!$B$3:$B$5,0),'2026 Forecast'!AK27,'2027 Forecast'!AK27,'2028 Forecast'!AK27)</f>
        <v>17.443572699225665</v>
      </c>
      <c r="AL27" s="546">
        <f>CHOOSE(MATCH('Lists and Mapping'!$C$10,'Lists and Mapping'!$B$3:$B$5,0),'2026 Forecast'!AL27,'2027 Forecast'!AL27,'2028 Forecast'!AL27)</f>
        <v>1.1678000000000002</v>
      </c>
      <c r="AM27" s="546">
        <f>CHOOSE(MATCH('Lists and Mapping'!$C$10,'Lists and Mapping'!$B$3:$B$5,0),'2026 Forecast'!AM27,'2027 Forecast'!AM27,'2028 Forecast'!AM27)</f>
        <v>8.5899999999999987E-3</v>
      </c>
      <c r="AN27" s="547">
        <f>CHOOSE(MATCH('Lists and Mapping'!$C$10,'Lists and Mapping'!$B$3:$B$5,0),'2026 Forecast'!AN27,'2027 Forecast'!AN27,'2028 Forecast'!AN27)</f>
        <v>17.443572699225665</v>
      </c>
      <c r="AO27" s="448"/>
      <c r="AP27" s="446"/>
      <c r="AQ27" s="446"/>
      <c r="AR27" s="446"/>
      <c r="AS27" s="446"/>
      <c r="AT27" s="72"/>
      <c r="AU27" s="72"/>
      <c r="AV27" s="72"/>
      <c r="AW27" s="72"/>
      <c r="AX27" s="72"/>
      <c r="AY27" s="72"/>
      <c r="AZ27" s="72"/>
      <c r="BA27" s="72"/>
      <c r="BB27" s="72"/>
    </row>
    <row r="28" spans="1:58">
      <c r="B28" s="529" t="s">
        <v>9</v>
      </c>
      <c r="C28" s="452" t="s">
        <v>253</v>
      </c>
      <c r="D28" s="530" t="s">
        <v>257</v>
      </c>
      <c r="E28" s="531">
        <f>CHOOSE(MATCH('Lists and Mapping'!$C$10,'Lists and Mapping'!$B$3:$B$5,0),'2026 Forecast'!E28,'2027 Forecast'!E28,'2028 Forecast'!E28)</f>
        <v>35132</v>
      </c>
      <c r="F28" s="532">
        <f>CHOOSE(MATCH('Lists and Mapping'!$C$10,'Lists and Mapping'!$B$3:$B$5,0),'2026 Forecast'!F28,'2027 Forecast'!F28,'2028 Forecast'!F28)</f>
        <v>204.1</v>
      </c>
      <c r="G28" s="533">
        <f>CHOOSE(MATCH('Lists and Mapping'!$C$10,'Lists and Mapping'!$B$3:$B$5,0),'2026 Forecast'!G28,'2027 Forecast'!G28,'2028 Forecast'!G28)</f>
        <v>119.5</v>
      </c>
      <c r="H28" s="533">
        <f>CHOOSE(MATCH('Lists and Mapping'!$C$10,'Lists and Mapping'!$B$3:$B$5,0),'2026 Forecast'!H28,'2027 Forecast'!H28,'2028 Forecast'!H28)</f>
        <v>84.6</v>
      </c>
      <c r="I28" s="533">
        <f>CHOOSE(MATCH('Lists and Mapping'!$C$10,'Lists and Mapping'!$B$3:$B$5,0),'2026 Forecast'!I28,'2027 Forecast'!I28,'2028 Forecast'!I28)</f>
        <v>0</v>
      </c>
      <c r="J28" s="535">
        <f>CHOOSE(MATCH('Lists and Mapping'!$C$10,'Lists and Mapping'!$B$3:$B$5,0),'2026 Forecast'!J28,'2027 Forecast'!J28,'2028 Forecast'!J28)</f>
        <v>0</v>
      </c>
      <c r="K28" s="535">
        <f>CHOOSE(MATCH('Lists and Mapping'!$C$10,'Lists and Mapping'!$B$3:$B$5,0),'2026 Forecast'!K28,'2027 Forecast'!K28,'2028 Forecast'!K28)</f>
        <v>0</v>
      </c>
      <c r="L28" s="535">
        <f>CHOOSE(MATCH('Lists and Mapping'!$C$10,'Lists and Mapping'!$B$3:$B$5,0),'2026 Forecast'!L28,'2027 Forecast'!L28,'2028 Forecast'!L28)</f>
        <v>0</v>
      </c>
      <c r="M28" s="537">
        <f>CHOOSE(MATCH('Lists and Mapping'!$C$10,'Lists and Mapping'!$B$3:$B$5,0),'2026 Forecast'!M28,'2027 Forecast'!M28,'2028 Forecast'!M28)</f>
        <v>0</v>
      </c>
      <c r="N28" s="537">
        <f>CHOOSE(MATCH('Lists and Mapping'!$C$10,'Lists and Mapping'!$B$3:$B$5,0),'2026 Forecast'!N28,'2027 Forecast'!N28,'2028 Forecast'!N28)</f>
        <v>0</v>
      </c>
      <c r="O28" s="548">
        <f>CHOOSE(MATCH('Lists and Mapping'!$C$10,'Lists and Mapping'!$B$3:$B$5,0),'2026 Forecast'!O28,'2027 Forecast'!O28,'2028 Forecast'!O28)</f>
        <v>0</v>
      </c>
      <c r="P28" s="538">
        <f>CHOOSE(MATCH('Lists and Mapping'!$C$10,'Lists and Mapping'!$B$3:$B$5,0),'2026 Forecast'!P28,'2027 Forecast'!P28,'2028 Forecast'!P28)</f>
        <v>0</v>
      </c>
      <c r="Q28" s="539">
        <f>CHOOSE(MATCH('Lists and Mapping'!$C$10,'Lists and Mapping'!$B$3:$B$5,0),'2026 Forecast'!Q28,'2027 Forecast'!Q28,'2028 Forecast'!Q28)</f>
        <v>0</v>
      </c>
      <c r="R28" s="539">
        <f>CHOOSE(MATCH('Lists and Mapping'!$C$10,'Lists and Mapping'!$B$3:$B$5,0),'2026 Forecast'!R28,'2027 Forecast'!R28,'2028 Forecast'!R28)</f>
        <v>0</v>
      </c>
      <c r="S28" s="539">
        <f>CHOOSE(MATCH('Lists and Mapping'!$C$10,'Lists and Mapping'!$B$3:$B$5,0),'2026 Forecast'!S28,'2027 Forecast'!S28,'2028 Forecast'!S28)</f>
        <v>0</v>
      </c>
      <c r="T28" s="539">
        <f>CHOOSE(MATCH('Lists and Mapping'!$C$10,'Lists and Mapping'!$B$3:$B$5,0),'2026 Forecast'!T28,'2027 Forecast'!T28,'2028 Forecast'!T28)</f>
        <v>0</v>
      </c>
      <c r="U28" s="539">
        <f>CHOOSE(MATCH('Lists and Mapping'!$C$10,'Lists and Mapping'!$B$3:$B$5,0),'2026 Forecast'!U28,'2027 Forecast'!U28,'2028 Forecast'!U28)</f>
        <v>0</v>
      </c>
      <c r="V28" s="540">
        <f>CHOOSE(MATCH('Lists and Mapping'!$C$10,'Lists and Mapping'!$B$3:$B$5,0),'2026 Forecast'!V28,'2027 Forecast'!V28,'2028 Forecast'!V28)</f>
        <v>0</v>
      </c>
      <c r="W28" s="542">
        <f>CHOOSE(MATCH('Lists and Mapping'!$C$10,'Lists and Mapping'!$B$3:$B$5,0),'2026 Forecast'!W28,'2027 Forecast'!W28,'2028 Forecast'!W28)</f>
        <v>0</v>
      </c>
      <c r="X28" s="542">
        <f>CHOOSE(MATCH('Lists and Mapping'!$C$10,'Lists and Mapping'!$B$3:$B$5,0),'2026 Forecast'!X28,'2027 Forecast'!X28,'2028 Forecast'!X28)</f>
        <v>0</v>
      </c>
      <c r="Y28" s="542">
        <f>CHOOSE(MATCH('Lists and Mapping'!$C$10,'Lists and Mapping'!$B$3:$B$5,0),'2026 Forecast'!Y28,'2027 Forecast'!Y28,'2028 Forecast'!Y28)</f>
        <v>0</v>
      </c>
      <c r="Z28" s="540">
        <f>CHOOSE(MATCH('Lists and Mapping'!$C$10,'Lists and Mapping'!$B$3:$B$5,0),'2026 Forecast'!Z28,'2027 Forecast'!Z28,'2028 Forecast'!Z28)</f>
        <v>0</v>
      </c>
      <c r="AA28" s="543">
        <f>CHOOSE(MATCH('Lists and Mapping'!$C$10,'Lists and Mapping'!$B$3:$B$5,0),'2026 Forecast'!AA28,'2027 Forecast'!AA28,'2028 Forecast'!AA28)</f>
        <v>0</v>
      </c>
      <c r="AB28" s="544">
        <f>CHOOSE(MATCH('Lists and Mapping'!$C$10,'Lists and Mapping'!$B$3:$B$5,0),'2026 Forecast'!AB28,'2027 Forecast'!AB28,'2028 Forecast'!AB28)</f>
        <v>22.491433626830094</v>
      </c>
      <c r="AC28" s="544">
        <f>CHOOSE(MATCH('Lists and Mapping'!$C$10,'Lists and Mapping'!$B$3:$B$5,0),'2026 Forecast'!AC28,'2027 Forecast'!AC28,'2028 Forecast'!AC28)</f>
        <v>9.5403932622894825</v>
      </c>
      <c r="AD28" s="544">
        <f>CHOOSE(MATCH('Lists and Mapping'!$C$10,'Lists and Mapping'!$B$3:$B$5,0),'2026 Forecast'!AD28,'2027 Forecast'!AD28,'2028 Forecast'!AD28)</f>
        <v>1.1694929999999999</v>
      </c>
      <c r="AE28" s="544">
        <f>CHOOSE(MATCH('Lists and Mapping'!$C$10,'Lists and Mapping'!$B$3:$B$5,0),'2026 Forecast'!AE28,'2027 Forecast'!AE28,'2028 Forecast'!AE28)</f>
        <v>2.3834797999999999</v>
      </c>
      <c r="AF28" s="543">
        <f>CHOOSE(MATCH('Lists and Mapping'!$C$10,'Lists and Mapping'!$B$3:$B$5,0),'2026 Forecast'!AF28,'2027 Forecast'!AF28,'2028 Forecast'!AF28)</f>
        <v>1.7532189999999996E-2</v>
      </c>
      <c r="AG28" s="545">
        <f>CHOOSE(MATCH('Lists and Mapping'!$C$10,'Lists and Mapping'!$B$3:$B$5,0),'2026 Forecast'!AG28,'2027 Forecast'!AG28,'2028 Forecast'!AG28)</f>
        <v>35.602331879119575</v>
      </c>
      <c r="AH28" s="546">
        <f>CHOOSE(MATCH('Lists and Mapping'!$C$10,'Lists and Mapping'!$B$3:$B$5,0),'2026 Forecast'!AH28,'2027 Forecast'!AH28,'2028 Forecast'!AH28)</f>
        <v>0</v>
      </c>
      <c r="AI28" s="546">
        <f>CHOOSE(MATCH('Lists and Mapping'!$C$10,'Lists and Mapping'!$B$3:$B$5,0),'2026 Forecast'!AI28,'2027 Forecast'!AI28,'2028 Forecast'!AI28)</f>
        <v>11.019810694184271</v>
      </c>
      <c r="AJ28" s="546">
        <f>CHOOSE(MATCH('Lists and Mapping'!$C$10,'Lists and Mapping'!$B$3:$B$5,0),'2026 Forecast'!AJ28,'2027 Forecast'!AJ28,'2028 Forecast'!AJ28)</f>
        <v>4.6743720050413922</v>
      </c>
      <c r="AK28" s="547">
        <f>CHOOSE(MATCH('Lists and Mapping'!$C$10,'Lists and Mapping'!$B$3:$B$5,0),'2026 Forecast'!AK28,'2027 Forecast'!AK28,'2028 Forecast'!AK28)</f>
        <v>17.443572699225662</v>
      </c>
      <c r="AL28" s="546">
        <f>CHOOSE(MATCH('Lists and Mapping'!$C$10,'Lists and Mapping'!$B$3:$B$5,0),'2026 Forecast'!AL28,'2027 Forecast'!AL28,'2028 Forecast'!AL28)</f>
        <v>1.1677999999999999</v>
      </c>
      <c r="AM28" s="546">
        <f>CHOOSE(MATCH('Lists and Mapping'!$C$10,'Lists and Mapping'!$B$3:$B$5,0),'2026 Forecast'!AM28,'2027 Forecast'!AM28,'2028 Forecast'!AM28)</f>
        <v>8.5899999999999987E-3</v>
      </c>
      <c r="AN28" s="547">
        <f>CHOOSE(MATCH('Lists and Mapping'!$C$10,'Lists and Mapping'!$B$3:$B$5,0),'2026 Forecast'!AN28,'2027 Forecast'!AN28,'2028 Forecast'!AN28)</f>
        <v>17.443572699225662</v>
      </c>
      <c r="AO28" s="448"/>
      <c r="AP28" s="446"/>
      <c r="AQ28" s="446"/>
      <c r="AR28" s="446"/>
      <c r="AS28" s="446"/>
      <c r="AT28" s="72"/>
      <c r="AU28" s="72"/>
      <c r="AV28" s="72"/>
      <c r="AW28" s="72"/>
      <c r="AX28" s="72"/>
      <c r="AY28" s="72"/>
      <c r="AZ28" s="72"/>
      <c r="BA28" s="72"/>
      <c r="BB28" s="72"/>
    </row>
    <row r="29" spans="1:58">
      <c r="B29" s="529" t="s">
        <v>9</v>
      </c>
      <c r="C29" s="452" t="s">
        <v>253</v>
      </c>
      <c r="D29" s="530" t="s">
        <v>258</v>
      </c>
      <c r="E29" s="531">
        <f>CHOOSE(MATCH('Lists and Mapping'!$C$10,'Lists and Mapping'!$B$3:$B$5,0),'2026 Forecast'!E29,'2027 Forecast'!E29,'2028 Forecast'!E29)</f>
        <v>3773</v>
      </c>
      <c r="F29" s="532">
        <f>CHOOSE(MATCH('Lists and Mapping'!$C$10,'Lists and Mapping'!$B$3:$B$5,0),'2026 Forecast'!F29,'2027 Forecast'!F29,'2028 Forecast'!F29)</f>
        <v>32.700000000000003</v>
      </c>
      <c r="G29" s="533">
        <f>CHOOSE(MATCH('Lists and Mapping'!$C$10,'Lists and Mapping'!$B$3:$B$5,0),'2026 Forecast'!G29,'2027 Forecast'!G29,'2028 Forecast'!G29)</f>
        <v>14.3</v>
      </c>
      <c r="H29" s="533">
        <f>CHOOSE(MATCH('Lists and Mapping'!$C$10,'Lists and Mapping'!$B$3:$B$5,0),'2026 Forecast'!H29,'2027 Forecast'!H29,'2028 Forecast'!H29)</f>
        <v>18.3</v>
      </c>
      <c r="I29" s="533">
        <f>CHOOSE(MATCH('Lists and Mapping'!$C$10,'Lists and Mapping'!$B$3:$B$5,0),'2026 Forecast'!I29,'2027 Forecast'!I29,'2028 Forecast'!I29)</f>
        <v>0</v>
      </c>
      <c r="J29" s="535">
        <f>CHOOSE(MATCH('Lists and Mapping'!$C$10,'Lists and Mapping'!$B$3:$B$5,0),'2026 Forecast'!J29,'2027 Forecast'!J29,'2028 Forecast'!J29)</f>
        <v>0</v>
      </c>
      <c r="K29" s="535">
        <f>CHOOSE(MATCH('Lists and Mapping'!$C$10,'Lists and Mapping'!$B$3:$B$5,0),'2026 Forecast'!K29,'2027 Forecast'!K29,'2028 Forecast'!K29)</f>
        <v>0</v>
      </c>
      <c r="L29" s="535">
        <f>CHOOSE(MATCH('Lists and Mapping'!$C$10,'Lists and Mapping'!$B$3:$B$5,0),'2026 Forecast'!L29,'2027 Forecast'!L29,'2028 Forecast'!L29)</f>
        <v>0</v>
      </c>
      <c r="M29" s="537">
        <f>CHOOSE(MATCH('Lists and Mapping'!$C$10,'Lists and Mapping'!$B$3:$B$5,0),'2026 Forecast'!M29,'2027 Forecast'!M29,'2028 Forecast'!M29)</f>
        <v>0</v>
      </c>
      <c r="N29" s="537">
        <f>CHOOSE(MATCH('Lists and Mapping'!$C$10,'Lists and Mapping'!$B$3:$B$5,0),'2026 Forecast'!N29,'2027 Forecast'!N29,'2028 Forecast'!N29)</f>
        <v>0</v>
      </c>
      <c r="O29" s="548">
        <f>CHOOSE(MATCH('Lists and Mapping'!$C$10,'Lists and Mapping'!$B$3:$B$5,0),'2026 Forecast'!O29,'2027 Forecast'!O29,'2028 Forecast'!O29)</f>
        <v>0</v>
      </c>
      <c r="P29" s="538">
        <f>CHOOSE(MATCH('Lists and Mapping'!$C$10,'Lists and Mapping'!$B$3:$B$5,0),'2026 Forecast'!P29,'2027 Forecast'!P29,'2028 Forecast'!P29)</f>
        <v>0</v>
      </c>
      <c r="Q29" s="539">
        <f>CHOOSE(MATCH('Lists and Mapping'!$C$10,'Lists and Mapping'!$B$3:$B$5,0),'2026 Forecast'!Q29,'2027 Forecast'!Q29,'2028 Forecast'!Q29)</f>
        <v>0</v>
      </c>
      <c r="R29" s="539">
        <f>CHOOSE(MATCH('Lists and Mapping'!$C$10,'Lists and Mapping'!$B$3:$B$5,0),'2026 Forecast'!R29,'2027 Forecast'!R29,'2028 Forecast'!R29)</f>
        <v>0</v>
      </c>
      <c r="S29" s="539">
        <f>CHOOSE(MATCH('Lists and Mapping'!$C$10,'Lists and Mapping'!$B$3:$B$5,0),'2026 Forecast'!S29,'2027 Forecast'!S29,'2028 Forecast'!S29)</f>
        <v>0</v>
      </c>
      <c r="T29" s="539">
        <f>CHOOSE(MATCH('Lists and Mapping'!$C$10,'Lists and Mapping'!$B$3:$B$5,0),'2026 Forecast'!T29,'2027 Forecast'!T29,'2028 Forecast'!T29)</f>
        <v>0</v>
      </c>
      <c r="U29" s="539">
        <f>CHOOSE(MATCH('Lists and Mapping'!$C$10,'Lists and Mapping'!$B$3:$B$5,0),'2026 Forecast'!U29,'2027 Forecast'!U29,'2028 Forecast'!U29)</f>
        <v>0</v>
      </c>
      <c r="V29" s="540">
        <f>CHOOSE(MATCH('Lists and Mapping'!$C$10,'Lists and Mapping'!$B$3:$B$5,0),'2026 Forecast'!V29,'2027 Forecast'!V29,'2028 Forecast'!V29)</f>
        <v>0</v>
      </c>
      <c r="W29" s="542">
        <f>CHOOSE(MATCH('Lists and Mapping'!$C$10,'Lists and Mapping'!$B$3:$B$5,0),'2026 Forecast'!W29,'2027 Forecast'!W29,'2028 Forecast'!W29)</f>
        <v>0</v>
      </c>
      <c r="X29" s="542">
        <f>CHOOSE(MATCH('Lists and Mapping'!$C$10,'Lists and Mapping'!$B$3:$B$5,0),'2026 Forecast'!X29,'2027 Forecast'!X29,'2028 Forecast'!X29)</f>
        <v>0</v>
      </c>
      <c r="Y29" s="542">
        <f>CHOOSE(MATCH('Lists and Mapping'!$C$10,'Lists and Mapping'!$B$3:$B$5,0),'2026 Forecast'!Y29,'2027 Forecast'!Y29,'2028 Forecast'!Y29)</f>
        <v>0</v>
      </c>
      <c r="Z29" s="540">
        <f>CHOOSE(MATCH('Lists and Mapping'!$C$10,'Lists and Mapping'!$B$3:$B$5,0),'2026 Forecast'!Z29,'2027 Forecast'!Z29,'2028 Forecast'!Z29)</f>
        <v>0</v>
      </c>
      <c r="AA29" s="543">
        <f>CHOOSE(MATCH('Lists and Mapping'!$C$10,'Lists and Mapping'!$B$3:$B$5,0),'2026 Forecast'!AA29,'2027 Forecast'!AA29,'2028 Forecast'!AA29)</f>
        <v>0</v>
      </c>
      <c r="AB29" s="544">
        <f>CHOOSE(MATCH('Lists and Mapping'!$C$10,'Lists and Mapping'!$B$3:$B$5,0),'2026 Forecast'!AB29,'2027 Forecast'!AB29,'2028 Forecast'!AB29)</f>
        <v>3.6034780969982565</v>
      </c>
      <c r="AC29" s="544">
        <f>CHOOSE(MATCH('Lists and Mapping'!$C$10,'Lists and Mapping'!$B$3:$B$5,0),'2026 Forecast'!AC29,'2027 Forecast'!AC29,'2028 Forecast'!AC29)</f>
        <v>1.5285196456485355</v>
      </c>
      <c r="AD29" s="544">
        <f>CHOOSE(MATCH('Lists and Mapping'!$C$10,'Lists and Mapping'!$B$3:$B$5,0),'2026 Forecast'!AD29,'2027 Forecast'!AD29,'2028 Forecast'!AD29)</f>
        <v>0.18737100000000001</v>
      </c>
      <c r="AE29" s="544">
        <f>CHOOSE(MATCH('Lists and Mapping'!$C$10,'Lists and Mapping'!$B$3:$B$5,0),'2026 Forecast'!AE29,'2027 Forecast'!AE29,'2028 Forecast'!AE29)</f>
        <v>0.38187060000000006</v>
      </c>
      <c r="AF29" s="543">
        <f>CHOOSE(MATCH('Lists and Mapping'!$C$10,'Lists and Mapping'!$B$3:$B$5,0),'2026 Forecast'!AF29,'2027 Forecast'!AF29,'2028 Forecast'!AF29)</f>
        <v>2.8089299999999998E-3</v>
      </c>
      <c r="AG29" s="545">
        <f>CHOOSE(MATCH('Lists and Mapping'!$C$10,'Lists and Mapping'!$B$3:$B$5,0),'2026 Forecast'!AG29,'2027 Forecast'!AG29,'2028 Forecast'!AG29)</f>
        <v>5.7040482726467916</v>
      </c>
      <c r="AH29" s="546">
        <f>CHOOSE(MATCH('Lists and Mapping'!$C$10,'Lists and Mapping'!$B$3:$B$5,0),'2026 Forecast'!AH29,'2027 Forecast'!AH29,'2028 Forecast'!AH29)</f>
        <v>0</v>
      </c>
      <c r="AI29" s="546">
        <f>CHOOSE(MATCH('Lists and Mapping'!$C$10,'Lists and Mapping'!$B$3:$B$5,0),'2026 Forecast'!AI29,'2027 Forecast'!AI29,'2028 Forecast'!AI29)</f>
        <v>11.019810694184269</v>
      </c>
      <c r="AJ29" s="546">
        <f>CHOOSE(MATCH('Lists and Mapping'!$C$10,'Lists and Mapping'!$B$3:$B$5,0),'2026 Forecast'!AJ29,'2027 Forecast'!AJ29,'2028 Forecast'!AJ29)</f>
        <v>4.6743720050413922</v>
      </c>
      <c r="AK29" s="547">
        <f>CHOOSE(MATCH('Lists and Mapping'!$C$10,'Lists and Mapping'!$B$3:$B$5,0),'2026 Forecast'!AK29,'2027 Forecast'!AK29,'2028 Forecast'!AK29)</f>
        <v>17.443572699225658</v>
      </c>
      <c r="AL29" s="546">
        <f>CHOOSE(MATCH('Lists and Mapping'!$C$10,'Lists and Mapping'!$B$3:$B$5,0),'2026 Forecast'!AL29,'2027 Forecast'!AL29,'2028 Forecast'!AL29)</f>
        <v>1.1678000000000002</v>
      </c>
      <c r="AM29" s="546">
        <f>CHOOSE(MATCH('Lists and Mapping'!$C$10,'Lists and Mapping'!$B$3:$B$5,0),'2026 Forecast'!AM29,'2027 Forecast'!AM29,'2028 Forecast'!AM29)</f>
        <v>8.5899999999999987E-3</v>
      </c>
      <c r="AN29" s="547">
        <f>CHOOSE(MATCH('Lists and Mapping'!$C$10,'Lists and Mapping'!$B$3:$B$5,0),'2026 Forecast'!AN29,'2027 Forecast'!AN29,'2028 Forecast'!AN29)</f>
        <v>17.443572699225658</v>
      </c>
      <c r="AO29" s="448"/>
      <c r="AP29" s="446"/>
      <c r="AQ29" s="446"/>
      <c r="AR29" s="446"/>
      <c r="AS29" s="446"/>
      <c r="AT29" s="72"/>
      <c r="AU29" s="72"/>
      <c r="AV29" s="72"/>
      <c r="AW29" s="72"/>
      <c r="AX29" s="72"/>
      <c r="AY29" s="72"/>
      <c r="AZ29" s="72"/>
      <c r="BA29" s="72"/>
      <c r="BB29" s="72"/>
    </row>
    <row r="30" spans="1:58">
      <c r="B30" s="529" t="s">
        <v>6</v>
      </c>
      <c r="C30" s="452" t="s">
        <v>253</v>
      </c>
      <c r="D30" s="530" t="s">
        <v>259</v>
      </c>
      <c r="E30" s="531">
        <f>CHOOSE(MATCH('Lists and Mapping'!$C$10,'Lists and Mapping'!$B$3:$B$5,0),'2026 Forecast'!E30,'2027 Forecast'!E30,'2028 Forecast'!E30)</f>
        <v>100056</v>
      </c>
      <c r="F30" s="532">
        <f>CHOOSE(MATCH('Lists and Mapping'!$C$10,'Lists and Mapping'!$B$3:$B$5,0),'2026 Forecast'!F30,'2027 Forecast'!F30,'2028 Forecast'!F30)</f>
        <v>201.9</v>
      </c>
      <c r="G30" s="533">
        <f>CHOOSE(MATCH('Lists and Mapping'!$C$10,'Lists and Mapping'!$B$3:$B$5,0),'2026 Forecast'!G30,'2027 Forecast'!G30,'2028 Forecast'!G30)</f>
        <v>201.8</v>
      </c>
      <c r="H30" s="533">
        <f>CHOOSE(MATCH('Lists and Mapping'!$C$10,'Lists and Mapping'!$B$3:$B$5,0),'2026 Forecast'!H30,'2027 Forecast'!H30,'2028 Forecast'!H30)</f>
        <v>0.1</v>
      </c>
      <c r="I30" s="533">
        <f>CHOOSE(MATCH('Lists and Mapping'!$C$10,'Lists and Mapping'!$B$3:$B$5,0),'2026 Forecast'!I30,'2027 Forecast'!I30,'2028 Forecast'!I30)</f>
        <v>0</v>
      </c>
      <c r="J30" s="535">
        <f>CHOOSE(MATCH('Lists and Mapping'!$C$10,'Lists and Mapping'!$B$3:$B$5,0),'2026 Forecast'!J30,'2027 Forecast'!J30,'2028 Forecast'!J30)</f>
        <v>0</v>
      </c>
      <c r="K30" s="535">
        <f>CHOOSE(MATCH('Lists and Mapping'!$C$10,'Lists and Mapping'!$B$3:$B$5,0),'2026 Forecast'!K30,'2027 Forecast'!K30,'2028 Forecast'!K30)</f>
        <v>0</v>
      </c>
      <c r="L30" s="535">
        <f>CHOOSE(MATCH('Lists and Mapping'!$C$10,'Lists and Mapping'!$B$3:$B$5,0),'2026 Forecast'!L30,'2027 Forecast'!L30,'2028 Forecast'!L30)</f>
        <v>0</v>
      </c>
      <c r="M30" s="537">
        <f>CHOOSE(MATCH('Lists and Mapping'!$C$10,'Lists and Mapping'!$B$3:$B$5,0),'2026 Forecast'!M30,'2027 Forecast'!M30,'2028 Forecast'!M30)</f>
        <v>0</v>
      </c>
      <c r="N30" s="537">
        <f>CHOOSE(MATCH('Lists and Mapping'!$C$10,'Lists and Mapping'!$B$3:$B$5,0),'2026 Forecast'!N30,'2027 Forecast'!N30,'2028 Forecast'!N30)</f>
        <v>0</v>
      </c>
      <c r="O30" s="548">
        <f>CHOOSE(MATCH('Lists and Mapping'!$C$10,'Lists and Mapping'!$B$3:$B$5,0),'2026 Forecast'!O30,'2027 Forecast'!O30,'2028 Forecast'!O30)</f>
        <v>0</v>
      </c>
      <c r="P30" s="538">
        <f>CHOOSE(MATCH('Lists and Mapping'!$C$10,'Lists and Mapping'!$B$3:$B$5,0),'2026 Forecast'!P30,'2027 Forecast'!P30,'2028 Forecast'!P30)</f>
        <v>2.811744</v>
      </c>
      <c r="Q30" s="539">
        <f>CHOOSE(MATCH('Lists and Mapping'!$C$10,'Lists and Mapping'!$B$3:$B$5,0),'2026 Forecast'!Q30,'2027 Forecast'!Q30,'2028 Forecast'!Q30)</f>
        <v>4.7870878537264767</v>
      </c>
      <c r="R30" s="539">
        <f>CHOOSE(MATCH('Lists and Mapping'!$C$10,'Lists and Mapping'!$B$3:$B$5,0),'2026 Forecast'!R30,'2027 Forecast'!R30,'2028 Forecast'!R30)</f>
        <v>0</v>
      </c>
      <c r="S30" s="539">
        <f>CHOOSE(MATCH('Lists and Mapping'!$C$10,'Lists and Mapping'!$B$3:$B$5,0),'2026 Forecast'!S30,'2027 Forecast'!S30,'2028 Forecast'!S30)</f>
        <v>0</v>
      </c>
      <c r="T30" s="539">
        <f>CHOOSE(MATCH('Lists and Mapping'!$C$10,'Lists and Mapping'!$B$3:$B$5,0),'2026 Forecast'!T30,'2027 Forecast'!T30,'2028 Forecast'!T30)</f>
        <v>0</v>
      </c>
      <c r="U30" s="539">
        <f>CHOOSE(MATCH('Lists and Mapping'!$C$10,'Lists and Mapping'!$B$3:$B$5,0),'2026 Forecast'!U30,'2027 Forecast'!U30,'2028 Forecast'!U30)</f>
        <v>0</v>
      </c>
      <c r="V30" s="540">
        <f>CHOOSE(MATCH('Lists and Mapping'!$C$10,'Lists and Mapping'!$B$3:$B$5,0),'2026 Forecast'!V30,'2027 Forecast'!V30,'2028 Forecast'!V30)</f>
        <v>4.7870878537264767</v>
      </c>
      <c r="W30" s="542">
        <f>CHOOSE(MATCH('Lists and Mapping'!$C$10,'Lists and Mapping'!$B$3:$B$5,0),'2026 Forecast'!W30,'2027 Forecast'!W30,'2028 Forecast'!W30)</f>
        <v>0</v>
      </c>
      <c r="X30" s="542">
        <f>CHOOSE(MATCH('Lists and Mapping'!$C$10,'Lists and Mapping'!$B$3:$B$5,0),'2026 Forecast'!X30,'2027 Forecast'!X30,'2028 Forecast'!X30)</f>
        <v>0</v>
      </c>
      <c r="Y30" s="542">
        <f>CHOOSE(MATCH('Lists and Mapping'!$C$10,'Lists and Mapping'!$B$3:$B$5,0),'2026 Forecast'!Y30,'2027 Forecast'!Y30,'2028 Forecast'!Y30)</f>
        <v>0</v>
      </c>
      <c r="Z30" s="540">
        <f>CHOOSE(MATCH('Lists and Mapping'!$C$10,'Lists and Mapping'!$B$3:$B$5,0),'2026 Forecast'!Z30,'2027 Forecast'!Z30,'2028 Forecast'!Z30)</f>
        <v>0</v>
      </c>
      <c r="AA30" s="543">
        <f>CHOOSE(MATCH('Lists and Mapping'!$C$10,'Lists and Mapping'!$B$3:$B$5,0),'2026 Forecast'!AA30,'2027 Forecast'!AA30,'2028 Forecast'!AA30)</f>
        <v>7.5988318537264767</v>
      </c>
      <c r="AB30" s="544">
        <f>CHOOSE(MATCH('Lists and Mapping'!$C$10,'Lists and Mapping'!$B$3:$B$5,0),'2026 Forecast'!AB30,'2027 Forecast'!AB30,'2028 Forecast'!AB30)</f>
        <v>22.24899779155804</v>
      </c>
      <c r="AC30" s="544">
        <f>CHOOSE(MATCH('Lists and Mapping'!$C$10,'Lists and Mapping'!$B$3:$B$5,0),'2026 Forecast'!AC30,'2027 Forecast'!AC30,'2028 Forecast'!AC30)</f>
        <v>9.4375570781785711</v>
      </c>
      <c r="AD30" s="544">
        <f>CHOOSE(MATCH('Lists and Mapping'!$C$10,'Lists and Mapping'!$B$3:$B$5,0),'2026 Forecast'!AD30,'2027 Forecast'!AD30,'2028 Forecast'!AD30)</f>
        <v>1.156887</v>
      </c>
      <c r="AE30" s="544">
        <f>CHOOSE(MATCH('Lists and Mapping'!$C$10,'Lists and Mapping'!$B$3:$B$5,0),'2026 Forecast'!AE30,'2027 Forecast'!AE30,'2028 Forecast'!AE30)</f>
        <v>2.3577882000000003</v>
      </c>
      <c r="AF30" s="543">
        <f>CHOOSE(MATCH('Lists and Mapping'!$C$10,'Lists and Mapping'!$B$3:$B$5,0),'2026 Forecast'!AF30,'2027 Forecast'!AF30,'2028 Forecast'!AF30)</f>
        <v>1.7343209999999998E-2</v>
      </c>
      <c r="AG30" s="545">
        <f>CHOOSE(MATCH('Lists and Mapping'!$C$10,'Lists and Mapping'!$B$3:$B$5,0),'2026 Forecast'!AG30,'2027 Forecast'!AG30,'2028 Forecast'!AG30)</f>
        <v>42.817405133463083</v>
      </c>
      <c r="AH30" s="546">
        <f>CHOOSE(MATCH('Lists and Mapping'!$C$10,'Lists and Mapping'!$B$3:$B$5,0),'2026 Forecast'!AH30,'2027 Forecast'!AH30,'2028 Forecast'!AH30)</f>
        <v>3.7636611459764615</v>
      </c>
      <c r="AI30" s="546">
        <f>CHOOSE(MATCH('Lists and Mapping'!$C$10,'Lists and Mapping'!$B$3:$B$5,0),'2026 Forecast'!AI30,'2027 Forecast'!AI30,'2028 Forecast'!AI30)</f>
        <v>11.019810694184269</v>
      </c>
      <c r="AJ30" s="546">
        <f>CHOOSE(MATCH('Lists and Mapping'!$C$10,'Lists and Mapping'!$B$3:$B$5,0),'2026 Forecast'!AJ30,'2027 Forecast'!AJ30,'2028 Forecast'!AJ30)</f>
        <v>4.6743720050413922</v>
      </c>
      <c r="AK30" s="547">
        <f>CHOOSE(MATCH('Lists and Mapping'!$C$10,'Lists and Mapping'!$B$3:$B$5,0),'2026 Forecast'!AK30,'2027 Forecast'!AK30,'2028 Forecast'!AK30)</f>
        <v>21.207233845202119</v>
      </c>
      <c r="AL30" s="546">
        <f>CHOOSE(MATCH('Lists and Mapping'!$C$10,'Lists and Mapping'!$B$3:$B$5,0),'2026 Forecast'!AL30,'2027 Forecast'!AL30,'2028 Forecast'!AL30)</f>
        <v>1.1678000000000002</v>
      </c>
      <c r="AM30" s="546">
        <f>CHOOSE(MATCH('Lists and Mapping'!$C$10,'Lists and Mapping'!$B$3:$B$5,0),'2026 Forecast'!AM30,'2027 Forecast'!AM30,'2028 Forecast'!AM30)</f>
        <v>8.5899999999999987E-3</v>
      </c>
      <c r="AN30" s="547">
        <f>CHOOSE(MATCH('Lists and Mapping'!$C$10,'Lists and Mapping'!$B$3:$B$5,0),'2026 Forecast'!AN30,'2027 Forecast'!AN30,'2028 Forecast'!AN30)</f>
        <v>21.207233845202119</v>
      </c>
      <c r="AO30" s="446"/>
      <c r="AP30" s="446"/>
      <c r="AQ30" s="446"/>
      <c r="AR30" s="446"/>
      <c r="AS30" s="446"/>
      <c r="AT30" s="72"/>
      <c r="AU30" s="72"/>
      <c r="AV30" s="72"/>
      <c r="AW30" s="72"/>
      <c r="AX30" s="72"/>
      <c r="AY30" s="72"/>
      <c r="AZ30" s="72"/>
      <c r="BA30" s="72"/>
      <c r="BB30" s="72"/>
    </row>
    <row r="31" spans="1:58">
      <c r="B31" s="529" t="s">
        <v>6</v>
      </c>
      <c r="C31" s="452" t="s">
        <v>253</v>
      </c>
      <c r="D31" s="530" t="s">
        <v>260</v>
      </c>
      <c r="E31" s="531">
        <f>CHOOSE(MATCH('Lists and Mapping'!$C$10,'Lists and Mapping'!$B$3:$B$5,0),'2026 Forecast'!E31,'2027 Forecast'!E31,'2028 Forecast'!E31)</f>
        <v>37642</v>
      </c>
      <c r="F31" s="532">
        <f>CHOOSE(MATCH('Lists and Mapping'!$C$10,'Lists and Mapping'!$B$3:$B$5,0),'2026 Forecast'!F31,'2027 Forecast'!F31,'2028 Forecast'!F31)</f>
        <v>253.3</v>
      </c>
      <c r="G31" s="533">
        <f>CHOOSE(MATCH('Lists and Mapping'!$C$10,'Lists and Mapping'!$B$3:$B$5,0),'2026 Forecast'!G31,'2027 Forecast'!G31,'2028 Forecast'!G31)</f>
        <v>156.1</v>
      </c>
      <c r="H31" s="533">
        <f>CHOOSE(MATCH('Lists and Mapping'!$C$10,'Lists and Mapping'!$B$3:$B$5,0),'2026 Forecast'!H31,'2027 Forecast'!H31,'2028 Forecast'!H31)</f>
        <v>97.1</v>
      </c>
      <c r="I31" s="533">
        <f>CHOOSE(MATCH('Lists and Mapping'!$C$10,'Lists and Mapping'!$B$3:$B$5,0),'2026 Forecast'!I31,'2027 Forecast'!I31,'2028 Forecast'!I31)</f>
        <v>0</v>
      </c>
      <c r="J31" s="535">
        <f>CHOOSE(MATCH('Lists and Mapping'!$C$10,'Lists and Mapping'!$B$3:$B$5,0),'2026 Forecast'!J31,'2027 Forecast'!J31,'2028 Forecast'!J31)</f>
        <v>0</v>
      </c>
      <c r="K31" s="535">
        <f>CHOOSE(MATCH('Lists and Mapping'!$C$10,'Lists and Mapping'!$B$3:$B$5,0),'2026 Forecast'!K31,'2027 Forecast'!K31,'2028 Forecast'!K31)</f>
        <v>0</v>
      </c>
      <c r="L31" s="535">
        <f>CHOOSE(MATCH('Lists and Mapping'!$C$10,'Lists and Mapping'!$B$3:$B$5,0),'2026 Forecast'!L31,'2027 Forecast'!L31,'2028 Forecast'!L31)</f>
        <v>0</v>
      </c>
      <c r="M31" s="537">
        <f>CHOOSE(MATCH('Lists and Mapping'!$C$10,'Lists and Mapping'!$B$3:$B$5,0),'2026 Forecast'!M31,'2027 Forecast'!M31,'2028 Forecast'!M31)</f>
        <v>0</v>
      </c>
      <c r="N31" s="537">
        <f>CHOOSE(MATCH('Lists and Mapping'!$C$10,'Lists and Mapping'!$B$3:$B$5,0),'2026 Forecast'!N31,'2027 Forecast'!N31,'2028 Forecast'!N31)</f>
        <v>0</v>
      </c>
      <c r="O31" s="548">
        <f>CHOOSE(MATCH('Lists and Mapping'!$C$10,'Lists and Mapping'!$B$3:$B$5,0),'2026 Forecast'!O31,'2027 Forecast'!O31,'2028 Forecast'!O31)</f>
        <v>0</v>
      </c>
      <c r="P31" s="538">
        <f>CHOOSE(MATCH('Lists and Mapping'!$C$10,'Lists and Mapping'!$B$3:$B$5,0),'2026 Forecast'!P31,'2027 Forecast'!P31,'2028 Forecast'!P31)</f>
        <v>0.94336799999999998</v>
      </c>
      <c r="Q31" s="539">
        <f>CHOOSE(MATCH('Lists and Mapping'!$C$10,'Lists and Mapping'!$B$3:$B$5,0),'2026 Forecast'!Q31,'2027 Forecast'!Q31,'2028 Forecast'!Q31)</f>
        <v>4.1175654779999995</v>
      </c>
      <c r="R31" s="539">
        <f>CHOOSE(MATCH('Lists and Mapping'!$C$10,'Lists and Mapping'!$B$3:$B$5,0),'2026 Forecast'!R31,'2027 Forecast'!R31,'2028 Forecast'!R31)</f>
        <v>3.0844765054257359</v>
      </c>
      <c r="S31" s="539">
        <f>CHOOSE(MATCH('Lists and Mapping'!$C$10,'Lists and Mapping'!$B$3:$B$5,0),'2026 Forecast'!S31,'2027 Forecast'!S31,'2028 Forecast'!S31)</f>
        <v>0</v>
      </c>
      <c r="T31" s="539">
        <f>CHOOSE(MATCH('Lists and Mapping'!$C$10,'Lists and Mapping'!$B$3:$B$5,0),'2026 Forecast'!T31,'2027 Forecast'!T31,'2028 Forecast'!T31)</f>
        <v>0</v>
      </c>
      <c r="U31" s="539">
        <f>CHOOSE(MATCH('Lists and Mapping'!$C$10,'Lists and Mapping'!$B$3:$B$5,0),'2026 Forecast'!U31,'2027 Forecast'!U31,'2028 Forecast'!U31)</f>
        <v>0</v>
      </c>
      <c r="V31" s="540">
        <f>CHOOSE(MATCH('Lists and Mapping'!$C$10,'Lists and Mapping'!$B$3:$B$5,0),'2026 Forecast'!V31,'2027 Forecast'!V31,'2028 Forecast'!V31)</f>
        <v>7.202041983425735</v>
      </c>
      <c r="W31" s="542">
        <f>CHOOSE(MATCH('Lists and Mapping'!$C$10,'Lists and Mapping'!$B$3:$B$5,0),'2026 Forecast'!W31,'2027 Forecast'!W31,'2028 Forecast'!W31)</f>
        <v>0</v>
      </c>
      <c r="X31" s="542">
        <f>CHOOSE(MATCH('Lists and Mapping'!$C$10,'Lists and Mapping'!$B$3:$B$5,0),'2026 Forecast'!X31,'2027 Forecast'!X31,'2028 Forecast'!X31)</f>
        <v>0</v>
      </c>
      <c r="Y31" s="542">
        <f>CHOOSE(MATCH('Lists and Mapping'!$C$10,'Lists and Mapping'!$B$3:$B$5,0),'2026 Forecast'!Y31,'2027 Forecast'!Y31,'2028 Forecast'!Y31)</f>
        <v>0</v>
      </c>
      <c r="Z31" s="540">
        <f>CHOOSE(MATCH('Lists and Mapping'!$C$10,'Lists and Mapping'!$B$3:$B$5,0),'2026 Forecast'!Z31,'2027 Forecast'!Z31,'2028 Forecast'!Z31)</f>
        <v>0</v>
      </c>
      <c r="AA31" s="543">
        <f>CHOOSE(MATCH('Lists and Mapping'!$C$10,'Lists and Mapping'!$B$3:$B$5,0),'2026 Forecast'!AA31,'2027 Forecast'!AA31,'2028 Forecast'!AA31)</f>
        <v>8.1454099834257345</v>
      </c>
      <c r="AB31" s="544">
        <f>CHOOSE(MATCH('Lists and Mapping'!$C$10,'Lists and Mapping'!$B$3:$B$5,0),'2026 Forecast'!AB31,'2027 Forecast'!AB31,'2028 Forecast'!AB31)</f>
        <v>27.913180488368756</v>
      </c>
      <c r="AC31" s="544">
        <f>CHOOSE(MATCH('Lists and Mapping'!$C$10,'Lists and Mapping'!$B$3:$B$5,0),'2026 Forecast'!AC31,'2027 Forecast'!AC31,'2028 Forecast'!AC31)</f>
        <v>11.840184288769848</v>
      </c>
      <c r="AD31" s="544">
        <f>CHOOSE(MATCH('Lists and Mapping'!$C$10,'Lists and Mapping'!$B$3:$B$5,0),'2026 Forecast'!AD31,'2027 Forecast'!AD31,'2028 Forecast'!AD31)</f>
        <v>1.4514089999999999</v>
      </c>
      <c r="AE31" s="544">
        <f>CHOOSE(MATCH('Lists and Mapping'!$C$10,'Lists and Mapping'!$B$3:$B$5,0),'2026 Forecast'!AE31,'2027 Forecast'!AE31,'2028 Forecast'!AE31)</f>
        <v>2.9580374000000003</v>
      </c>
      <c r="AF31" s="543">
        <f>CHOOSE(MATCH('Lists and Mapping'!$C$10,'Lists and Mapping'!$B$3:$B$5,0),'2026 Forecast'!AF31,'2027 Forecast'!AF31,'2028 Forecast'!AF31)</f>
        <v>2.1758469999999999E-2</v>
      </c>
      <c r="AG31" s="545">
        <f>CHOOSE(MATCH('Lists and Mapping'!$C$10,'Lists and Mapping'!$B$3:$B$5,0),'2026 Forecast'!AG31,'2027 Forecast'!AG31,'2028 Forecast'!AG31)</f>
        <v>52.329979630564345</v>
      </c>
      <c r="AH31" s="546">
        <f>CHOOSE(MATCH('Lists and Mapping'!$C$10,'Lists and Mapping'!$B$3:$B$5,0),'2026 Forecast'!AH31,'2027 Forecast'!AH31,'2028 Forecast'!AH31)</f>
        <v>3.2157165351068828</v>
      </c>
      <c r="AI31" s="546">
        <f>CHOOSE(MATCH('Lists and Mapping'!$C$10,'Lists and Mapping'!$B$3:$B$5,0),'2026 Forecast'!AI31,'2027 Forecast'!AI31,'2028 Forecast'!AI31)</f>
        <v>11.019810694184269</v>
      </c>
      <c r="AJ31" s="546">
        <f>CHOOSE(MATCH('Lists and Mapping'!$C$10,'Lists and Mapping'!$B$3:$B$5,0),'2026 Forecast'!AJ31,'2027 Forecast'!AJ31,'2028 Forecast'!AJ31)</f>
        <v>4.6743720050413922</v>
      </c>
      <c r="AK31" s="547">
        <f>CHOOSE(MATCH('Lists and Mapping'!$C$10,'Lists and Mapping'!$B$3:$B$5,0),'2026 Forecast'!AK31,'2027 Forecast'!AK31,'2028 Forecast'!AK31)</f>
        <v>20.659289234332547</v>
      </c>
      <c r="AL31" s="546">
        <f>CHOOSE(MATCH('Lists and Mapping'!$C$10,'Lists and Mapping'!$B$3:$B$5,0),'2026 Forecast'!AL31,'2027 Forecast'!AL31,'2028 Forecast'!AL31)</f>
        <v>1.1678000000000002</v>
      </c>
      <c r="AM31" s="546">
        <f>CHOOSE(MATCH('Lists and Mapping'!$C$10,'Lists and Mapping'!$B$3:$B$5,0),'2026 Forecast'!AM31,'2027 Forecast'!AM31,'2028 Forecast'!AM31)</f>
        <v>8.5899999999999987E-3</v>
      </c>
      <c r="AN31" s="547">
        <f>CHOOSE(MATCH('Lists and Mapping'!$C$10,'Lists and Mapping'!$B$3:$B$5,0),'2026 Forecast'!AN31,'2027 Forecast'!AN31,'2028 Forecast'!AN31)</f>
        <v>20.659289234332547</v>
      </c>
      <c r="AO31" s="446"/>
      <c r="AP31" s="446"/>
      <c r="AQ31" s="446"/>
      <c r="AR31" s="446"/>
      <c r="AS31" s="446"/>
      <c r="AT31" s="72"/>
      <c r="AU31" s="72"/>
      <c r="AV31" s="72"/>
      <c r="AW31" s="72"/>
      <c r="AX31" s="72"/>
      <c r="AY31" s="72"/>
      <c r="AZ31" s="72"/>
      <c r="BA31" s="72"/>
      <c r="BB31" s="72"/>
    </row>
    <row r="32" spans="1:58">
      <c r="B32" s="529" t="s">
        <v>3</v>
      </c>
      <c r="C32" s="452" t="s">
        <v>253</v>
      </c>
      <c r="D32" s="530" t="s">
        <v>261</v>
      </c>
      <c r="E32" s="531">
        <f>CHOOSE(MATCH('Lists and Mapping'!$C$10,'Lists and Mapping'!$B$3:$B$5,0),'2026 Forecast'!E32,'2027 Forecast'!E32,'2028 Forecast'!E32)</f>
        <v>236045</v>
      </c>
      <c r="F32" s="532">
        <f>CHOOSE(MATCH('Lists and Mapping'!$C$10,'Lists and Mapping'!$B$3:$B$5,0),'2026 Forecast'!F32,'2027 Forecast'!F32,'2028 Forecast'!F32)</f>
        <v>784.9</v>
      </c>
      <c r="G32" s="533">
        <f>CHOOSE(MATCH('Lists and Mapping'!$C$10,'Lists and Mapping'!$B$3:$B$5,0),'2026 Forecast'!G32,'2027 Forecast'!G32,'2028 Forecast'!G32)</f>
        <v>601.29999999999995</v>
      </c>
      <c r="H32" s="533">
        <f>CHOOSE(MATCH('Lists and Mapping'!$C$10,'Lists and Mapping'!$B$3:$B$5,0),'2026 Forecast'!H32,'2027 Forecast'!H32,'2028 Forecast'!H32)</f>
        <v>183.6</v>
      </c>
      <c r="I32" s="533">
        <f>CHOOSE(MATCH('Lists and Mapping'!$C$10,'Lists and Mapping'!$B$3:$B$5,0),'2026 Forecast'!I32,'2027 Forecast'!I32,'2028 Forecast'!I32)</f>
        <v>455.50833333333327</v>
      </c>
      <c r="J32" s="535">
        <f>CHOOSE(MATCH('Lists and Mapping'!$C$10,'Lists and Mapping'!$B$3:$B$5,0),'2026 Forecast'!J32,'2027 Forecast'!J32,'2028 Forecast'!J32)</f>
        <v>0</v>
      </c>
      <c r="K32" s="535">
        <f>CHOOSE(MATCH('Lists and Mapping'!$C$10,'Lists and Mapping'!$B$3:$B$5,0),'2026 Forecast'!K32,'2027 Forecast'!K32,'2028 Forecast'!K32)</f>
        <v>0</v>
      </c>
      <c r="L32" s="535">
        <f>CHOOSE(MATCH('Lists and Mapping'!$C$10,'Lists and Mapping'!$B$3:$B$5,0),'2026 Forecast'!L32,'2027 Forecast'!L32,'2028 Forecast'!L32)</f>
        <v>0</v>
      </c>
      <c r="M32" s="537">
        <f>CHOOSE(MATCH('Lists and Mapping'!$C$10,'Lists and Mapping'!$B$3:$B$5,0),'2026 Forecast'!M32,'2027 Forecast'!M32,'2028 Forecast'!M32)</f>
        <v>0</v>
      </c>
      <c r="N32" s="537">
        <f>CHOOSE(MATCH('Lists and Mapping'!$C$10,'Lists and Mapping'!$B$3:$B$5,0),'2026 Forecast'!N32,'2027 Forecast'!N32,'2028 Forecast'!N32)</f>
        <v>0</v>
      </c>
      <c r="O32" s="548">
        <f>CHOOSE(MATCH('Lists and Mapping'!$C$10,'Lists and Mapping'!$B$3:$B$5,0),'2026 Forecast'!O32,'2027 Forecast'!O32,'2028 Forecast'!O32)</f>
        <v>0</v>
      </c>
      <c r="P32" s="538">
        <f>CHOOSE(MATCH('Lists and Mapping'!$C$10,'Lists and Mapping'!$B$3:$B$5,0),'2026 Forecast'!P32,'2027 Forecast'!P32,'2028 Forecast'!P32)</f>
        <v>10.54344</v>
      </c>
      <c r="Q32" s="539">
        <f>CHOOSE(MATCH('Lists and Mapping'!$C$10,'Lists and Mapping'!$B$3:$B$5,0),'2026 Forecast'!Q32,'2027 Forecast'!Q32,'2028 Forecast'!Q32)</f>
        <v>15.43510654798931</v>
      </c>
      <c r="R32" s="539">
        <f>CHOOSE(MATCH('Lists and Mapping'!$C$10,'Lists and Mapping'!$B$3:$B$5,0),'2026 Forecast'!R32,'2027 Forecast'!R32,'2028 Forecast'!R32)</f>
        <v>0</v>
      </c>
      <c r="S32" s="539">
        <f>CHOOSE(MATCH('Lists and Mapping'!$C$10,'Lists and Mapping'!$B$3:$B$5,0),'2026 Forecast'!S32,'2027 Forecast'!S32,'2028 Forecast'!S32)</f>
        <v>0</v>
      </c>
      <c r="T32" s="539">
        <f>CHOOSE(MATCH('Lists and Mapping'!$C$10,'Lists and Mapping'!$B$3:$B$5,0),'2026 Forecast'!T32,'2027 Forecast'!T32,'2028 Forecast'!T32)</f>
        <v>0</v>
      </c>
      <c r="U32" s="539">
        <f>CHOOSE(MATCH('Lists and Mapping'!$C$10,'Lists and Mapping'!$B$3:$B$5,0),'2026 Forecast'!U32,'2027 Forecast'!U32,'2028 Forecast'!U32)</f>
        <v>0</v>
      </c>
      <c r="V32" s="540">
        <f>CHOOSE(MATCH('Lists and Mapping'!$C$10,'Lists and Mapping'!$B$3:$B$5,0),'2026 Forecast'!V32,'2027 Forecast'!V32,'2028 Forecast'!V32)</f>
        <v>15.43510654798931</v>
      </c>
      <c r="W32" s="542">
        <f>CHOOSE(MATCH('Lists and Mapping'!$C$10,'Lists and Mapping'!$B$3:$B$5,0),'2026 Forecast'!W32,'2027 Forecast'!W32,'2028 Forecast'!W32)</f>
        <v>0</v>
      </c>
      <c r="X32" s="542">
        <f>CHOOSE(MATCH('Lists and Mapping'!$C$10,'Lists and Mapping'!$B$3:$B$5,0),'2026 Forecast'!X32,'2027 Forecast'!X32,'2028 Forecast'!X32)</f>
        <v>0</v>
      </c>
      <c r="Y32" s="542">
        <f>CHOOSE(MATCH('Lists and Mapping'!$C$10,'Lists and Mapping'!$B$3:$B$5,0),'2026 Forecast'!Y32,'2027 Forecast'!Y32,'2028 Forecast'!Y32)</f>
        <v>0</v>
      </c>
      <c r="Z32" s="540">
        <f>CHOOSE(MATCH('Lists and Mapping'!$C$10,'Lists and Mapping'!$B$3:$B$5,0),'2026 Forecast'!Z32,'2027 Forecast'!Z32,'2028 Forecast'!Z32)</f>
        <v>0</v>
      </c>
      <c r="AA32" s="543">
        <f>CHOOSE(MATCH('Lists and Mapping'!$C$10,'Lists and Mapping'!$B$3:$B$5,0),'2026 Forecast'!AA32,'2027 Forecast'!AA32,'2028 Forecast'!AA32)</f>
        <v>25.978546547989311</v>
      </c>
      <c r="AB32" s="544">
        <f>CHOOSE(MATCH('Lists and Mapping'!$C$10,'Lists and Mapping'!$B$3:$B$5,0),'2026 Forecast'!AB32,'2027 Forecast'!AB32,'2028 Forecast'!AB32)</f>
        <v>86.494494138652328</v>
      </c>
      <c r="AC32" s="544">
        <f>CHOOSE(MATCH('Lists and Mapping'!$C$10,'Lists and Mapping'!$B$3:$B$5,0),'2026 Forecast'!AC32,'2027 Forecast'!AC32,'2028 Forecast'!AC32)</f>
        <v>36.689145867569891</v>
      </c>
      <c r="AD32" s="544">
        <f>CHOOSE(MATCH('Lists and Mapping'!$C$10,'Lists and Mapping'!$B$3:$B$5,0),'2026 Forecast'!AD32,'2027 Forecast'!AD32,'2028 Forecast'!AD32)</f>
        <v>4.4974769999999999</v>
      </c>
      <c r="AE32" s="544">
        <f>CHOOSE(MATCH('Lists and Mapping'!$C$10,'Lists and Mapping'!$B$3:$B$5,0),'2026 Forecast'!AE32,'2027 Forecast'!AE32,'2028 Forecast'!AE32)</f>
        <v>9.1660622000000007</v>
      </c>
      <c r="AF32" s="543">
        <f>CHOOSE(MATCH('Lists and Mapping'!$C$10,'Lists and Mapping'!$B$3:$B$5,0),'2026 Forecast'!AF32,'2027 Forecast'!AF32,'2028 Forecast'!AF32)</f>
        <v>6.7422909999999989E-2</v>
      </c>
      <c r="AG32" s="545">
        <f>CHOOSE(MATCH('Lists and Mapping'!$C$10,'Lists and Mapping'!$B$3:$B$5,0),'2026 Forecast'!AG32,'2027 Forecast'!AG32,'2028 Forecast'!AG32)</f>
        <v>162.89314866421154</v>
      </c>
      <c r="AH32" s="546">
        <f>CHOOSE(MATCH('Lists and Mapping'!$C$10,'Lists and Mapping'!$B$3:$B$5,0),'2026 Forecast'!AH32,'2027 Forecast'!AH32,'2028 Forecast'!AH32)</f>
        <v>3.3097906163828914</v>
      </c>
      <c r="AI32" s="546">
        <f>CHOOSE(MATCH('Lists and Mapping'!$C$10,'Lists and Mapping'!$B$3:$B$5,0),'2026 Forecast'!AI32,'2027 Forecast'!AI32,'2028 Forecast'!AI32)</f>
        <v>11.019810694184269</v>
      </c>
      <c r="AJ32" s="546">
        <f>CHOOSE(MATCH('Lists and Mapping'!$C$10,'Lists and Mapping'!$B$3:$B$5,0),'2026 Forecast'!AJ32,'2027 Forecast'!AJ32,'2028 Forecast'!AJ32)</f>
        <v>4.6743720050413922</v>
      </c>
      <c r="AK32" s="547">
        <f>CHOOSE(MATCH('Lists and Mapping'!$C$10,'Lists and Mapping'!$B$3:$B$5,0),'2026 Forecast'!AK32,'2027 Forecast'!AK32,'2028 Forecast'!AK32)</f>
        <v>20.753363315608553</v>
      </c>
      <c r="AL32" s="546">
        <f>CHOOSE(MATCH('Lists and Mapping'!$C$10,'Lists and Mapping'!$B$3:$B$5,0),'2026 Forecast'!AL32,'2027 Forecast'!AL32,'2028 Forecast'!AL32)</f>
        <v>1.1678000000000002</v>
      </c>
      <c r="AM32" s="546">
        <f>CHOOSE(MATCH('Lists and Mapping'!$C$10,'Lists and Mapping'!$B$3:$B$5,0),'2026 Forecast'!AM32,'2027 Forecast'!AM32,'2028 Forecast'!AM32)</f>
        <v>8.5899999999999987E-3</v>
      </c>
      <c r="AN32" s="547">
        <f>CHOOSE(MATCH('Lists and Mapping'!$C$10,'Lists and Mapping'!$B$3:$B$5,0),'2026 Forecast'!AN32,'2027 Forecast'!AN32,'2028 Forecast'!AN32)</f>
        <v>20.753363315608553</v>
      </c>
      <c r="AO32" s="446"/>
      <c r="AP32" s="446"/>
      <c r="AQ32" s="446"/>
      <c r="AR32" s="446"/>
      <c r="AS32" s="446"/>
      <c r="AT32" s="72"/>
      <c r="AU32" s="72"/>
      <c r="AV32" s="72"/>
      <c r="AW32" s="72"/>
      <c r="AX32" s="72"/>
      <c r="AY32" s="72"/>
      <c r="AZ32" s="72"/>
      <c r="BA32" s="72"/>
      <c r="BB32" s="72"/>
    </row>
    <row r="33" spans="2:54">
      <c r="B33" s="529" t="s">
        <v>3</v>
      </c>
      <c r="C33" s="452" t="s">
        <v>253</v>
      </c>
      <c r="D33" s="530" t="s">
        <v>262</v>
      </c>
      <c r="E33" s="531">
        <f>CHOOSE(MATCH('Lists and Mapping'!$C$10,'Lists and Mapping'!$B$3:$B$5,0),'2026 Forecast'!E33,'2027 Forecast'!E33,'2028 Forecast'!E33)</f>
        <v>964228</v>
      </c>
      <c r="F33" s="532">
        <f>CHOOSE(MATCH('Lists and Mapping'!$C$10,'Lists and Mapping'!$B$3:$B$5,0),'2026 Forecast'!F33,'2027 Forecast'!F33,'2028 Forecast'!F33)</f>
        <v>4681.2</v>
      </c>
      <c r="G33" s="533">
        <f>CHOOSE(MATCH('Lists and Mapping'!$C$10,'Lists and Mapping'!$B$3:$B$5,0),'2026 Forecast'!G33,'2027 Forecast'!G33,'2028 Forecast'!G33)</f>
        <v>2864.4</v>
      </c>
      <c r="H33" s="533">
        <f>CHOOSE(MATCH('Lists and Mapping'!$C$10,'Lists and Mapping'!$B$3:$B$5,0),'2026 Forecast'!H33,'2027 Forecast'!H33,'2028 Forecast'!H33)</f>
        <v>1816.8</v>
      </c>
      <c r="I33" s="533">
        <f>CHOOSE(MATCH('Lists and Mapping'!$C$10,'Lists and Mapping'!$B$3:$B$5,0),'2026 Forecast'!I33,'2027 Forecast'!I33,'2028 Forecast'!I33)</f>
        <v>0</v>
      </c>
      <c r="J33" s="535">
        <f>CHOOSE(MATCH('Lists and Mapping'!$C$10,'Lists and Mapping'!$B$3:$B$5,0),'2026 Forecast'!J33,'2027 Forecast'!J33,'2028 Forecast'!J33)</f>
        <v>0</v>
      </c>
      <c r="K33" s="535">
        <f>CHOOSE(MATCH('Lists and Mapping'!$C$10,'Lists and Mapping'!$B$3:$B$5,0),'2026 Forecast'!K33,'2027 Forecast'!K33,'2028 Forecast'!K33)</f>
        <v>0</v>
      </c>
      <c r="L33" s="535">
        <f>CHOOSE(MATCH('Lists and Mapping'!$C$10,'Lists and Mapping'!$B$3:$B$5,0),'2026 Forecast'!L33,'2027 Forecast'!L33,'2028 Forecast'!L33)</f>
        <v>0</v>
      </c>
      <c r="M33" s="537">
        <f>CHOOSE(MATCH('Lists and Mapping'!$C$10,'Lists and Mapping'!$B$3:$B$5,0),'2026 Forecast'!M33,'2027 Forecast'!M33,'2028 Forecast'!M33)</f>
        <v>0</v>
      </c>
      <c r="N33" s="537">
        <f>CHOOSE(MATCH('Lists and Mapping'!$C$10,'Lists and Mapping'!$B$3:$B$5,0),'2026 Forecast'!N33,'2027 Forecast'!N33,'2028 Forecast'!N33)</f>
        <v>0</v>
      </c>
      <c r="O33" s="548">
        <f>CHOOSE(MATCH('Lists and Mapping'!$C$10,'Lists and Mapping'!$B$3:$B$5,0),'2026 Forecast'!O33,'2027 Forecast'!O33,'2028 Forecast'!O33)</f>
        <v>0</v>
      </c>
      <c r="P33" s="538">
        <f>CHOOSE(MATCH('Lists and Mapping'!$C$10,'Lists and Mapping'!$B$3:$B$5,0),'2026 Forecast'!P33,'2027 Forecast'!P33,'2028 Forecast'!P33)</f>
        <v>45.672528</v>
      </c>
      <c r="Q33" s="539">
        <f>CHOOSE(MATCH('Lists and Mapping'!$C$10,'Lists and Mapping'!$B$3:$B$5,0),'2026 Forecast'!Q33,'2027 Forecast'!Q33,'2028 Forecast'!Q33)</f>
        <v>228.33364175780886</v>
      </c>
      <c r="R33" s="539">
        <f>CHOOSE(MATCH('Lists and Mapping'!$C$10,'Lists and Mapping'!$B$3:$B$5,0),'2026 Forecast'!R33,'2027 Forecast'!R33,'2028 Forecast'!R33)</f>
        <v>0</v>
      </c>
      <c r="S33" s="539">
        <f>CHOOSE(MATCH('Lists and Mapping'!$C$10,'Lists and Mapping'!$B$3:$B$5,0),'2026 Forecast'!S33,'2027 Forecast'!S33,'2028 Forecast'!S33)</f>
        <v>0</v>
      </c>
      <c r="T33" s="539">
        <f>CHOOSE(MATCH('Lists and Mapping'!$C$10,'Lists and Mapping'!$B$3:$B$5,0),'2026 Forecast'!T33,'2027 Forecast'!T33,'2028 Forecast'!T33)</f>
        <v>0</v>
      </c>
      <c r="U33" s="542">
        <f>CHOOSE(MATCH('Lists and Mapping'!$C$10,'Lists and Mapping'!$B$3:$B$5,0),'2026 Forecast'!U33,'2027 Forecast'!U33,'2028 Forecast'!U33)</f>
        <v>0</v>
      </c>
      <c r="V33" s="540">
        <f>CHOOSE(MATCH('Lists and Mapping'!$C$10,'Lists and Mapping'!$B$3:$B$5,0),'2026 Forecast'!V33,'2027 Forecast'!V33,'2028 Forecast'!V33)</f>
        <v>228.33364175780886</v>
      </c>
      <c r="W33" s="542">
        <f>CHOOSE(MATCH('Lists and Mapping'!$C$10,'Lists and Mapping'!$B$3:$B$5,0),'2026 Forecast'!W33,'2027 Forecast'!W33,'2028 Forecast'!W33)</f>
        <v>0</v>
      </c>
      <c r="X33" s="542">
        <f>CHOOSE(MATCH('Lists and Mapping'!$C$10,'Lists and Mapping'!$B$3:$B$5,0),'2026 Forecast'!X33,'2027 Forecast'!X33,'2028 Forecast'!X33)</f>
        <v>0</v>
      </c>
      <c r="Y33" s="542">
        <f>CHOOSE(MATCH('Lists and Mapping'!$C$10,'Lists and Mapping'!$B$3:$B$5,0),'2026 Forecast'!Y33,'2027 Forecast'!Y33,'2028 Forecast'!Y33)</f>
        <v>0</v>
      </c>
      <c r="Z33" s="540">
        <f>CHOOSE(MATCH('Lists and Mapping'!$C$10,'Lists and Mapping'!$B$3:$B$5,0),'2026 Forecast'!Z33,'2027 Forecast'!Z33,'2028 Forecast'!Z33)</f>
        <v>0</v>
      </c>
      <c r="AA33" s="543">
        <f>CHOOSE(MATCH('Lists and Mapping'!$C$10,'Lists and Mapping'!$B$3:$B$5,0),'2026 Forecast'!AA33,'2027 Forecast'!AA33,'2028 Forecast'!AA33)</f>
        <v>274.00616975780883</v>
      </c>
      <c r="AB33" s="544">
        <f>CHOOSE(MATCH('Lists and Mapping'!$C$10,'Lists and Mapping'!$B$3:$B$5,0),'2026 Forecast'!AB33,'2027 Forecast'!AB33,'2028 Forecast'!AB33)</f>
        <v>515.85937821615403</v>
      </c>
      <c r="AC33" s="544">
        <f>CHOOSE(MATCH('Lists and Mapping'!$C$10,'Lists and Mapping'!$B$3:$B$5,0),'2026 Forecast'!AC33,'2027 Forecast'!AC33,'2028 Forecast'!AC33)</f>
        <v>218.81670229999767</v>
      </c>
      <c r="AD33" s="544">
        <f>CHOOSE(MATCH('Lists and Mapping'!$C$10,'Lists and Mapping'!$B$3:$B$5,0),'2026 Forecast'!AD33,'2027 Forecast'!AD33,'2028 Forecast'!AD33)</f>
        <v>26.823276</v>
      </c>
      <c r="AE33" s="544">
        <f>CHOOSE(MATCH('Lists and Mapping'!$C$10,'Lists and Mapping'!$B$3:$B$5,0),'2026 Forecast'!AE33,'2027 Forecast'!AE33,'2028 Forecast'!AE33)</f>
        <v>54.667053600000003</v>
      </c>
      <c r="AF33" s="543">
        <f>CHOOSE(MATCH('Lists and Mapping'!$C$10,'Lists and Mapping'!$B$3:$B$5,0),'2026 Forecast'!AF33,'2027 Forecast'!AF33,'2028 Forecast'!AF33)</f>
        <v>0.4021150799999999</v>
      </c>
      <c r="AG33" s="545">
        <f>CHOOSE(MATCH('Lists and Mapping'!$C$10,'Lists and Mapping'!$B$3:$B$5,0),'2026 Forecast'!AG33,'2027 Forecast'!AG33,'2028 Forecast'!AG33)</f>
        <v>1090.5746949539605</v>
      </c>
      <c r="AH33" s="546">
        <f>CHOOSE(MATCH('Lists and Mapping'!$C$10,'Lists and Mapping'!$B$3:$B$5,0),'2026 Forecast'!AH33,'2027 Forecast'!AH33,'2028 Forecast'!AH33)</f>
        <v>5.8533318328165604</v>
      </c>
      <c r="AI33" s="546">
        <f>CHOOSE(MATCH('Lists and Mapping'!$C$10,'Lists and Mapping'!$B$3:$B$5,0),'2026 Forecast'!AI33,'2027 Forecast'!AI33,'2028 Forecast'!AI33)</f>
        <v>11.019810694184271</v>
      </c>
      <c r="AJ33" s="546">
        <f>CHOOSE(MATCH('Lists and Mapping'!$C$10,'Lists and Mapping'!$B$3:$B$5,0),'2026 Forecast'!AJ33,'2027 Forecast'!AJ33,'2028 Forecast'!AJ33)</f>
        <v>4.6743720050413922</v>
      </c>
      <c r="AK33" s="547">
        <f>CHOOSE(MATCH('Lists and Mapping'!$C$10,'Lists and Mapping'!$B$3:$B$5,0),'2026 Forecast'!AK33,'2027 Forecast'!AK33,'2028 Forecast'!AK33)</f>
        <v>23.296904532042223</v>
      </c>
      <c r="AL33" s="546">
        <f>CHOOSE(MATCH('Lists and Mapping'!$C$10,'Lists and Mapping'!$B$3:$B$5,0),'2026 Forecast'!AL33,'2027 Forecast'!AL33,'2028 Forecast'!AL33)</f>
        <v>1.1678000000000002</v>
      </c>
      <c r="AM33" s="546">
        <f>CHOOSE(MATCH('Lists and Mapping'!$C$10,'Lists and Mapping'!$B$3:$B$5,0),'2026 Forecast'!AM33,'2027 Forecast'!AM33,'2028 Forecast'!AM33)</f>
        <v>8.5899999999999987E-3</v>
      </c>
      <c r="AN33" s="547">
        <f>CHOOSE(MATCH('Lists and Mapping'!$C$10,'Lists and Mapping'!$B$3:$B$5,0),'2026 Forecast'!AN33,'2027 Forecast'!AN33,'2028 Forecast'!AN33)</f>
        <v>23.296904532042223</v>
      </c>
      <c r="AO33" s="446"/>
      <c r="AP33" s="446"/>
      <c r="AQ33" s="446"/>
      <c r="AR33" s="446"/>
      <c r="AS33" s="446"/>
      <c r="AT33" s="72"/>
      <c r="AU33" s="72"/>
      <c r="AV33" s="72"/>
      <c r="AW33" s="72"/>
      <c r="AX33" s="72"/>
      <c r="AY33" s="72"/>
      <c r="AZ33" s="72"/>
      <c r="BA33" s="72"/>
      <c r="BB33" s="72"/>
    </row>
    <row r="34" spans="2:54">
      <c r="B34" s="529"/>
      <c r="C34" s="549"/>
      <c r="D34" s="549" t="s">
        <v>222</v>
      </c>
      <c r="E34" s="550">
        <f>CHOOSE(MATCH('Lists and Mapping'!$C$10,'Lists and Mapping'!$B$3:$B$5,0),'2026 Forecast'!E34,'2027 Forecast'!E34,'2028 Forecast'!E34)</f>
        <v>1388977</v>
      </c>
      <c r="F34" s="551">
        <f>CHOOSE(MATCH('Lists and Mapping'!$C$10,'Lists and Mapping'!$B$3:$B$5,0),'2026 Forecast'!F34,'2027 Forecast'!F34,'2028 Forecast'!F34)</f>
        <v>6199.7999999999993</v>
      </c>
      <c r="G34" s="552">
        <f>CHOOSE(MATCH('Lists and Mapping'!$C$10,'Lists and Mapping'!$B$3:$B$5,0),'2026 Forecast'!G34,'2027 Forecast'!G34,'2028 Forecast'!G34)</f>
        <v>3989.5</v>
      </c>
      <c r="H34" s="552">
        <f>CHOOSE(MATCH('Lists and Mapping'!$C$10,'Lists and Mapping'!$B$3:$B$5,0),'2026 Forecast'!H34,'2027 Forecast'!H34,'2028 Forecast'!H34)</f>
        <v>2210.1</v>
      </c>
      <c r="I34" s="552">
        <f>CHOOSE(MATCH('Lists and Mapping'!$C$10,'Lists and Mapping'!$B$3:$B$5,0),'2026 Forecast'!I34,'2027 Forecast'!I34,'2028 Forecast'!I34)</f>
        <v>0</v>
      </c>
      <c r="J34" s="553">
        <f>CHOOSE(MATCH('Lists and Mapping'!$C$10,'Lists and Mapping'!$B$3:$B$5,0),'2026 Forecast'!J34,'2027 Forecast'!J34,'2028 Forecast'!J34)</f>
        <v>0</v>
      </c>
      <c r="K34" s="553">
        <f>CHOOSE(MATCH('Lists and Mapping'!$C$10,'Lists and Mapping'!$B$3:$B$5,0),'2026 Forecast'!K34,'2027 Forecast'!K34,'2028 Forecast'!K34)</f>
        <v>0</v>
      </c>
      <c r="L34" s="553">
        <f>CHOOSE(MATCH('Lists and Mapping'!$C$10,'Lists and Mapping'!$B$3:$B$5,0),'2026 Forecast'!L34,'2027 Forecast'!L34,'2028 Forecast'!L34)</f>
        <v>0</v>
      </c>
      <c r="M34" s="554">
        <f>CHOOSE(MATCH('Lists and Mapping'!$C$10,'Lists and Mapping'!$B$3:$B$5,0),'2026 Forecast'!M34,'2027 Forecast'!M34,'2028 Forecast'!M34)</f>
        <v>0</v>
      </c>
      <c r="N34" s="554">
        <f>CHOOSE(MATCH('Lists and Mapping'!$C$10,'Lists and Mapping'!$B$3:$B$5,0),'2026 Forecast'!N34,'2027 Forecast'!N34,'2028 Forecast'!N34)</f>
        <v>0</v>
      </c>
      <c r="O34" s="555">
        <f>CHOOSE(MATCH('Lists and Mapping'!$C$10,'Lists and Mapping'!$B$3:$B$5,0),'2026 Forecast'!O34,'2027 Forecast'!O34,'2028 Forecast'!O34)</f>
        <v>0</v>
      </c>
      <c r="P34" s="556">
        <f>CHOOSE(MATCH('Lists and Mapping'!$C$10,'Lists and Mapping'!$B$3:$B$5,0),'2026 Forecast'!P34,'2027 Forecast'!P34,'2028 Forecast'!P34)</f>
        <v>60.095135999999997</v>
      </c>
      <c r="Q34" s="557">
        <f>CHOOSE(MATCH('Lists and Mapping'!$C$10,'Lists and Mapping'!$B$3:$B$5,0),'2026 Forecast'!Q34,'2027 Forecast'!Q34,'2028 Forecast'!Q34)</f>
        <v>252.77450633501519</v>
      </c>
      <c r="R34" s="557">
        <f>CHOOSE(MATCH('Lists and Mapping'!$C$10,'Lists and Mapping'!$B$3:$B$5,0),'2026 Forecast'!R34,'2027 Forecast'!R34,'2028 Forecast'!R34)</f>
        <v>3.2102217489618941</v>
      </c>
      <c r="S34" s="557">
        <f>CHOOSE(MATCH('Lists and Mapping'!$C$10,'Lists and Mapping'!$B$3:$B$5,0),'2026 Forecast'!S34,'2027 Forecast'!S34,'2028 Forecast'!S34)</f>
        <v>0</v>
      </c>
      <c r="T34" s="557">
        <f>CHOOSE(MATCH('Lists and Mapping'!$C$10,'Lists and Mapping'!$B$3:$B$5,0),'2026 Forecast'!T34,'2027 Forecast'!T34,'2028 Forecast'!T34)</f>
        <v>0</v>
      </c>
      <c r="U34" s="557">
        <f>CHOOSE(MATCH('Lists and Mapping'!$C$10,'Lists and Mapping'!$B$3:$B$5,0),'2026 Forecast'!U34,'2027 Forecast'!U34,'2028 Forecast'!U34)</f>
        <v>0</v>
      </c>
      <c r="V34" s="558">
        <f>CHOOSE(MATCH('Lists and Mapping'!$C$10,'Lists and Mapping'!$B$3:$B$5,0),'2026 Forecast'!V34,'2027 Forecast'!V34,'2028 Forecast'!V34)</f>
        <v>255.9847280839771</v>
      </c>
      <c r="W34" s="557">
        <f>CHOOSE(MATCH('Lists and Mapping'!$C$10,'Lists and Mapping'!$B$3:$B$5,0),'2026 Forecast'!W34,'2027 Forecast'!W34,'2028 Forecast'!W34)</f>
        <v>0</v>
      </c>
      <c r="X34" s="557">
        <f>CHOOSE(MATCH('Lists and Mapping'!$C$10,'Lists and Mapping'!$B$3:$B$5,0),'2026 Forecast'!X34,'2027 Forecast'!X34,'2028 Forecast'!X34)</f>
        <v>0</v>
      </c>
      <c r="Y34" s="557">
        <f>CHOOSE(MATCH('Lists and Mapping'!$C$10,'Lists and Mapping'!$B$3:$B$5,0),'2026 Forecast'!Y34,'2027 Forecast'!Y34,'2028 Forecast'!Y34)</f>
        <v>0</v>
      </c>
      <c r="Z34" s="558">
        <f>CHOOSE(MATCH('Lists and Mapping'!$C$10,'Lists and Mapping'!$B$3:$B$5,0),'2026 Forecast'!Z34,'2027 Forecast'!Z34,'2028 Forecast'!Z34)</f>
        <v>0</v>
      </c>
      <c r="AA34" s="559">
        <f>CHOOSE(MATCH('Lists and Mapping'!$C$10,'Lists and Mapping'!$B$3:$B$5,0),'2026 Forecast'!AA34,'2027 Forecast'!AA34,'2028 Forecast'!AA34)</f>
        <v>316.0798640839771</v>
      </c>
      <c r="AB34" s="560">
        <f>CHOOSE(MATCH('Lists and Mapping'!$C$10,'Lists and Mapping'!$B$3:$B$5,0),'2026 Forecast'!AB34,'2027 Forecast'!AB34,'2028 Forecast'!AB34)</f>
        <v>683.20622341803642</v>
      </c>
      <c r="AC34" s="560">
        <f>CHOOSE(MATCH('Lists and Mapping'!$C$10,'Lists and Mapping'!$B$3:$B$5,0),'2026 Forecast'!AC34,'2027 Forecast'!AC34,'2028 Forecast'!AC34)</f>
        <v>289.80171556855623</v>
      </c>
      <c r="AD34" s="560">
        <f>CHOOSE(MATCH('Lists and Mapping'!$C$10,'Lists and Mapping'!$B$3:$B$5,0),'2026 Forecast'!AD34,'2027 Forecast'!AD34,'2028 Forecast'!AD34)</f>
        <v>35.524853999999998</v>
      </c>
      <c r="AE34" s="560">
        <f>CHOOSE(MATCH('Lists and Mapping'!$C$10,'Lists and Mapping'!$B$3:$B$5,0),'2026 Forecast'!AE34,'2027 Forecast'!AE34,'2028 Forecast'!AE34)</f>
        <v>72.401264400000002</v>
      </c>
      <c r="AF34" s="559">
        <f>CHOOSE(MATCH('Lists and Mapping'!$C$10,'Lists and Mapping'!$B$3:$B$5,0),'2026 Forecast'!AF34,'2027 Forecast'!AF34,'2028 Forecast'!AF34)</f>
        <v>0.53256281999999988</v>
      </c>
      <c r="AG34" s="561">
        <f>CHOOSE(MATCH('Lists and Mapping'!$C$10,'Lists and Mapping'!$B$3:$B$5,0),'2026 Forecast'!AG34,'2027 Forecast'!AG34,'2028 Forecast'!AG34)</f>
        <v>1397.5464842905697</v>
      </c>
      <c r="AH34" s="562">
        <f>CHOOSE(MATCH('Lists and Mapping'!$C$10,'Lists and Mapping'!$B$3:$B$5,0),'2026 Forecast'!AH34,'2027 Forecast'!AH34,'2028 Forecast'!AH34)</f>
        <v>5.0982267828635939</v>
      </c>
      <c r="AI34" s="562">
        <f>CHOOSE(MATCH('Lists and Mapping'!$C$10,'Lists and Mapping'!$B$3:$B$5,0),'2026 Forecast'!AI34,'2027 Forecast'!AI34,'2028 Forecast'!AI34)</f>
        <v>11.019810694184272</v>
      </c>
      <c r="AJ34" s="562">
        <f>CHOOSE(MATCH('Lists and Mapping'!$C$10,'Lists and Mapping'!$B$3:$B$5,0),'2026 Forecast'!AJ34,'2027 Forecast'!AJ34,'2028 Forecast'!AJ34)</f>
        <v>4.6743720050413922</v>
      </c>
      <c r="AK34" s="563">
        <f>CHOOSE(MATCH('Lists and Mapping'!$C$10,'Lists and Mapping'!$B$3:$B$5,0),'2026 Forecast'!AK34,'2027 Forecast'!AK34,'2028 Forecast'!AK34)</f>
        <v>22.54179948208926</v>
      </c>
      <c r="AL34" s="562">
        <f>CHOOSE(MATCH('Lists and Mapping'!$C$10,'Lists and Mapping'!$B$3:$B$5,0),'2026 Forecast'!AL34,'2027 Forecast'!AL34,'2028 Forecast'!AL34)</f>
        <v>1.1678000000000002</v>
      </c>
      <c r="AM34" s="562">
        <f>CHOOSE(MATCH('Lists and Mapping'!$C$10,'Lists and Mapping'!$B$3:$B$5,0),'2026 Forecast'!AM34,'2027 Forecast'!AM34,'2028 Forecast'!AM34)</f>
        <v>8.5899999999999987E-3</v>
      </c>
      <c r="AN34" s="563">
        <f>CHOOSE(MATCH('Lists and Mapping'!$C$10,'Lists and Mapping'!$B$3:$B$5,0),'2026 Forecast'!AN34,'2027 Forecast'!AN34,'2028 Forecast'!AN34)</f>
        <v>22.54179948208926</v>
      </c>
      <c r="AO34" s="446"/>
      <c r="AP34" s="449"/>
      <c r="AQ34" s="446"/>
      <c r="AR34" s="446"/>
      <c r="AS34" s="446"/>
      <c r="AT34" s="72"/>
      <c r="AU34" s="72"/>
      <c r="AV34" s="72"/>
      <c r="AW34" s="72"/>
      <c r="AX34" s="72"/>
      <c r="AY34" s="72"/>
      <c r="AZ34" s="72"/>
      <c r="BA34" s="72"/>
      <c r="BB34" s="72"/>
    </row>
    <row r="35" spans="2:54" ht="21" customHeight="1">
      <c r="C35" s="420" t="s">
        <v>263</v>
      </c>
      <c r="D35" s="452"/>
      <c r="E35" s="564">
        <f>CHOOSE(MATCH('Lists and Mapping'!$C$10,'Lists and Mapping'!$B$3:$B$5,0),'2026 Forecast'!E35,'2027 Forecast'!E35,'2028 Forecast'!E35)</f>
        <v>0</v>
      </c>
      <c r="F35" s="565">
        <f>CHOOSE(MATCH('Lists and Mapping'!$C$10,'Lists and Mapping'!$B$3:$B$5,0),'2026 Forecast'!F35,'2027 Forecast'!F35,'2028 Forecast'!F35)</f>
        <v>0</v>
      </c>
      <c r="G35" s="533">
        <f>CHOOSE(MATCH('Lists and Mapping'!$C$10,'Lists and Mapping'!$B$3:$B$5,0),'2026 Forecast'!G35,'2027 Forecast'!G35,'2028 Forecast'!G35)</f>
        <v>0</v>
      </c>
      <c r="H35" s="533">
        <f>CHOOSE(MATCH('Lists and Mapping'!$C$10,'Lists and Mapping'!$B$3:$B$5,0),'2026 Forecast'!H35,'2027 Forecast'!H35,'2028 Forecast'!H35)</f>
        <v>0</v>
      </c>
      <c r="I35" s="533">
        <f>CHOOSE(MATCH('Lists and Mapping'!$C$10,'Lists and Mapping'!$B$3:$B$5,0),'2026 Forecast'!I35,'2027 Forecast'!I35,'2028 Forecast'!I35)</f>
        <v>0</v>
      </c>
      <c r="J35" s="566">
        <f>CHOOSE(MATCH('Lists and Mapping'!$C$10,'Lists and Mapping'!$B$3:$B$5,0),'2026 Forecast'!J35,'2027 Forecast'!J35,'2028 Forecast'!J35)</f>
        <v>0</v>
      </c>
      <c r="K35" s="566">
        <f>CHOOSE(MATCH('Lists and Mapping'!$C$10,'Lists and Mapping'!$B$3:$B$5,0),'2026 Forecast'!K35,'2027 Forecast'!K35,'2028 Forecast'!K35)</f>
        <v>0</v>
      </c>
      <c r="L35" s="566">
        <f>CHOOSE(MATCH('Lists and Mapping'!$C$10,'Lists and Mapping'!$B$3:$B$5,0),'2026 Forecast'!L35,'2027 Forecast'!L35,'2028 Forecast'!L35)</f>
        <v>0</v>
      </c>
      <c r="M35" s="567">
        <f>CHOOSE(MATCH('Lists and Mapping'!$C$10,'Lists and Mapping'!$B$3:$B$5,0),'2026 Forecast'!M35,'2027 Forecast'!M35,'2028 Forecast'!M35)</f>
        <v>0</v>
      </c>
      <c r="N35" s="567">
        <f>CHOOSE(MATCH('Lists and Mapping'!$C$10,'Lists and Mapping'!$B$3:$B$5,0),'2026 Forecast'!N35,'2027 Forecast'!N35,'2028 Forecast'!N35)</f>
        <v>0</v>
      </c>
      <c r="O35" s="567">
        <f>CHOOSE(MATCH('Lists and Mapping'!$C$10,'Lists and Mapping'!$B$3:$B$5,0),'2026 Forecast'!O35,'2027 Forecast'!O35,'2028 Forecast'!O35)</f>
        <v>0</v>
      </c>
      <c r="P35" s="538">
        <f>CHOOSE(MATCH('Lists and Mapping'!$C$10,'Lists and Mapping'!$B$3:$B$5,0),'2026 Forecast'!P35,'2027 Forecast'!P35,'2028 Forecast'!P35)</f>
        <v>0</v>
      </c>
      <c r="Q35" s="539">
        <f>CHOOSE(MATCH('Lists and Mapping'!$C$10,'Lists and Mapping'!$B$3:$B$5,0),'2026 Forecast'!Q35,'2027 Forecast'!Q35,'2028 Forecast'!Q35)</f>
        <v>0</v>
      </c>
      <c r="R35" s="539">
        <f>CHOOSE(MATCH('Lists and Mapping'!$C$10,'Lists and Mapping'!$B$3:$B$5,0),'2026 Forecast'!R35,'2027 Forecast'!R35,'2028 Forecast'!R35)</f>
        <v>0</v>
      </c>
      <c r="S35" s="539">
        <f>CHOOSE(MATCH('Lists and Mapping'!$C$10,'Lists and Mapping'!$B$3:$B$5,0),'2026 Forecast'!S35,'2027 Forecast'!S35,'2028 Forecast'!S35)</f>
        <v>0</v>
      </c>
      <c r="T35" s="539">
        <f>CHOOSE(MATCH('Lists and Mapping'!$C$10,'Lists and Mapping'!$B$3:$B$5,0),'2026 Forecast'!T35,'2027 Forecast'!T35,'2028 Forecast'!T35)</f>
        <v>0</v>
      </c>
      <c r="U35" s="539">
        <f>CHOOSE(MATCH('Lists and Mapping'!$C$10,'Lists and Mapping'!$B$3:$B$5,0),'2026 Forecast'!U35,'2027 Forecast'!U35,'2028 Forecast'!U35)</f>
        <v>0</v>
      </c>
      <c r="V35" s="540">
        <f>CHOOSE(MATCH('Lists and Mapping'!$C$10,'Lists and Mapping'!$B$3:$B$5,0),'2026 Forecast'!V35,'2027 Forecast'!V35,'2028 Forecast'!V35)</f>
        <v>0</v>
      </c>
      <c r="W35" s="568">
        <f>CHOOSE(MATCH('Lists and Mapping'!$C$10,'Lists and Mapping'!$B$3:$B$5,0),'2026 Forecast'!W35,'2027 Forecast'!W35,'2028 Forecast'!W35)</f>
        <v>0</v>
      </c>
      <c r="X35" s="568">
        <f>CHOOSE(MATCH('Lists and Mapping'!$C$10,'Lists and Mapping'!$B$3:$B$5,0),'2026 Forecast'!X35,'2027 Forecast'!X35,'2028 Forecast'!X35)</f>
        <v>0</v>
      </c>
      <c r="Y35" s="568">
        <f>CHOOSE(MATCH('Lists and Mapping'!$C$10,'Lists and Mapping'!$B$3:$B$5,0),'2026 Forecast'!Y35,'2027 Forecast'!Y35,'2028 Forecast'!Y35)</f>
        <v>0</v>
      </c>
      <c r="Z35" s="569">
        <f>CHOOSE(MATCH('Lists and Mapping'!$C$10,'Lists and Mapping'!$B$3:$B$5,0),'2026 Forecast'!Z35,'2027 Forecast'!Z35,'2028 Forecast'!Z35)</f>
        <v>0</v>
      </c>
      <c r="AA35" s="539">
        <f>CHOOSE(MATCH('Lists and Mapping'!$C$10,'Lists and Mapping'!$B$3:$B$5,0),'2026 Forecast'!AA35,'2027 Forecast'!AA35,'2028 Forecast'!AA35)</f>
        <v>0</v>
      </c>
      <c r="AB35" s="570">
        <f>CHOOSE(MATCH('Lists and Mapping'!$C$10,'Lists and Mapping'!$B$3:$B$5,0),'2026 Forecast'!AB35,'2027 Forecast'!AB35,'2028 Forecast'!AB35)</f>
        <v>0</v>
      </c>
      <c r="AC35" s="570">
        <f>CHOOSE(MATCH('Lists and Mapping'!$C$10,'Lists and Mapping'!$B$3:$B$5,0),'2026 Forecast'!AC35,'2027 Forecast'!AC35,'2028 Forecast'!AC35)</f>
        <v>0</v>
      </c>
      <c r="AD35" s="570">
        <f>CHOOSE(MATCH('Lists and Mapping'!$C$10,'Lists and Mapping'!$B$3:$B$5,0),'2026 Forecast'!AD35,'2027 Forecast'!AD35,'2028 Forecast'!AD35)</f>
        <v>0</v>
      </c>
      <c r="AE35" s="570">
        <f>CHOOSE(MATCH('Lists and Mapping'!$C$10,'Lists and Mapping'!$B$3:$B$5,0),'2026 Forecast'!AE35,'2027 Forecast'!AE35,'2028 Forecast'!AE35)</f>
        <v>0</v>
      </c>
      <c r="AF35" s="543">
        <f>CHOOSE(MATCH('Lists and Mapping'!$C$10,'Lists and Mapping'!$B$3:$B$5,0),'2026 Forecast'!AF35,'2027 Forecast'!AF35,'2028 Forecast'!AF35)</f>
        <v>0</v>
      </c>
      <c r="AG35" s="545">
        <f>CHOOSE(MATCH('Lists and Mapping'!$C$10,'Lists and Mapping'!$B$3:$B$5,0),'2026 Forecast'!AG35,'2027 Forecast'!AG35,'2028 Forecast'!AG35)</f>
        <v>0</v>
      </c>
      <c r="AH35" s="546">
        <f>CHOOSE(MATCH('Lists and Mapping'!$C$10,'Lists and Mapping'!$B$3:$B$5,0),'2026 Forecast'!AH35,'2027 Forecast'!AH35,'2028 Forecast'!AH35)</f>
        <v>0</v>
      </c>
      <c r="AI35" s="571">
        <f>CHOOSE(MATCH('Lists and Mapping'!$C$10,'Lists and Mapping'!$B$3:$B$5,0),'2026 Forecast'!AI35,'2027 Forecast'!AI35,'2028 Forecast'!AI35)</f>
        <v>0</v>
      </c>
      <c r="AJ35" s="546">
        <f>CHOOSE(MATCH('Lists and Mapping'!$C$10,'Lists and Mapping'!$B$3:$B$5,0),'2026 Forecast'!AJ35,'2027 Forecast'!AJ35,'2028 Forecast'!AJ35)</f>
        <v>0</v>
      </c>
      <c r="AK35" s="547">
        <f>CHOOSE(MATCH('Lists and Mapping'!$C$10,'Lists and Mapping'!$B$3:$B$5,0),'2026 Forecast'!AK35,'2027 Forecast'!AK35,'2028 Forecast'!AK35)</f>
        <v>0</v>
      </c>
      <c r="AL35" s="546">
        <f>CHOOSE(MATCH('Lists and Mapping'!$C$10,'Lists and Mapping'!$B$3:$B$5,0),'2026 Forecast'!AL35,'2027 Forecast'!AL35,'2028 Forecast'!AL35)</f>
        <v>0</v>
      </c>
      <c r="AM35" s="546">
        <f>CHOOSE(MATCH('Lists and Mapping'!$C$10,'Lists and Mapping'!$B$3:$B$5,0),'2026 Forecast'!AM35,'2027 Forecast'!AM35,'2028 Forecast'!AM35)</f>
        <v>0</v>
      </c>
      <c r="AN35" s="547">
        <f>CHOOSE(MATCH('Lists and Mapping'!$C$10,'Lists and Mapping'!$B$3:$B$5,0),'2026 Forecast'!AN35,'2027 Forecast'!AN35,'2028 Forecast'!AN35)</f>
        <v>0</v>
      </c>
      <c r="AO35" s="446"/>
      <c r="AP35" s="446"/>
      <c r="AQ35" s="446"/>
      <c r="AR35" s="446"/>
      <c r="AS35" s="446"/>
      <c r="AT35" s="72"/>
      <c r="AU35" s="72"/>
      <c r="AV35" s="72"/>
      <c r="AW35" s="72"/>
      <c r="AX35" s="72"/>
      <c r="AY35" s="72"/>
      <c r="AZ35" s="72"/>
      <c r="BA35" s="72"/>
      <c r="BB35" s="72"/>
    </row>
    <row r="36" spans="2:54">
      <c r="B36" s="529" t="s">
        <v>141</v>
      </c>
      <c r="C36" s="452" t="s">
        <v>253</v>
      </c>
      <c r="D36" s="572" t="s">
        <v>141</v>
      </c>
      <c r="E36" s="531">
        <f>CHOOSE(MATCH('Lists and Mapping'!$C$10,'Lists and Mapping'!$B$3:$B$5,0),'2026 Forecast'!E36,'2027 Forecast'!E36,'2028 Forecast'!E36)</f>
        <v>1</v>
      </c>
      <c r="F36" s="573">
        <f>CHOOSE(MATCH('Lists and Mapping'!$C$10,'Lists and Mapping'!$B$3:$B$5,0),'2026 Forecast'!F36,'2027 Forecast'!F36,'2028 Forecast'!F36)</f>
        <v>0</v>
      </c>
      <c r="G36" s="533">
        <f>CHOOSE(MATCH('Lists and Mapping'!$C$10,'Lists and Mapping'!$B$3:$B$5,0),'2026 Forecast'!G36,'2027 Forecast'!G36,'2028 Forecast'!G36)</f>
        <v>0</v>
      </c>
      <c r="H36" s="533">
        <f>CHOOSE(MATCH('Lists and Mapping'!$C$10,'Lists and Mapping'!$B$3:$B$5,0),'2026 Forecast'!H36,'2027 Forecast'!H36,'2028 Forecast'!H36)</f>
        <v>0</v>
      </c>
      <c r="I36" s="533">
        <f>CHOOSE(MATCH('Lists and Mapping'!$C$10,'Lists and Mapping'!$B$3:$B$5,0),'2026 Forecast'!I36,'2027 Forecast'!I36,'2028 Forecast'!I36)</f>
        <v>0</v>
      </c>
      <c r="J36" s="566">
        <f>CHOOSE(MATCH('Lists and Mapping'!$C$10,'Lists and Mapping'!$B$3:$B$5,0),'2026 Forecast'!J36,'2027 Forecast'!J36,'2028 Forecast'!J36)</f>
        <v>0</v>
      </c>
      <c r="K36" s="574">
        <f>CHOOSE(MATCH('Lists and Mapping'!$C$10,'Lists and Mapping'!$B$3:$B$5,0),'2026 Forecast'!K36,'2027 Forecast'!K36,'2028 Forecast'!K36)</f>
        <v>12</v>
      </c>
      <c r="L36" s="574">
        <f>CHOOSE(MATCH('Lists and Mapping'!$C$10,'Lists and Mapping'!$B$3:$B$5,0),'2026 Forecast'!L36,'2027 Forecast'!L36,'2028 Forecast'!L36)</f>
        <v>0</v>
      </c>
      <c r="M36" s="567">
        <f>CHOOSE(MATCH('Lists and Mapping'!$C$10,'Lists and Mapping'!$B$3:$B$5,0),'2026 Forecast'!M36,'2027 Forecast'!M36,'2028 Forecast'!M36)</f>
        <v>0</v>
      </c>
      <c r="N36" s="567">
        <f>CHOOSE(MATCH('Lists and Mapping'!$C$10,'Lists and Mapping'!$B$3:$B$5,0),'2026 Forecast'!N36,'2027 Forecast'!N36,'2028 Forecast'!N36)</f>
        <v>0</v>
      </c>
      <c r="O36" s="567">
        <f>CHOOSE(MATCH('Lists and Mapping'!$C$10,'Lists and Mapping'!$B$3:$B$5,0),'2026 Forecast'!O36,'2027 Forecast'!O36,'2028 Forecast'!O36)</f>
        <v>0</v>
      </c>
      <c r="P36" s="538">
        <f>CHOOSE(MATCH('Lists and Mapping'!$C$10,'Lists and Mapping'!$B$3:$B$5,0),'2026 Forecast'!P36,'2027 Forecast'!P36,'2028 Forecast'!P36)</f>
        <v>0</v>
      </c>
      <c r="Q36" s="539">
        <f>CHOOSE(MATCH('Lists and Mapping'!$C$10,'Lists and Mapping'!$B$3:$B$5,0),'2026 Forecast'!Q36,'2027 Forecast'!Q36,'2028 Forecast'!Q36)</f>
        <v>0</v>
      </c>
      <c r="R36" s="539">
        <f>CHOOSE(MATCH('Lists and Mapping'!$C$10,'Lists and Mapping'!$B$3:$B$5,0),'2026 Forecast'!R36,'2027 Forecast'!R36,'2028 Forecast'!R36)</f>
        <v>0</v>
      </c>
      <c r="S36" s="539">
        <f>CHOOSE(MATCH('Lists and Mapping'!$C$10,'Lists and Mapping'!$B$3:$B$5,0),'2026 Forecast'!S36,'2027 Forecast'!S36,'2028 Forecast'!S36)</f>
        <v>0</v>
      </c>
      <c r="T36" s="539">
        <f>CHOOSE(MATCH('Lists and Mapping'!$C$10,'Lists and Mapping'!$B$3:$B$5,0),'2026 Forecast'!T36,'2027 Forecast'!T36,'2028 Forecast'!T36)</f>
        <v>0</v>
      </c>
      <c r="U36" s="539">
        <f>CHOOSE(MATCH('Lists and Mapping'!$C$10,'Lists and Mapping'!$B$3:$B$5,0),'2026 Forecast'!U36,'2027 Forecast'!U36,'2028 Forecast'!U36)</f>
        <v>1.8119999999999999E-5</v>
      </c>
      <c r="V36" s="540">
        <f>CHOOSE(MATCH('Lists and Mapping'!$C$10,'Lists and Mapping'!$B$3:$B$5,0),'2026 Forecast'!V36,'2027 Forecast'!V36,'2028 Forecast'!V36)</f>
        <v>1.8119999999999999E-5</v>
      </c>
      <c r="W36" s="568">
        <f>CHOOSE(MATCH('Lists and Mapping'!$C$10,'Lists and Mapping'!$B$3:$B$5,0),'2026 Forecast'!W36,'2027 Forecast'!W36,'2028 Forecast'!W36)</f>
        <v>0</v>
      </c>
      <c r="X36" s="568">
        <f>CHOOSE(MATCH('Lists and Mapping'!$C$10,'Lists and Mapping'!$B$3:$B$5,0),'2026 Forecast'!X36,'2027 Forecast'!X36,'2028 Forecast'!X36)</f>
        <v>0</v>
      </c>
      <c r="Y36" s="568">
        <f>CHOOSE(MATCH('Lists and Mapping'!$C$10,'Lists and Mapping'!$B$3:$B$5,0),'2026 Forecast'!Y36,'2027 Forecast'!Y36,'2028 Forecast'!Y36)</f>
        <v>0</v>
      </c>
      <c r="Z36" s="569">
        <f>CHOOSE(MATCH('Lists and Mapping'!$C$10,'Lists and Mapping'!$B$3:$B$5,0),'2026 Forecast'!Z36,'2027 Forecast'!Z36,'2028 Forecast'!Z36)</f>
        <v>0</v>
      </c>
      <c r="AA36" s="543">
        <f>CHOOSE(MATCH('Lists and Mapping'!$C$10,'Lists and Mapping'!$B$3:$B$5,0),'2026 Forecast'!AA36,'2027 Forecast'!AA36,'2028 Forecast'!AA36)</f>
        <v>1.8119999999999999E-5</v>
      </c>
      <c r="AB36" s="570">
        <f>CHOOSE(MATCH('Lists and Mapping'!$C$10,'Lists and Mapping'!$B$3:$B$5,0),'2026 Forecast'!AB36,'2027 Forecast'!AB36,'2028 Forecast'!AB36)</f>
        <v>0</v>
      </c>
      <c r="AC36" s="570">
        <f>CHOOSE(MATCH('Lists and Mapping'!$C$10,'Lists and Mapping'!$B$3:$B$5,0),'2026 Forecast'!AC36,'2027 Forecast'!AC36,'2028 Forecast'!AC36)</f>
        <v>0</v>
      </c>
      <c r="AD36" s="570">
        <f>CHOOSE(MATCH('Lists and Mapping'!$C$10,'Lists and Mapping'!$B$3:$B$5,0),'2026 Forecast'!AD36,'2027 Forecast'!AD36,'2028 Forecast'!AD36)</f>
        <v>0</v>
      </c>
      <c r="AE36" s="570">
        <f>CHOOSE(MATCH('Lists and Mapping'!$C$10,'Lists and Mapping'!$B$3:$B$5,0),'2026 Forecast'!AE36,'2027 Forecast'!AE36,'2028 Forecast'!AE36)</f>
        <v>0</v>
      </c>
      <c r="AF36" s="543">
        <f>CHOOSE(MATCH('Lists and Mapping'!$C$10,'Lists and Mapping'!$B$3:$B$5,0),'2026 Forecast'!AF36,'2027 Forecast'!AF36,'2028 Forecast'!AF36)</f>
        <v>0</v>
      </c>
      <c r="AG36" s="545">
        <f>CHOOSE(MATCH('Lists and Mapping'!$C$10,'Lists and Mapping'!$B$3:$B$5,0),'2026 Forecast'!AG36,'2027 Forecast'!AG36,'2028 Forecast'!AG36)</f>
        <v>1.8119999999999999E-5</v>
      </c>
      <c r="AH36" s="546" t="e">
        <f>CHOOSE(MATCH('Lists and Mapping'!$C$10,'Lists and Mapping'!$B$3:$B$5,0),'2026 Forecast'!AH36,'2027 Forecast'!AH36,'2028 Forecast'!AH36)</f>
        <v>#DIV/0!</v>
      </c>
      <c r="AI36" s="546" t="e">
        <f>CHOOSE(MATCH('Lists and Mapping'!$C$10,'Lists and Mapping'!$B$3:$B$5,0),'2026 Forecast'!AI36,'2027 Forecast'!AI36,'2028 Forecast'!AI36)</f>
        <v>#DIV/0!</v>
      </c>
      <c r="AJ36" s="546" t="e">
        <f>CHOOSE(MATCH('Lists and Mapping'!$C$10,'Lists and Mapping'!$B$3:$B$5,0),'2026 Forecast'!AJ36,'2027 Forecast'!AJ36,'2028 Forecast'!AJ36)</f>
        <v>#DIV/0!</v>
      </c>
      <c r="AK36" s="547" t="e">
        <f>CHOOSE(MATCH('Lists and Mapping'!$C$10,'Lists and Mapping'!$B$3:$B$5,0),'2026 Forecast'!AK36,'2027 Forecast'!AK36,'2028 Forecast'!AK36)</f>
        <v>#DIV/0!</v>
      </c>
      <c r="AL36" s="546" t="e">
        <f>CHOOSE(MATCH('Lists and Mapping'!$C$10,'Lists and Mapping'!$B$3:$B$5,0),'2026 Forecast'!AL36,'2027 Forecast'!AL36,'2028 Forecast'!AL36)</f>
        <v>#DIV/0!</v>
      </c>
      <c r="AM36" s="546" t="e">
        <f>CHOOSE(MATCH('Lists and Mapping'!$C$10,'Lists and Mapping'!$B$3:$B$5,0),'2026 Forecast'!AM36,'2027 Forecast'!AM36,'2028 Forecast'!AM36)</f>
        <v>#DIV/0!</v>
      </c>
      <c r="AN36" s="547" t="e">
        <f>CHOOSE(MATCH('Lists and Mapping'!$C$10,'Lists and Mapping'!$B$3:$B$5,0),'2026 Forecast'!AN36,'2027 Forecast'!AN36,'2028 Forecast'!AN36)</f>
        <v>#DIV/0!</v>
      </c>
      <c r="AO36" s="446"/>
      <c r="AP36" s="446"/>
      <c r="AQ36" s="446"/>
      <c r="AR36" s="446"/>
      <c r="AS36" s="446"/>
      <c r="AT36" s="72"/>
      <c r="AU36" s="72"/>
      <c r="AV36" s="72"/>
      <c r="AW36" s="72"/>
      <c r="AX36" s="72"/>
      <c r="AY36" s="72"/>
      <c r="AZ36" s="72"/>
      <c r="BA36" s="72"/>
      <c r="BB36" s="72"/>
    </row>
    <row r="37" spans="2:54">
      <c r="B37" s="529" t="s">
        <v>21</v>
      </c>
      <c r="C37" s="452" t="s">
        <v>253</v>
      </c>
      <c r="D37" s="530" t="s">
        <v>264</v>
      </c>
      <c r="E37" s="531">
        <f>CHOOSE(MATCH('Lists and Mapping'!$C$10,'Lists and Mapping'!$B$3:$B$5,0),'2026 Forecast'!E37,'2027 Forecast'!E37,'2028 Forecast'!E37)</f>
        <v>10</v>
      </c>
      <c r="F37" s="573">
        <f>CHOOSE(MATCH('Lists and Mapping'!$C$10,'Lists and Mapping'!$B$3:$B$5,0),'2026 Forecast'!F37,'2027 Forecast'!F37,'2028 Forecast'!F37)</f>
        <v>4.92</v>
      </c>
      <c r="G37" s="533">
        <f>CHOOSE(MATCH('Lists and Mapping'!$C$10,'Lists and Mapping'!$B$3:$B$5,0),'2026 Forecast'!G37,'2027 Forecast'!G37,'2028 Forecast'!G37)</f>
        <v>0</v>
      </c>
      <c r="H37" s="533">
        <f>CHOOSE(MATCH('Lists and Mapping'!$C$10,'Lists and Mapping'!$B$3:$B$5,0),'2026 Forecast'!H37,'2027 Forecast'!H37,'2028 Forecast'!H37)</f>
        <v>0</v>
      </c>
      <c r="I37" s="533">
        <f>CHOOSE(MATCH('Lists and Mapping'!$C$10,'Lists and Mapping'!$B$3:$B$5,0),'2026 Forecast'!I37,'2027 Forecast'!I37,'2028 Forecast'!I37)</f>
        <v>0</v>
      </c>
      <c r="J37" s="566">
        <f>CHOOSE(MATCH('Lists and Mapping'!$C$10,'Lists and Mapping'!$B$3:$B$5,0),'2026 Forecast'!J37,'2027 Forecast'!J37,'2028 Forecast'!J37)</f>
        <v>0</v>
      </c>
      <c r="K37" s="574">
        <f>CHOOSE(MATCH('Lists and Mapping'!$C$10,'Lists and Mapping'!$B$3:$B$5,0),'2026 Forecast'!K37,'2027 Forecast'!K37,'2028 Forecast'!K37)</f>
        <v>625</v>
      </c>
      <c r="L37" s="574">
        <f>CHOOSE(MATCH('Lists and Mapping'!$C$10,'Lists and Mapping'!$B$3:$B$5,0),'2026 Forecast'!L37,'2027 Forecast'!L37,'2028 Forecast'!L37)</f>
        <v>0</v>
      </c>
      <c r="M37" s="567">
        <f>CHOOSE(MATCH('Lists and Mapping'!$C$10,'Lists and Mapping'!$B$3:$B$5,0),'2026 Forecast'!M37,'2027 Forecast'!M37,'2028 Forecast'!M37)</f>
        <v>0</v>
      </c>
      <c r="N37" s="567">
        <f>CHOOSE(MATCH('Lists and Mapping'!$C$10,'Lists and Mapping'!$B$3:$B$5,0),'2026 Forecast'!N37,'2027 Forecast'!N37,'2028 Forecast'!N37)</f>
        <v>0</v>
      </c>
      <c r="O37" s="567">
        <f>CHOOSE(MATCH('Lists and Mapping'!$C$10,'Lists and Mapping'!$B$3:$B$5,0),'2026 Forecast'!O37,'2027 Forecast'!O37,'2028 Forecast'!O37)</f>
        <v>0</v>
      </c>
      <c r="P37" s="538">
        <f>CHOOSE(MATCH('Lists and Mapping'!$C$10,'Lists and Mapping'!$B$3:$B$5,0),'2026 Forecast'!P37,'2027 Forecast'!P37,'2028 Forecast'!P37)</f>
        <v>5.9999999999999995E-4</v>
      </c>
      <c r="Q37" s="539">
        <f>CHOOSE(MATCH('Lists and Mapping'!$C$10,'Lists and Mapping'!$B$3:$B$5,0),'2026 Forecast'!Q37,'2027 Forecast'!Q37,'2028 Forecast'!Q37)</f>
        <v>0</v>
      </c>
      <c r="R37" s="539">
        <f>CHOOSE(MATCH('Lists and Mapping'!$C$10,'Lists and Mapping'!$B$3:$B$5,0),'2026 Forecast'!R37,'2027 Forecast'!R37,'2028 Forecast'!R37)</f>
        <v>0</v>
      </c>
      <c r="S37" s="539">
        <f>CHOOSE(MATCH('Lists and Mapping'!$C$10,'Lists and Mapping'!$B$3:$B$5,0),'2026 Forecast'!S37,'2027 Forecast'!S37,'2028 Forecast'!S37)</f>
        <v>0</v>
      </c>
      <c r="T37" s="539">
        <f>CHOOSE(MATCH('Lists and Mapping'!$C$10,'Lists and Mapping'!$B$3:$B$5,0),'2026 Forecast'!T37,'2027 Forecast'!T37,'2028 Forecast'!T37)</f>
        <v>0</v>
      </c>
      <c r="U37" s="539">
        <f>CHOOSE(MATCH('Lists and Mapping'!$C$10,'Lists and Mapping'!$B$3:$B$5,0),'2026 Forecast'!U37,'2027 Forecast'!U37,'2028 Forecast'!U37)</f>
        <v>0.41569080000000003</v>
      </c>
      <c r="V37" s="540">
        <f>CHOOSE(MATCH('Lists and Mapping'!$C$10,'Lists and Mapping'!$B$3:$B$5,0),'2026 Forecast'!V37,'2027 Forecast'!V37,'2028 Forecast'!V37)</f>
        <v>0.41569080000000003</v>
      </c>
      <c r="W37" s="568">
        <f>CHOOSE(MATCH('Lists and Mapping'!$C$10,'Lists and Mapping'!$B$3:$B$5,0),'2026 Forecast'!W37,'2027 Forecast'!W37,'2028 Forecast'!W37)</f>
        <v>0</v>
      </c>
      <c r="X37" s="568">
        <f>CHOOSE(MATCH('Lists and Mapping'!$C$10,'Lists and Mapping'!$B$3:$B$5,0),'2026 Forecast'!X37,'2027 Forecast'!X37,'2028 Forecast'!X37)</f>
        <v>0</v>
      </c>
      <c r="Y37" s="568">
        <f>CHOOSE(MATCH('Lists and Mapping'!$C$10,'Lists and Mapping'!$B$3:$B$5,0),'2026 Forecast'!Y37,'2027 Forecast'!Y37,'2028 Forecast'!Y37)</f>
        <v>0</v>
      </c>
      <c r="Z37" s="569">
        <f>CHOOSE(MATCH('Lists and Mapping'!$C$10,'Lists and Mapping'!$B$3:$B$5,0),'2026 Forecast'!Z37,'2027 Forecast'!Z37,'2028 Forecast'!Z37)</f>
        <v>0</v>
      </c>
      <c r="AA37" s="543">
        <f>CHOOSE(MATCH('Lists and Mapping'!$C$10,'Lists and Mapping'!$B$3:$B$5,0),'2026 Forecast'!AA37,'2027 Forecast'!AA37,'2028 Forecast'!AA37)</f>
        <v>0.41629080000000002</v>
      </c>
      <c r="AB37" s="570">
        <f>CHOOSE(MATCH('Lists and Mapping'!$C$10,'Lists and Mapping'!$B$3:$B$5,0),'2026 Forecast'!AB37,'2027 Forecast'!AB37,'2028 Forecast'!AB37)</f>
        <v>0.54217468615386599</v>
      </c>
      <c r="AC37" s="570">
        <f>CHOOSE(MATCH('Lists and Mapping'!$C$10,'Lists and Mapping'!$B$3:$B$5,0),'2026 Forecast'!AC37,'2027 Forecast'!AC37,'2028 Forecast'!AC37)</f>
        <v>0.2299791026480365</v>
      </c>
      <c r="AD37" s="570">
        <f>CHOOSE(MATCH('Lists and Mapping'!$C$10,'Lists and Mapping'!$B$3:$B$5,0),'2026 Forecast'!AD37,'2027 Forecast'!AD37,'2028 Forecast'!AD37)</f>
        <v>2.8191599999999997E-2</v>
      </c>
      <c r="AE37" s="570">
        <f>CHOOSE(MATCH('Lists and Mapping'!$C$10,'Lists and Mapping'!$B$3:$B$5,0),'2026 Forecast'!AE37,'2027 Forecast'!AE37,'2028 Forecast'!AE37)</f>
        <v>5.7455760000000002E-2</v>
      </c>
      <c r="AF37" s="543">
        <f>CHOOSE(MATCH('Lists and Mapping'!$C$10,'Lists and Mapping'!$B$3:$B$5,0),'2026 Forecast'!AF37,'2027 Forecast'!AF37,'2028 Forecast'!AF37)</f>
        <v>4.2262799999999993E-4</v>
      </c>
      <c r="AG37" s="545">
        <f>CHOOSE(MATCH('Lists and Mapping'!$C$10,'Lists and Mapping'!$B$3:$B$5,0),'2026 Forecast'!AG37,'2027 Forecast'!AG37,'2028 Forecast'!AG37)</f>
        <v>1.2745145768019026</v>
      </c>
      <c r="AH37" s="546">
        <f>CHOOSE(MATCH('Lists and Mapping'!$C$10,'Lists and Mapping'!$B$3:$B$5,0),'2026 Forecast'!AH37,'2027 Forecast'!AH37,'2028 Forecast'!AH37)</f>
        <v>8.4611951219512207</v>
      </c>
      <c r="AI37" s="546">
        <f>CHOOSE(MATCH('Lists and Mapping'!$C$10,'Lists and Mapping'!$B$3:$B$5,0),'2026 Forecast'!AI37,'2027 Forecast'!AI37,'2028 Forecast'!AI37)</f>
        <v>11.019810694184267</v>
      </c>
      <c r="AJ37" s="546">
        <f>CHOOSE(MATCH('Lists and Mapping'!$C$10,'Lists and Mapping'!$B$3:$B$5,0),'2026 Forecast'!AJ37,'2027 Forecast'!AJ37,'2028 Forecast'!AJ37)</f>
        <v>4.6743720050413922</v>
      </c>
      <c r="AK37" s="547">
        <f>CHOOSE(MATCH('Lists and Mapping'!$C$10,'Lists and Mapping'!$B$3:$B$5,0),'2026 Forecast'!AK37,'2027 Forecast'!AK37,'2028 Forecast'!AK37)</f>
        <v>25.904767821176883</v>
      </c>
      <c r="AL37" s="546">
        <f>CHOOSE(MATCH('Lists and Mapping'!$C$10,'Lists and Mapping'!$B$3:$B$5,0),'2026 Forecast'!AL37,'2027 Forecast'!AL37,'2028 Forecast'!AL37)</f>
        <v>1.1678000000000002</v>
      </c>
      <c r="AM37" s="546">
        <f>CHOOSE(MATCH('Lists and Mapping'!$C$10,'Lists and Mapping'!$B$3:$B$5,0),'2026 Forecast'!AM37,'2027 Forecast'!AM37,'2028 Forecast'!AM37)</f>
        <v>8.5899999999999987E-3</v>
      </c>
      <c r="AN37" s="547">
        <f>CHOOSE(MATCH('Lists and Mapping'!$C$10,'Lists and Mapping'!$B$3:$B$5,0),'2026 Forecast'!AN37,'2027 Forecast'!AN37,'2028 Forecast'!AN37)</f>
        <v>25.904767821176883</v>
      </c>
      <c r="AO37" s="446"/>
      <c r="AP37" s="446"/>
      <c r="AQ37" s="446"/>
      <c r="AR37" s="446"/>
      <c r="AS37" s="446"/>
      <c r="AT37" s="72"/>
      <c r="AU37" s="72"/>
      <c r="AV37" s="72"/>
      <c r="AW37" s="72"/>
      <c r="AX37" s="72"/>
      <c r="AY37" s="72"/>
      <c r="AZ37" s="72"/>
      <c r="BA37" s="72"/>
      <c r="BB37" s="72"/>
    </row>
    <row r="38" spans="2:54">
      <c r="B38" s="529" t="s">
        <v>21</v>
      </c>
      <c r="C38" s="452" t="s">
        <v>253</v>
      </c>
      <c r="D38" s="530" t="s">
        <v>265</v>
      </c>
      <c r="E38" s="531">
        <f>CHOOSE(MATCH('Lists and Mapping'!$C$10,'Lists and Mapping'!$B$3:$B$5,0),'2026 Forecast'!E38,'2027 Forecast'!E38,'2028 Forecast'!E38)</f>
        <v>1</v>
      </c>
      <c r="F38" s="573">
        <f>CHOOSE(MATCH('Lists and Mapping'!$C$10,'Lists and Mapping'!$B$3:$B$5,0),'2026 Forecast'!F38,'2027 Forecast'!F38,'2028 Forecast'!F38)</f>
        <v>6.42</v>
      </c>
      <c r="G38" s="533">
        <f>CHOOSE(MATCH('Lists and Mapping'!$C$10,'Lists and Mapping'!$B$3:$B$5,0),'2026 Forecast'!G38,'2027 Forecast'!G38,'2028 Forecast'!G38)</f>
        <v>0</v>
      </c>
      <c r="H38" s="533">
        <f>CHOOSE(MATCH('Lists and Mapping'!$C$10,'Lists and Mapping'!$B$3:$B$5,0),'2026 Forecast'!H38,'2027 Forecast'!H38,'2028 Forecast'!H38)</f>
        <v>0</v>
      </c>
      <c r="I38" s="533">
        <f>CHOOSE(MATCH('Lists and Mapping'!$C$10,'Lists and Mapping'!$B$3:$B$5,0),'2026 Forecast'!I38,'2027 Forecast'!I38,'2028 Forecast'!I38)</f>
        <v>0</v>
      </c>
      <c r="J38" s="566">
        <f>CHOOSE(MATCH('Lists and Mapping'!$C$10,'Lists and Mapping'!$B$3:$B$5,0),'2026 Forecast'!J38,'2027 Forecast'!J38,'2028 Forecast'!J38)</f>
        <v>0</v>
      </c>
      <c r="K38" s="574">
        <f>CHOOSE(MATCH('Lists and Mapping'!$C$10,'Lists and Mapping'!$B$3:$B$5,0),'2026 Forecast'!K38,'2027 Forecast'!K38,'2028 Forecast'!K38)</f>
        <v>816</v>
      </c>
      <c r="L38" s="574">
        <f>CHOOSE(MATCH('Lists and Mapping'!$C$10,'Lists and Mapping'!$B$3:$B$5,0),'2026 Forecast'!L38,'2027 Forecast'!L38,'2028 Forecast'!L38)</f>
        <v>0</v>
      </c>
      <c r="M38" s="567">
        <f>CHOOSE(MATCH('Lists and Mapping'!$C$10,'Lists and Mapping'!$B$3:$B$5,0),'2026 Forecast'!M38,'2027 Forecast'!M38,'2028 Forecast'!M38)</f>
        <v>0</v>
      </c>
      <c r="N38" s="567">
        <f>CHOOSE(MATCH('Lists and Mapping'!$C$10,'Lists and Mapping'!$B$3:$B$5,0),'2026 Forecast'!N38,'2027 Forecast'!N38,'2028 Forecast'!N38)</f>
        <v>0</v>
      </c>
      <c r="O38" s="567">
        <f>CHOOSE(MATCH('Lists and Mapping'!$C$10,'Lists and Mapping'!$B$3:$B$5,0),'2026 Forecast'!O38,'2027 Forecast'!O38,'2028 Forecast'!O38)</f>
        <v>0</v>
      </c>
      <c r="P38" s="538">
        <f>CHOOSE(MATCH('Lists and Mapping'!$C$10,'Lists and Mapping'!$B$3:$B$5,0),'2026 Forecast'!P38,'2027 Forecast'!P38,'2028 Forecast'!P38)</f>
        <v>6.0000000000000002E-5</v>
      </c>
      <c r="Q38" s="539">
        <f>CHOOSE(MATCH('Lists and Mapping'!$C$10,'Lists and Mapping'!$B$3:$B$5,0),'2026 Forecast'!Q38,'2027 Forecast'!Q38,'2028 Forecast'!Q38)</f>
        <v>0</v>
      </c>
      <c r="R38" s="539">
        <f>CHOOSE(MATCH('Lists and Mapping'!$C$10,'Lists and Mapping'!$B$3:$B$5,0),'2026 Forecast'!R38,'2027 Forecast'!R38,'2028 Forecast'!R38)</f>
        <v>0</v>
      </c>
      <c r="S38" s="539">
        <f>CHOOSE(MATCH('Lists and Mapping'!$C$10,'Lists and Mapping'!$B$3:$B$5,0),'2026 Forecast'!S38,'2027 Forecast'!S38,'2028 Forecast'!S38)</f>
        <v>0</v>
      </c>
      <c r="T38" s="539">
        <f>CHOOSE(MATCH('Lists and Mapping'!$C$10,'Lists and Mapping'!$B$3:$B$5,0),'2026 Forecast'!T38,'2027 Forecast'!T38,'2028 Forecast'!T38)</f>
        <v>0</v>
      </c>
      <c r="U38" s="539">
        <f>CHOOSE(MATCH('Lists and Mapping'!$C$10,'Lists and Mapping'!$B$3:$B$5,0),'2026 Forecast'!U38,'2027 Forecast'!U38,'2028 Forecast'!U38)</f>
        <v>0.5427259084799998</v>
      </c>
      <c r="V38" s="540">
        <f>CHOOSE(MATCH('Lists and Mapping'!$C$10,'Lists and Mapping'!$B$3:$B$5,0),'2026 Forecast'!V38,'2027 Forecast'!V38,'2028 Forecast'!V38)</f>
        <v>0.5427259084799998</v>
      </c>
      <c r="W38" s="568">
        <f>CHOOSE(MATCH('Lists and Mapping'!$C$10,'Lists and Mapping'!$B$3:$B$5,0),'2026 Forecast'!W38,'2027 Forecast'!W38,'2028 Forecast'!W38)</f>
        <v>0</v>
      </c>
      <c r="X38" s="568">
        <f>CHOOSE(MATCH('Lists and Mapping'!$C$10,'Lists and Mapping'!$B$3:$B$5,0),'2026 Forecast'!X38,'2027 Forecast'!X38,'2028 Forecast'!X38)</f>
        <v>0</v>
      </c>
      <c r="Y38" s="568">
        <f>CHOOSE(MATCH('Lists and Mapping'!$C$10,'Lists and Mapping'!$B$3:$B$5,0),'2026 Forecast'!Y38,'2027 Forecast'!Y38,'2028 Forecast'!Y38)</f>
        <v>0</v>
      </c>
      <c r="Z38" s="569">
        <f>CHOOSE(MATCH('Lists and Mapping'!$C$10,'Lists and Mapping'!$B$3:$B$5,0),'2026 Forecast'!Z38,'2027 Forecast'!Z38,'2028 Forecast'!Z38)</f>
        <v>0</v>
      </c>
      <c r="AA38" s="543">
        <f>CHOOSE(MATCH('Lists and Mapping'!$C$10,'Lists and Mapping'!$B$3:$B$5,0),'2026 Forecast'!AA38,'2027 Forecast'!AA38,'2028 Forecast'!AA38)</f>
        <v>0.54278590847999975</v>
      </c>
      <c r="AB38" s="570">
        <f>CHOOSE(MATCH('Lists and Mapping'!$C$10,'Lists and Mapping'!$B$3:$B$5,0),'2026 Forecast'!AB38,'2027 Forecast'!AB38,'2028 Forecast'!AB38)</f>
        <v>0.70747184656663009</v>
      </c>
      <c r="AC38" s="570">
        <f>CHOOSE(MATCH('Lists and Mapping'!$C$10,'Lists and Mapping'!$B$3:$B$5,0),'2026 Forecast'!AC38,'2027 Forecast'!AC38,'2028 Forecast'!AC38)</f>
        <v>0.30009468272365741</v>
      </c>
      <c r="AD38" s="570">
        <f>CHOOSE(MATCH('Lists and Mapping'!$C$10,'Lists and Mapping'!$B$3:$B$5,0),'2026 Forecast'!AD38,'2027 Forecast'!AD38,'2028 Forecast'!AD38)</f>
        <v>3.6786599999999996E-2</v>
      </c>
      <c r="AE38" s="570">
        <f>CHOOSE(MATCH('Lists and Mapping'!$C$10,'Lists and Mapping'!$B$3:$B$5,0),'2026 Forecast'!AE38,'2027 Forecast'!AE38,'2028 Forecast'!AE38)</f>
        <v>7.4972759999999999E-2</v>
      </c>
      <c r="AF38" s="543">
        <f>CHOOSE(MATCH('Lists and Mapping'!$C$10,'Lists and Mapping'!$B$3:$B$5,0),'2026 Forecast'!AF38,'2027 Forecast'!AF38,'2028 Forecast'!AF38)</f>
        <v>5.5147799999999989E-4</v>
      </c>
      <c r="AG38" s="545">
        <f>CHOOSE(MATCH('Lists and Mapping'!$C$10,'Lists and Mapping'!$B$3:$B$5,0),'2026 Forecast'!AG38,'2027 Forecast'!AG38,'2028 Forecast'!AG38)</f>
        <v>1.6626632757702873</v>
      </c>
      <c r="AH38" s="546">
        <f>CHOOSE(MATCH('Lists and Mapping'!$C$10,'Lists and Mapping'!$B$3:$B$5,0),'2026 Forecast'!AH38,'2027 Forecast'!AH38,'2028 Forecast'!AH38)</f>
        <v>8.4546091663551355</v>
      </c>
      <c r="AI38" s="546">
        <f>CHOOSE(MATCH('Lists and Mapping'!$C$10,'Lists and Mapping'!$B$3:$B$5,0),'2026 Forecast'!AI38,'2027 Forecast'!AI38,'2028 Forecast'!AI38)</f>
        <v>11.019810694184269</v>
      </c>
      <c r="AJ38" s="546">
        <f>CHOOSE(MATCH('Lists and Mapping'!$C$10,'Lists and Mapping'!$B$3:$B$5,0),'2026 Forecast'!AJ38,'2027 Forecast'!AJ38,'2028 Forecast'!AJ38)</f>
        <v>4.6743720050413922</v>
      </c>
      <c r="AK38" s="547">
        <f>CHOOSE(MATCH('Lists and Mapping'!$C$10,'Lists and Mapping'!$B$3:$B$5,0),'2026 Forecast'!AK38,'2027 Forecast'!AK38,'2028 Forecast'!AK38)</f>
        <v>25.898181865580799</v>
      </c>
      <c r="AL38" s="546">
        <f>CHOOSE(MATCH('Lists and Mapping'!$C$10,'Lists and Mapping'!$B$3:$B$5,0),'2026 Forecast'!AL38,'2027 Forecast'!AL38,'2028 Forecast'!AL38)</f>
        <v>1.1678000000000002</v>
      </c>
      <c r="AM38" s="546">
        <f>CHOOSE(MATCH('Lists and Mapping'!$C$10,'Lists and Mapping'!$B$3:$B$5,0),'2026 Forecast'!AM38,'2027 Forecast'!AM38,'2028 Forecast'!AM38)</f>
        <v>8.5899999999999987E-3</v>
      </c>
      <c r="AN38" s="547">
        <f>CHOOSE(MATCH('Lists and Mapping'!$C$10,'Lists and Mapping'!$B$3:$B$5,0),'2026 Forecast'!AN38,'2027 Forecast'!AN38,'2028 Forecast'!AN38)</f>
        <v>25.898181865580799</v>
      </c>
      <c r="AO38" s="446"/>
      <c r="AP38" s="446"/>
      <c r="AQ38" s="446"/>
      <c r="AR38" s="446"/>
      <c r="AS38" s="446"/>
      <c r="AT38" s="72"/>
      <c r="AU38" s="72"/>
      <c r="AV38" s="72"/>
      <c r="AW38" s="72"/>
      <c r="AX38" s="72"/>
      <c r="AY38" s="72"/>
      <c r="AZ38" s="72"/>
      <c r="BA38" s="72"/>
      <c r="BB38" s="72"/>
    </row>
    <row r="39" spans="2:54">
      <c r="B39" s="529" t="s">
        <v>21</v>
      </c>
      <c r="C39" s="452" t="s">
        <v>253</v>
      </c>
      <c r="D39" s="530" t="s">
        <v>266</v>
      </c>
      <c r="E39" s="531">
        <f>CHOOSE(MATCH('Lists and Mapping'!$C$10,'Lists and Mapping'!$B$3:$B$5,0),'2026 Forecast'!E39,'2027 Forecast'!E39,'2028 Forecast'!E39)</f>
        <v>37</v>
      </c>
      <c r="F39" s="573">
        <f>CHOOSE(MATCH('Lists and Mapping'!$C$10,'Lists and Mapping'!$B$3:$B$5,0),'2026 Forecast'!F39,'2027 Forecast'!F39,'2028 Forecast'!F39)</f>
        <v>5.1100000000000003</v>
      </c>
      <c r="G39" s="533">
        <f>CHOOSE(MATCH('Lists and Mapping'!$C$10,'Lists and Mapping'!$B$3:$B$5,0),'2026 Forecast'!G39,'2027 Forecast'!G39,'2028 Forecast'!G39)</f>
        <v>0</v>
      </c>
      <c r="H39" s="533">
        <f>CHOOSE(MATCH('Lists and Mapping'!$C$10,'Lists and Mapping'!$B$3:$B$5,0),'2026 Forecast'!H39,'2027 Forecast'!H39,'2028 Forecast'!H39)</f>
        <v>0</v>
      </c>
      <c r="I39" s="533">
        <f>CHOOSE(MATCH('Lists and Mapping'!$C$10,'Lists and Mapping'!$B$3:$B$5,0),'2026 Forecast'!I39,'2027 Forecast'!I39,'2028 Forecast'!I39)</f>
        <v>0</v>
      </c>
      <c r="J39" s="566">
        <f>CHOOSE(MATCH('Lists and Mapping'!$C$10,'Lists and Mapping'!$B$3:$B$5,0),'2026 Forecast'!J39,'2027 Forecast'!J39,'2028 Forecast'!J39)</f>
        <v>0</v>
      </c>
      <c r="K39" s="574">
        <f>CHOOSE(MATCH('Lists and Mapping'!$C$10,'Lists and Mapping'!$B$3:$B$5,0),'2026 Forecast'!K39,'2027 Forecast'!K39,'2028 Forecast'!K39)</f>
        <v>1024</v>
      </c>
      <c r="L39" s="574">
        <f>CHOOSE(MATCH('Lists and Mapping'!$C$10,'Lists and Mapping'!$B$3:$B$5,0),'2026 Forecast'!L39,'2027 Forecast'!L39,'2028 Forecast'!L39)</f>
        <v>0</v>
      </c>
      <c r="M39" s="567">
        <f>CHOOSE(MATCH('Lists and Mapping'!$C$10,'Lists and Mapping'!$B$3:$B$5,0),'2026 Forecast'!M39,'2027 Forecast'!M39,'2028 Forecast'!M39)</f>
        <v>0</v>
      </c>
      <c r="N39" s="567">
        <f>CHOOSE(MATCH('Lists and Mapping'!$C$10,'Lists and Mapping'!$B$3:$B$5,0),'2026 Forecast'!N39,'2027 Forecast'!N39,'2028 Forecast'!N39)</f>
        <v>0</v>
      </c>
      <c r="O39" s="567">
        <f>CHOOSE(MATCH('Lists and Mapping'!$C$10,'Lists and Mapping'!$B$3:$B$5,0),'2026 Forecast'!O39,'2027 Forecast'!O39,'2028 Forecast'!O39)</f>
        <v>0</v>
      </c>
      <c r="P39" s="538">
        <f>CHOOSE(MATCH('Lists and Mapping'!$C$10,'Lists and Mapping'!$B$3:$B$5,0),'2026 Forecast'!P39,'2027 Forecast'!P39,'2028 Forecast'!P39)</f>
        <v>2.2200000000000002E-3</v>
      </c>
      <c r="Q39" s="539">
        <f>CHOOSE(MATCH('Lists and Mapping'!$C$10,'Lists and Mapping'!$B$3:$B$5,0),'2026 Forecast'!Q39,'2027 Forecast'!Q39,'2028 Forecast'!Q39)</f>
        <v>0</v>
      </c>
      <c r="R39" s="539">
        <f>CHOOSE(MATCH('Lists and Mapping'!$C$10,'Lists and Mapping'!$B$3:$B$5,0),'2026 Forecast'!R39,'2027 Forecast'!R39,'2028 Forecast'!R39)</f>
        <v>0</v>
      </c>
      <c r="S39" s="539">
        <f>CHOOSE(MATCH('Lists and Mapping'!$C$10,'Lists and Mapping'!$B$3:$B$5,0),'2026 Forecast'!S39,'2027 Forecast'!S39,'2028 Forecast'!S39)</f>
        <v>0</v>
      </c>
      <c r="T39" s="539">
        <f>CHOOSE(MATCH('Lists and Mapping'!$C$10,'Lists and Mapping'!$B$3:$B$5,0),'2026 Forecast'!T39,'2027 Forecast'!T39,'2028 Forecast'!T39)</f>
        <v>0</v>
      </c>
      <c r="U39" s="539">
        <f>CHOOSE(MATCH('Lists and Mapping'!$C$10,'Lists and Mapping'!$B$3:$B$5,0),'2026 Forecast'!U39,'2027 Forecast'!U39,'2028 Forecast'!U39)</f>
        <v>0.43187739419999999</v>
      </c>
      <c r="V39" s="540">
        <f>CHOOSE(MATCH('Lists and Mapping'!$C$10,'Lists and Mapping'!$B$3:$B$5,0),'2026 Forecast'!V39,'2027 Forecast'!V39,'2028 Forecast'!V39)</f>
        <v>0.43187739419999999</v>
      </c>
      <c r="W39" s="568">
        <f>CHOOSE(MATCH('Lists and Mapping'!$C$10,'Lists and Mapping'!$B$3:$B$5,0),'2026 Forecast'!W39,'2027 Forecast'!W39,'2028 Forecast'!W39)</f>
        <v>0</v>
      </c>
      <c r="X39" s="568">
        <f>CHOOSE(MATCH('Lists and Mapping'!$C$10,'Lists and Mapping'!$B$3:$B$5,0),'2026 Forecast'!X39,'2027 Forecast'!X39,'2028 Forecast'!X39)</f>
        <v>0</v>
      </c>
      <c r="Y39" s="568">
        <f>CHOOSE(MATCH('Lists and Mapping'!$C$10,'Lists and Mapping'!$B$3:$B$5,0),'2026 Forecast'!Y39,'2027 Forecast'!Y39,'2028 Forecast'!Y39)</f>
        <v>0</v>
      </c>
      <c r="Z39" s="569">
        <f>CHOOSE(MATCH('Lists and Mapping'!$C$10,'Lists and Mapping'!$B$3:$B$5,0),'2026 Forecast'!Z39,'2027 Forecast'!Z39,'2028 Forecast'!Z39)</f>
        <v>0</v>
      </c>
      <c r="AA39" s="543">
        <f>CHOOSE(MATCH('Lists and Mapping'!$C$10,'Lists and Mapping'!$B$3:$B$5,0),'2026 Forecast'!AA39,'2027 Forecast'!AA39,'2028 Forecast'!AA39)</f>
        <v>0.43409739419999999</v>
      </c>
      <c r="AB39" s="570">
        <f>CHOOSE(MATCH('Lists and Mapping'!$C$10,'Lists and Mapping'!$B$3:$B$5,0),'2026 Forecast'!AB39,'2027 Forecast'!AB39,'2028 Forecast'!AB39)</f>
        <v>0.56311232647281617</v>
      </c>
      <c r="AC39" s="570">
        <f>CHOOSE(MATCH('Lists and Mapping'!$C$10,'Lists and Mapping'!$B$3:$B$5,0),'2026 Forecast'!AC39,'2027 Forecast'!AC39,'2028 Forecast'!AC39)</f>
        <v>0.23886040945761516</v>
      </c>
      <c r="AD39" s="570">
        <f>CHOOSE(MATCH('Lists and Mapping'!$C$10,'Lists and Mapping'!$B$3:$B$5,0),'2026 Forecast'!AD39,'2027 Forecast'!AD39,'2028 Forecast'!AD39)</f>
        <v>2.9280300000000002E-2</v>
      </c>
      <c r="AE39" s="570">
        <f>CHOOSE(MATCH('Lists and Mapping'!$C$10,'Lists and Mapping'!$B$3:$B$5,0),'2026 Forecast'!AE39,'2027 Forecast'!AE39,'2028 Forecast'!AE39)</f>
        <v>5.9674580000000005E-2</v>
      </c>
      <c r="AF39" s="543">
        <f>CHOOSE(MATCH('Lists and Mapping'!$C$10,'Lists and Mapping'!$B$3:$B$5,0),'2026 Forecast'!AF39,'2027 Forecast'!AF39,'2028 Forecast'!AF39)</f>
        <v>4.3894899999999995E-4</v>
      </c>
      <c r="AG39" s="545">
        <f>CHOOSE(MATCH('Lists and Mapping'!$C$10,'Lists and Mapping'!$B$3:$B$5,0),'2026 Forecast'!AG39,'2027 Forecast'!AG39,'2028 Forecast'!AG39)</f>
        <v>1.3254639591304314</v>
      </c>
      <c r="AH39" s="546">
        <f>CHOOSE(MATCH('Lists and Mapping'!$C$10,'Lists and Mapping'!$B$3:$B$5,0),'2026 Forecast'!AH39,'2027 Forecast'!AH39,'2028 Forecast'!AH39)</f>
        <v>8.4950566379647743</v>
      </c>
      <c r="AI39" s="546">
        <f>CHOOSE(MATCH('Lists and Mapping'!$C$10,'Lists and Mapping'!$B$3:$B$5,0),'2026 Forecast'!AI39,'2027 Forecast'!AI39,'2028 Forecast'!AI39)</f>
        <v>11.019810694184269</v>
      </c>
      <c r="AJ39" s="546">
        <f>CHOOSE(MATCH('Lists and Mapping'!$C$10,'Lists and Mapping'!$B$3:$B$5,0),'2026 Forecast'!AJ39,'2027 Forecast'!AJ39,'2028 Forecast'!AJ39)</f>
        <v>4.6743720050413922</v>
      </c>
      <c r="AK39" s="547">
        <f>CHOOSE(MATCH('Lists and Mapping'!$C$10,'Lists and Mapping'!$B$3:$B$5,0),'2026 Forecast'!AK39,'2027 Forecast'!AK39,'2028 Forecast'!AK39)</f>
        <v>25.938629337190438</v>
      </c>
      <c r="AL39" s="546">
        <f>CHOOSE(MATCH('Lists and Mapping'!$C$10,'Lists and Mapping'!$B$3:$B$5,0),'2026 Forecast'!AL39,'2027 Forecast'!AL39,'2028 Forecast'!AL39)</f>
        <v>1.1678000000000002</v>
      </c>
      <c r="AM39" s="546">
        <f>CHOOSE(MATCH('Lists and Mapping'!$C$10,'Lists and Mapping'!$B$3:$B$5,0),'2026 Forecast'!AM39,'2027 Forecast'!AM39,'2028 Forecast'!AM39)</f>
        <v>8.5899999999999987E-3</v>
      </c>
      <c r="AN39" s="547">
        <f>CHOOSE(MATCH('Lists and Mapping'!$C$10,'Lists and Mapping'!$B$3:$B$5,0),'2026 Forecast'!AN39,'2027 Forecast'!AN39,'2028 Forecast'!AN39)</f>
        <v>25.938629337190438</v>
      </c>
      <c r="AO39" s="446"/>
      <c r="AP39" s="446"/>
      <c r="AQ39" s="446"/>
      <c r="AR39" s="446"/>
      <c r="AS39" s="446"/>
      <c r="AT39" s="72"/>
      <c r="AU39" s="72"/>
      <c r="AV39" s="72"/>
      <c r="AW39" s="72"/>
      <c r="AX39" s="72"/>
      <c r="AY39" s="72"/>
      <c r="AZ39" s="72"/>
      <c r="BA39" s="72"/>
      <c r="BB39" s="72"/>
    </row>
    <row r="40" spans="2:54">
      <c r="B40" s="529" t="s">
        <v>22</v>
      </c>
      <c r="C40" s="452" t="s">
        <v>253</v>
      </c>
      <c r="D40" s="530" t="s">
        <v>267</v>
      </c>
      <c r="E40" s="531">
        <f>CHOOSE(MATCH('Lists and Mapping'!$C$10,'Lists and Mapping'!$B$3:$B$5,0),'2026 Forecast'!E40,'2027 Forecast'!E40,'2028 Forecast'!E40)</f>
        <v>693</v>
      </c>
      <c r="F40" s="573">
        <f>CHOOSE(MATCH('Lists and Mapping'!$C$10,'Lists and Mapping'!$B$3:$B$5,0),'2026 Forecast'!F40,'2027 Forecast'!F40,'2028 Forecast'!F40)</f>
        <v>0.15</v>
      </c>
      <c r="G40" s="533">
        <f>CHOOSE(MATCH('Lists and Mapping'!$C$10,'Lists and Mapping'!$B$3:$B$5,0),'2026 Forecast'!G40,'2027 Forecast'!G40,'2028 Forecast'!G40)</f>
        <v>0</v>
      </c>
      <c r="H40" s="533">
        <f>CHOOSE(MATCH('Lists and Mapping'!$C$10,'Lists and Mapping'!$B$3:$B$5,0),'2026 Forecast'!H40,'2027 Forecast'!H40,'2028 Forecast'!H40)</f>
        <v>0</v>
      </c>
      <c r="I40" s="533">
        <f>CHOOSE(MATCH('Lists and Mapping'!$C$10,'Lists and Mapping'!$B$3:$B$5,0),'2026 Forecast'!I40,'2027 Forecast'!I40,'2028 Forecast'!I40)</f>
        <v>0</v>
      </c>
      <c r="J40" s="566">
        <f>CHOOSE(MATCH('Lists and Mapping'!$C$10,'Lists and Mapping'!$B$3:$B$5,0),'2026 Forecast'!J40,'2027 Forecast'!J40,'2028 Forecast'!J40)</f>
        <v>0</v>
      </c>
      <c r="K40" s="574">
        <f>CHOOSE(MATCH('Lists and Mapping'!$C$10,'Lists and Mapping'!$B$3:$B$5,0),'2026 Forecast'!K40,'2027 Forecast'!K40,'2028 Forecast'!K40)</f>
        <v>923</v>
      </c>
      <c r="L40" s="574">
        <f>CHOOSE(MATCH('Lists and Mapping'!$C$10,'Lists and Mapping'!$B$3:$B$5,0),'2026 Forecast'!L40,'2027 Forecast'!L40,'2028 Forecast'!L40)</f>
        <v>0</v>
      </c>
      <c r="M40" s="567">
        <f>CHOOSE(MATCH('Lists and Mapping'!$C$10,'Lists and Mapping'!$B$3:$B$5,0),'2026 Forecast'!M40,'2027 Forecast'!M40,'2028 Forecast'!M40)</f>
        <v>0</v>
      </c>
      <c r="N40" s="567">
        <f>CHOOSE(MATCH('Lists and Mapping'!$C$10,'Lists and Mapping'!$B$3:$B$5,0),'2026 Forecast'!N40,'2027 Forecast'!N40,'2028 Forecast'!N40)</f>
        <v>0</v>
      </c>
      <c r="O40" s="567">
        <f>CHOOSE(MATCH('Lists and Mapping'!$C$10,'Lists and Mapping'!$B$3:$B$5,0),'2026 Forecast'!O40,'2027 Forecast'!O40,'2028 Forecast'!O40)</f>
        <v>0</v>
      </c>
      <c r="P40" s="538">
        <f>CHOOSE(MATCH('Lists and Mapping'!$C$10,'Lists and Mapping'!$B$3:$B$5,0),'2026 Forecast'!P40,'2027 Forecast'!P40,'2028 Forecast'!P40)</f>
        <v>1.2309599999999999E-2</v>
      </c>
      <c r="Q40" s="539">
        <f>CHOOSE(MATCH('Lists and Mapping'!$C$10,'Lists and Mapping'!$B$3:$B$5,0),'2026 Forecast'!Q40,'2027 Forecast'!Q40,'2028 Forecast'!Q40)</f>
        <v>0</v>
      </c>
      <c r="R40" s="539">
        <f>CHOOSE(MATCH('Lists and Mapping'!$C$10,'Lists and Mapping'!$B$3:$B$5,0),'2026 Forecast'!R40,'2027 Forecast'!R40,'2028 Forecast'!R40)</f>
        <v>0</v>
      </c>
      <c r="S40" s="539">
        <f>CHOOSE(MATCH('Lists and Mapping'!$C$10,'Lists and Mapping'!$B$3:$B$5,0),'2026 Forecast'!S40,'2027 Forecast'!S40,'2028 Forecast'!S40)</f>
        <v>0</v>
      </c>
      <c r="T40" s="539">
        <f>CHOOSE(MATCH('Lists and Mapping'!$C$10,'Lists and Mapping'!$B$3:$B$5,0),'2026 Forecast'!T40,'2027 Forecast'!T40,'2028 Forecast'!T40)</f>
        <v>0</v>
      </c>
      <c r="U40" s="539">
        <f>CHOOSE(MATCH('Lists and Mapping'!$C$10,'Lists and Mapping'!$B$3:$B$5,0),'2026 Forecast'!U40,'2027 Forecast'!U40,'2028 Forecast'!U40)</f>
        <v>1.2982733400000002E-2</v>
      </c>
      <c r="V40" s="540">
        <f>CHOOSE(MATCH('Lists and Mapping'!$C$10,'Lists and Mapping'!$B$3:$B$5,0),'2026 Forecast'!V40,'2027 Forecast'!V40,'2028 Forecast'!V40)</f>
        <v>1.2982733400000002E-2</v>
      </c>
      <c r="W40" s="568">
        <f>CHOOSE(MATCH('Lists and Mapping'!$C$10,'Lists and Mapping'!$B$3:$B$5,0),'2026 Forecast'!W40,'2027 Forecast'!W40,'2028 Forecast'!W40)</f>
        <v>0</v>
      </c>
      <c r="X40" s="568">
        <f>CHOOSE(MATCH('Lists and Mapping'!$C$10,'Lists and Mapping'!$B$3:$B$5,0),'2026 Forecast'!X40,'2027 Forecast'!X40,'2028 Forecast'!X40)</f>
        <v>0</v>
      </c>
      <c r="Y40" s="568">
        <f>CHOOSE(MATCH('Lists and Mapping'!$C$10,'Lists and Mapping'!$B$3:$B$5,0),'2026 Forecast'!Y40,'2027 Forecast'!Y40,'2028 Forecast'!Y40)</f>
        <v>0</v>
      </c>
      <c r="Z40" s="569">
        <f>CHOOSE(MATCH('Lists and Mapping'!$C$10,'Lists and Mapping'!$B$3:$B$5,0),'2026 Forecast'!Z40,'2027 Forecast'!Z40,'2028 Forecast'!Z40)</f>
        <v>0</v>
      </c>
      <c r="AA40" s="543">
        <f>CHOOSE(MATCH('Lists and Mapping'!$C$10,'Lists and Mapping'!$B$3:$B$5,0),'2026 Forecast'!AA40,'2027 Forecast'!AA40,'2028 Forecast'!AA40)</f>
        <v>2.5292333399999999E-2</v>
      </c>
      <c r="AB40" s="570">
        <f>CHOOSE(MATCH('Lists and Mapping'!$C$10,'Lists and Mapping'!$B$3:$B$5,0),'2026 Forecast'!AB40,'2027 Forecast'!AB40,'2028 Forecast'!AB40)</f>
        <v>1.6529716041276402E-2</v>
      </c>
      <c r="AC40" s="570">
        <f>CHOOSE(MATCH('Lists and Mapping'!$C$10,'Lists and Mapping'!$B$3:$B$5,0),'2026 Forecast'!AC40,'2027 Forecast'!AC40,'2028 Forecast'!AC40)</f>
        <v>7.0115580075620883E-3</v>
      </c>
      <c r="AD40" s="570">
        <f>CHOOSE(MATCH('Lists and Mapping'!$C$10,'Lists and Mapping'!$B$3:$B$5,0),'2026 Forecast'!AD40,'2027 Forecast'!AD40,'2028 Forecast'!AD40)</f>
        <v>8.5949999999999991E-4</v>
      </c>
      <c r="AE40" s="570">
        <f>CHOOSE(MATCH('Lists and Mapping'!$C$10,'Lists and Mapping'!$B$3:$B$5,0),'2026 Forecast'!AE40,'2027 Forecast'!AE40,'2028 Forecast'!AE40)</f>
        <v>1.7517000000000001E-3</v>
      </c>
      <c r="AF40" s="543">
        <f>CHOOSE(MATCH('Lists and Mapping'!$C$10,'Lists and Mapping'!$B$3:$B$5,0),'2026 Forecast'!AF40,'2027 Forecast'!AF40,'2028 Forecast'!AF40)</f>
        <v>1.2884999999999998E-5</v>
      </c>
      <c r="AG40" s="545">
        <f>CHOOSE(MATCH('Lists and Mapping'!$C$10,'Lists and Mapping'!$B$3:$B$5,0),'2026 Forecast'!AG40,'2027 Forecast'!AG40,'2028 Forecast'!AG40)</f>
        <v>5.1457692448838493E-2</v>
      </c>
      <c r="AH40" s="546">
        <f>CHOOSE(MATCH('Lists and Mapping'!$C$10,'Lists and Mapping'!$B$3:$B$5,0),'2026 Forecast'!AH40,'2027 Forecast'!AH40,'2028 Forecast'!AH40)</f>
        <v>16.861555599999999</v>
      </c>
      <c r="AI40" s="546">
        <f>CHOOSE(MATCH('Lists and Mapping'!$C$10,'Lists and Mapping'!$B$3:$B$5,0),'2026 Forecast'!AI40,'2027 Forecast'!AI40,'2028 Forecast'!AI40)</f>
        <v>11.019810694184269</v>
      </c>
      <c r="AJ40" s="546">
        <f>CHOOSE(MATCH('Lists and Mapping'!$C$10,'Lists and Mapping'!$B$3:$B$5,0),'2026 Forecast'!AJ40,'2027 Forecast'!AJ40,'2028 Forecast'!AJ40)</f>
        <v>4.6743720050413922</v>
      </c>
      <c r="AK40" s="547">
        <f>CHOOSE(MATCH('Lists and Mapping'!$C$10,'Lists and Mapping'!$B$3:$B$5,0),'2026 Forecast'!AK40,'2027 Forecast'!AK40,'2028 Forecast'!AK40)</f>
        <v>34.305128299225665</v>
      </c>
      <c r="AL40" s="546">
        <f>CHOOSE(MATCH('Lists and Mapping'!$C$10,'Lists and Mapping'!$B$3:$B$5,0),'2026 Forecast'!AL40,'2027 Forecast'!AL40,'2028 Forecast'!AL40)</f>
        <v>1.1678000000000002</v>
      </c>
      <c r="AM40" s="546">
        <f>CHOOSE(MATCH('Lists and Mapping'!$C$10,'Lists and Mapping'!$B$3:$B$5,0),'2026 Forecast'!AM40,'2027 Forecast'!AM40,'2028 Forecast'!AM40)</f>
        <v>8.5899999999999987E-3</v>
      </c>
      <c r="AN40" s="547">
        <f>CHOOSE(MATCH('Lists and Mapping'!$C$10,'Lists and Mapping'!$B$3:$B$5,0),'2026 Forecast'!AN40,'2027 Forecast'!AN40,'2028 Forecast'!AN40)</f>
        <v>34.305128299225665</v>
      </c>
      <c r="AO40" s="446"/>
      <c r="AP40" s="446"/>
      <c r="AQ40" s="446"/>
      <c r="AR40" s="446"/>
      <c r="AS40" s="446"/>
      <c r="AT40" s="72"/>
      <c r="AU40" s="72"/>
      <c r="AV40" s="72"/>
      <c r="AW40" s="72"/>
      <c r="AX40" s="72"/>
      <c r="AY40" s="72"/>
      <c r="AZ40" s="72"/>
      <c r="BA40" s="72"/>
      <c r="BB40" s="72"/>
    </row>
    <row r="41" spans="2:54">
      <c r="B41" s="529" t="s">
        <v>10</v>
      </c>
      <c r="C41" s="452" t="s">
        <v>253</v>
      </c>
      <c r="D41" s="530" t="s">
        <v>268</v>
      </c>
      <c r="E41" s="531">
        <f>CHOOSE(MATCH('Lists and Mapping'!$C$10,'Lists and Mapping'!$B$3:$B$5,0),'2026 Forecast'!E41,'2027 Forecast'!E41,'2028 Forecast'!E41)</f>
        <v>113375</v>
      </c>
      <c r="F41" s="565">
        <f>CHOOSE(MATCH('Lists and Mapping'!$C$10,'Lists and Mapping'!$B$3:$B$5,0),'2026 Forecast'!F41,'2027 Forecast'!F41,'2028 Forecast'!F41)</f>
        <v>2235.6999999999998</v>
      </c>
      <c r="G41" s="533">
        <f>CHOOSE(MATCH('Lists and Mapping'!$C$10,'Lists and Mapping'!$B$3:$B$5,0),'2026 Forecast'!G41,'2027 Forecast'!G41,'2028 Forecast'!G41)</f>
        <v>0</v>
      </c>
      <c r="H41" s="533">
        <f>CHOOSE(MATCH('Lists and Mapping'!$C$10,'Lists and Mapping'!$B$3:$B$5,0),'2026 Forecast'!H41,'2027 Forecast'!H41,'2028 Forecast'!H41)</f>
        <v>0</v>
      </c>
      <c r="I41" s="533">
        <f>CHOOSE(MATCH('Lists and Mapping'!$C$10,'Lists and Mapping'!$B$3:$B$5,0),'2026 Forecast'!I41,'2027 Forecast'!I41,'2028 Forecast'!I41)</f>
        <v>0</v>
      </c>
      <c r="J41" s="566">
        <f>CHOOSE(MATCH('Lists and Mapping'!$C$10,'Lists and Mapping'!$B$3:$B$5,0),'2026 Forecast'!J41,'2027 Forecast'!J41,'2028 Forecast'!J41)</f>
        <v>0</v>
      </c>
      <c r="K41" s="574">
        <f>CHOOSE(MATCH('Lists and Mapping'!$C$10,'Lists and Mapping'!$B$3:$B$5,0),'2026 Forecast'!K41,'2027 Forecast'!K41,'2028 Forecast'!K41)</f>
        <v>0</v>
      </c>
      <c r="L41" s="574">
        <f>CHOOSE(MATCH('Lists and Mapping'!$C$10,'Lists and Mapping'!$B$3:$B$5,0),'2026 Forecast'!L41,'2027 Forecast'!L41,'2028 Forecast'!L41)</f>
        <v>0</v>
      </c>
      <c r="M41" s="567">
        <f>CHOOSE(MATCH('Lists and Mapping'!$C$10,'Lists and Mapping'!$B$3:$B$5,0),'2026 Forecast'!M41,'2027 Forecast'!M41,'2028 Forecast'!M41)</f>
        <v>0</v>
      </c>
      <c r="N41" s="567">
        <f>CHOOSE(MATCH('Lists and Mapping'!$C$10,'Lists and Mapping'!$B$3:$B$5,0),'2026 Forecast'!N41,'2027 Forecast'!N41,'2028 Forecast'!N41)</f>
        <v>0</v>
      </c>
      <c r="O41" s="567">
        <f>CHOOSE(MATCH('Lists and Mapping'!$C$10,'Lists and Mapping'!$B$3:$B$5,0),'2026 Forecast'!O41,'2027 Forecast'!O41,'2028 Forecast'!O41)</f>
        <v>0</v>
      </c>
      <c r="P41" s="538">
        <f>CHOOSE(MATCH('Lists and Mapping'!$C$10,'Lists and Mapping'!$B$3:$B$5,0),'2026 Forecast'!P41,'2027 Forecast'!P41,'2028 Forecast'!P41)</f>
        <v>6.82944</v>
      </c>
      <c r="Q41" s="539">
        <f>CHOOSE(MATCH('Lists and Mapping'!$C$10,'Lists and Mapping'!$B$3:$B$5,0),'2026 Forecast'!Q41,'2027 Forecast'!Q41,'2028 Forecast'!Q41)</f>
        <v>0</v>
      </c>
      <c r="R41" s="539">
        <f>CHOOSE(MATCH('Lists and Mapping'!$C$10,'Lists and Mapping'!$B$3:$B$5,0),'2026 Forecast'!R41,'2027 Forecast'!R41,'2028 Forecast'!R41)</f>
        <v>0</v>
      </c>
      <c r="S41" s="539">
        <f>CHOOSE(MATCH('Lists and Mapping'!$C$10,'Lists and Mapping'!$B$3:$B$5,0),'2026 Forecast'!S41,'2027 Forecast'!S41,'2028 Forecast'!S41)</f>
        <v>0</v>
      </c>
      <c r="T41" s="539">
        <f>CHOOSE(MATCH('Lists and Mapping'!$C$10,'Lists and Mapping'!$B$3:$B$5,0),'2026 Forecast'!T41,'2027 Forecast'!T41,'2028 Forecast'!T41)</f>
        <v>0</v>
      </c>
      <c r="U41" s="539">
        <f>CHOOSE(MATCH('Lists and Mapping'!$C$10,'Lists and Mapping'!$B$3:$B$5,0),'2026 Forecast'!U41,'2027 Forecast'!U41,'2028 Forecast'!U41)</f>
        <v>189.01876175688375</v>
      </c>
      <c r="V41" s="540">
        <f>CHOOSE(MATCH('Lists and Mapping'!$C$10,'Lists and Mapping'!$B$3:$B$5,0),'2026 Forecast'!V41,'2027 Forecast'!V41,'2028 Forecast'!V41)</f>
        <v>189.01876175688375</v>
      </c>
      <c r="W41" s="568">
        <f>CHOOSE(MATCH('Lists and Mapping'!$C$10,'Lists and Mapping'!$B$3:$B$5,0),'2026 Forecast'!W41,'2027 Forecast'!W41,'2028 Forecast'!W41)</f>
        <v>0</v>
      </c>
      <c r="X41" s="568">
        <f>CHOOSE(MATCH('Lists and Mapping'!$C$10,'Lists and Mapping'!$B$3:$B$5,0),'2026 Forecast'!X41,'2027 Forecast'!X41,'2028 Forecast'!X41)</f>
        <v>0</v>
      </c>
      <c r="Y41" s="568">
        <f>CHOOSE(MATCH('Lists and Mapping'!$C$10,'Lists and Mapping'!$B$3:$B$5,0),'2026 Forecast'!Y41,'2027 Forecast'!Y41,'2028 Forecast'!Y41)</f>
        <v>0</v>
      </c>
      <c r="Z41" s="569">
        <f>CHOOSE(MATCH('Lists and Mapping'!$C$10,'Lists and Mapping'!$B$3:$B$5,0),'2026 Forecast'!Z41,'2027 Forecast'!Z41,'2028 Forecast'!Z41)</f>
        <v>0</v>
      </c>
      <c r="AA41" s="543">
        <f>CHOOSE(MATCH('Lists and Mapping'!$C$10,'Lists and Mapping'!$B$3:$B$5,0),'2026 Forecast'!AA41,'2027 Forecast'!AA41,'2028 Forecast'!AA41)</f>
        <v>195.84820175688375</v>
      </c>
      <c r="AB41" s="570">
        <f>CHOOSE(MATCH('Lists and Mapping'!$C$10,'Lists and Mapping'!$B$3:$B$5,0),'2026 Forecast'!AB41,'2027 Forecast'!AB41,'2028 Forecast'!AB41)</f>
        <v>246.36990768987769</v>
      </c>
      <c r="AC41" s="570">
        <f>CHOOSE(MATCH('Lists and Mapping'!$C$10,'Lists and Mapping'!$B$3:$B$5,0),'2026 Forecast'!AC41,'2027 Forecast'!AC41,'2028 Forecast'!AC41)</f>
        <v>104.50493491671041</v>
      </c>
      <c r="AD41" s="570">
        <f>CHOOSE(MATCH('Lists and Mapping'!$C$10,'Lists and Mapping'!$B$3:$B$5,0),'2026 Forecast'!AD41,'2027 Forecast'!AD41,'2028 Forecast'!AD41)</f>
        <v>12.810560999999998</v>
      </c>
      <c r="AE41" s="570">
        <f>CHOOSE(MATCH('Lists and Mapping'!$C$10,'Lists and Mapping'!$B$3:$B$5,0),'2026 Forecast'!AE41,'2027 Forecast'!AE41,'2028 Forecast'!AE41)</f>
        <v>26.1085046</v>
      </c>
      <c r="AF41" s="543">
        <f>CHOOSE(MATCH('Lists and Mapping'!$C$10,'Lists and Mapping'!$B$3:$B$5,0),'2026 Forecast'!AF41,'2027 Forecast'!AF41,'2028 Forecast'!AF41)</f>
        <v>0.19204662999999997</v>
      </c>
      <c r="AG41" s="545">
        <f>CHOOSE(MATCH('Lists and Mapping'!$C$10,'Lists and Mapping'!$B$3:$B$5,0),'2026 Forecast'!AG41,'2027 Forecast'!AG41,'2028 Forecast'!AG41)</f>
        <v>585.83415659347179</v>
      </c>
      <c r="AH41" s="546">
        <f>CHOOSE(MATCH('Lists and Mapping'!$C$10,'Lists and Mapping'!$B$3:$B$5,0),'2026 Forecast'!AH41,'2027 Forecast'!AH41,'2028 Forecast'!AH41)</f>
        <v>8.7600394398570369</v>
      </c>
      <c r="AI41" s="546">
        <f>CHOOSE(MATCH('Lists and Mapping'!$C$10,'Lists and Mapping'!$B$3:$B$5,0),'2026 Forecast'!AI41,'2027 Forecast'!AI41,'2028 Forecast'!AI41)</f>
        <v>11.019810694184269</v>
      </c>
      <c r="AJ41" s="546">
        <f>CHOOSE(MATCH('Lists and Mapping'!$C$10,'Lists and Mapping'!$B$3:$B$5,0),'2026 Forecast'!AJ41,'2027 Forecast'!AJ41,'2028 Forecast'!AJ41)</f>
        <v>4.6743720050413922</v>
      </c>
      <c r="AK41" s="547">
        <f>CHOOSE(MATCH('Lists and Mapping'!$C$10,'Lists and Mapping'!$B$3:$B$5,0),'2026 Forecast'!AK41,'2027 Forecast'!AK41,'2028 Forecast'!AK41)</f>
        <v>26.203612139082693</v>
      </c>
      <c r="AL41" s="546">
        <f>CHOOSE(MATCH('Lists and Mapping'!$C$10,'Lists and Mapping'!$B$3:$B$5,0),'2026 Forecast'!AL41,'2027 Forecast'!AL41,'2028 Forecast'!AL41)</f>
        <v>1.1678000000000002</v>
      </c>
      <c r="AM41" s="546">
        <f>CHOOSE(MATCH('Lists and Mapping'!$C$10,'Lists and Mapping'!$B$3:$B$5,0),'2026 Forecast'!AM41,'2027 Forecast'!AM41,'2028 Forecast'!AM41)</f>
        <v>8.5899999999999987E-3</v>
      </c>
      <c r="AN41" s="547">
        <f>CHOOSE(MATCH('Lists and Mapping'!$C$10,'Lists and Mapping'!$B$3:$B$5,0),'2026 Forecast'!AN41,'2027 Forecast'!AN41,'2028 Forecast'!AN41)</f>
        <v>26.203612139082693</v>
      </c>
      <c r="AO41" s="446"/>
      <c r="AP41" s="446"/>
      <c r="AQ41" s="446"/>
      <c r="AR41" s="446"/>
      <c r="AS41" s="446"/>
      <c r="AT41" s="72"/>
      <c r="AU41" s="72"/>
      <c r="AV41" s="72"/>
      <c r="AW41" s="72"/>
      <c r="AX41" s="72"/>
      <c r="AY41" s="72"/>
      <c r="AZ41" s="72"/>
      <c r="BA41" s="72"/>
      <c r="BB41" s="72"/>
    </row>
    <row r="42" spans="2:54">
      <c r="B42" s="529" t="s">
        <v>12</v>
      </c>
      <c r="C42" s="452" t="s">
        <v>269</v>
      </c>
      <c r="D42" s="530" t="s">
        <v>270</v>
      </c>
      <c r="E42" s="531">
        <f>CHOOSE(MATCH('Lists and Mapping'!$C$10,'Lists and Mapping'!$B$3:$B$5,0),'2026 Forecast'!E42,'2027 Forecast'!E42,'2028 Forecast'!E42)</f>
        <v>10590</v>
      </c>
      <c r="F42" s="565">
        <f>CHOOSE(MATCH('Lists and Mapping'!$C$10,'Lists and Mapping'!$B$3:$B$5,0),'2026 Forecast'!F42,'2027 Forecast'!F42,'2028 Forecast'!F42)</f>
        <v>3692.7</v>
      </c>
      <c r="G42" s="533">
        <f>CHOOSE(MATCH('Lists and Mapping'!$C$10,'Lists and Mapping'!$B$3:$B$5,0),'2026 Forecast'!G42,'2027 Forecast'!G42,'2028 Forecast'!G42)</f>
        <v>3692.7</v>
      </c>
      <c r="H42" s="533">
        <f>CHOOSE(MATCH('Lists and Mapping'!$C$10,'Lists and Mapping'!$B$3:$B$5,0),'2026 Forecast'!H42,'2027 Forecast'!H42,'2028 Forecast'!H42)</f>
        <v>0</v>
      </c>
      <c r="I42" s="533">
        <f>CHOOSE(MATCH('Lists and Mapping'!$C$10,'Lists and Mapping'!$B$3:$B$5,0),'2026 Forecast'!I42,'2027 Forecast'!I42,'2028 Forecast'!I42)</f>
        <v>0</v>
      </c>
      <c r="J42" s="566">
        <f>CHOOSE(MATCH('Lists and Mapping'!$C$10,'Lists and Mapping'!$B$3:$B$5,0),'2026 Forecast'!J42,'2027 Forecast'!J42,'2028 Forecast'!J42)</f>
        <v>0</v>
      </c>
      <c r="K42" s="566">
        <f>CHOOSE(MATCH('Lists and Mapping'!$C$10,'Lists and Mapping'!$B$3:$B$5,0),'2026 Forecast'!K42,'2027 Forecast'!K42,'2028 Forecast'!K42)</f>
        <v>0</v>
      </c>
      <c r="L42" s="574">
        <f>CHOOSE(MATCH('Lists and Mapping'!$C$10,'Lists and Mapping'!$B$3:$B$5,0),'2026 Forecast'!L42,'2027 Forecast'!L42,'2028 Forecast'!L42)</f>
        <v>13924740</v>
      </c>
      <c r="M42" s="567">
        <f>CHOOSE(MATCH('Lists and Mapping'!$C$10,'Lists and Mapping'!$B$3:$B$5,0),'2026 Forecast'!M42,'2027 Forecast'!M42,'2028 Forecast'!M42)</f>
        <v>13924740</v>
      </c>
      <c r="N42" s="567">
        <f>CHOOSE(MATCH('Lists and Mapping'!$C$10,'Lists and Mapping'!$B$3:$B$5,0),'2026 Forecast'!N42,'2027 Forecast'!N42,'2028 Forecast'!N42)</f>
        <v>0</v>
      </c>
      <c r="O42" s="567">
        <f>CHOOSE(MATCH('Lists and Mapping'!$C$10,'Lists and Mapping'!$B$3:$B$5,0),'2026 Forecast'!O42,'2027 Forecast'!O42,'2028 Forecast'!O42)</f>
        <v>0</v>
      </c>
      <c r="P42" s="538">
        <f>CHOOSE(MATCH('Lists and Mapping'!$C$10,'Lists and Mapping'!$B$3:$B$5,0),'2026 Forecast'!P42,'2027 Forecast'!P42,'2028 Forecast'!P42)</f>
        <v>25.3248</v>
      </c>
      <c r="Q42" s="539">
        <f>CHOOSE(MATCH('Lists and Mapping'!$C$10,'Lists and Mapping'!$B$3:$B$5,0),'2026 Forecast'!Q42,'2027 Forecast'!Q42,'2028 Forecast'!Q42)</f>
        <v>162.15313539632518</v>
      </c>
      <c r="R42" s="539">
        <f>CHOOSE(MATCH('Lists and Mapping'!$C$10,'Lists and Mapping'!$B$3:$B$5,0),'2026 Forecast'!R42,'2027 Forecast'!R42,'2028 Forecast'!R42)</f>
        <v>0</v>
      </c>
      <c r="S42" s="539">
        <f>CHOOSE(MATCH('Lists and Mapping'!$C$10,'Lists and Mapping'!$B$3:$B$5,0),'2026 Forecast'!S42,'2027 Forecast'!S42,'2028 Forecast'!S42)</f>
        <v>0</v>
      </c>
      <c r="T42" s="539">
        <f>CHOOSE(MATCH('Lists and Mapping'!$C$10,'Lists and Mapping'!$B$3:$B$5,0),'2026 Forecast'!T42,'2027 Forecast'!T42,'2028 Forecast'!T42)</f>
        <v>0</v>
      </c>
      <c r="U42" s="539">
        <f>CHOOSE(MATCH('Lists and Mapping'!$C$10,'Lists and Mapping'!$B$3:$B$5,0),'2026 Forecast'!U42,'2027 Forecast'!U42,'2028 Forecast'!U42)</f>
        <v>0</v>
      </c>
      <c r="V42" s="540">
        <f>CHOOSE(MATCH('Lists and Mapping'!$C$10,'Lists and Mapping'!$B$3:$B$5,0),'2026 Forecast'!V42,'2027 Forecast'!V42,'2028 Forecast'!V42)</f>
        <v>162.15313539632518</v>
      </c>
      <c r="W42" s="539">
        <f>CHOOSE(MATCH('Lists and Mapping'!$C$10,'Lists and Mapping'!$B$3:$B$5,0),'2026 Forecast'!W42,'2027 Forecast'!W42,'2028 Forecast'!W42)</f>
        <v>112.79039400000001</v>
      </c>
      <c r="X42" s="568">
        <f>CHOOSE(MATCH('Lists and Mapping'!$C$10,'Lists and Mapping'!$B$3:$B$5,0),'2026 Forecast'!X42,'2027 Forecast'!X42,'2028 Forecast'!X42)</f>
        <v>0</v>
      </c>
      <c r="Y42" s="568">
        <f>CHOOSE(MATCH('Lists and Mapping'!$C$10,'Lists and Mapping'!$B$3:$B$5,0),'2026 Forecast'!Y42,'2027 Forecast'!Y42,'2028 Forecast'!Y42)</f>
        <v>0</v>
      </c>
      <c r="Z42" s="569">
        <f>CHOOSE(MATCH('Lists and Mapping'!$C$10,'Lists and Mapping'!$B$3:$B$5,0),'2026 Forecast'!Z42,'2027 Forecast'!Z42,'2028 Forecast'!Z42)</f>
        <v>112.79039400000001</v>
      </c>
      <c r="AA42" s="543">
        <f>CHOOSE(MATCH('Lists and Mapping'!$C$10,'Lists and Mapping'!$B$3:$B$5,0),'2026 Forecast'!AA42,'2027 Forecast'!AA42,'2028 Forecast'!AA42)</f>
        <v>300.26832939632516</v>
      </c>
      <c r="AB42" s="570">
        <f>CHOOSE(MATCH('Lists and Mapping'!$C$10,'Lists and Mapping'!$B$3:$B$5,0),'2026 Forecast'!AB42,'2027 Forecast'!AB42,'2028 Forecast'!AB42)</f>
        <v>406.9285495041425</v>
      </c>
      <c r="AC42" s="570">
        <f>CHOOSE(MATCH('Lists and Mapping'!$C$10,'Lists and Mapping'!$B$3:$B$5,0),'2026 Forecast'!AC42,'2027 Forecast'!AC42,'2028 Forecast'!AC42)</f>
        <v>172.6105350301635</v>
      </c>
      <c r="AD42" s="570">
        <f>CHOOSE(MATCH('Lists and Mapping'!$C$10,'Lists and Mapping'!$B$3:$B$5,0),'2026 Forecast'!AD42,'2027 Forecast'!AD42,'2028 Forecast'!AD42)</f>
        <v>21.159170999999997</v>
      </c>
      <c r="AE42" s="570">
        <f>CHOOSE(MATCH('Lists and Mapping'!$C$10,'Lists and Mapping'!$B$3:$B$5,0),'2026 Forecast'!AE42,'2027 Forecast'!AE42,'2028 Forecast'!AE42)</f>
        <v>43.123350600000002</v>
      </c>
      <c r="AF42" s="543">
        <f>CHOOSE(MATCH('Lists and Mapping'!$C$10,'Lists and Mapping'!$B$3:$B$5,0),'2026 Forecast'!AF42,'2027 Forecast'!AF42,'2028 Forecast'!AF42)</f>
        <v>0.31720292999999994</v>
      </c>
      <c r="AG42" s="545">
        <f>CHOOSE(MATCH('Lists and Mapping'!$C$10,'Lists and Mapping'!$B$3:$B$5,0),'2026 Forecast'!AG42,'2027 Forecast'!AG42,'2028 Forecast'!AG42)</f>
        <v>944.40713846063113</v>
      </c>
      <c r="AH42" s="546">
        <f>CHOOSE(MATCH('Lists and Mapping'!$C$10,'Lists and Mapping'!$B$3:$B$5,0),'2026 Forecast'!AH42,'2027 Forecast'!AH42,'2028 Forecast'!AH42)</f>
        <v>8.1314032928839381</v>
      </c>
      <c r="AI42" s="546">
        <f>CHOOSE(MATCH('Lists and Mapping'!$C$10,'Lists and Mapping'!$B$3:$B$5,0),'2026 Forecast'!AI42,'2027 Forecast'!AI42,'2028 Forecast'!AI42)</f>
        <v>11.019810694184269</v>
      </c>
      <c r="AJ42" s="546">
        <f>CHOOSE(MATCH('Lists and Mapping'!$C$10,'Lists and Mapping'!$B$3:$B$5,0),'2026 Forecast'!AJ42,'2027 Forecast'!AJ42,'2028 Forecast'!AJ42)</f>
        <v>4.6743720050413922</v>
      </c>
      <c r="AK42" s="547">
        <f>CHOOSE(MATCH('Lists and Mapping'!$C$10,'Lists and Mapping'!$B$3:$B$5,0),'2026 Forecast'!AK42,'2027 Forecast'!AK42,'2028 Forecast'!AK42)</f>
        <v>25.5749759921096</v>
      </c>
      <c r="AL42" s="546">
        <f>CHOOSE(MATCH('Lists and Mapping'!$C$10,'Lists and Mapping'!$B$3:$B$5,0),'2026 Forecast'!AL42,'2027 Forecast'!AL42,'2028 Forecast'!AL42)</f>
        <v>1.1678000000000002</v>
      </c>
      <c r="AM42" s="546">
        <f>CHOOSE(MATCH('Lists and Mapping'!$C$10,'Lists and Mapping'!$B$3:$B$5,0),'2026 Forecast'!AM42,'2027 Forecast'!AM42,'2028 Forecast'!AM42)</f>
        <v>8.5899999999999987E-3</v>
      </c>
      <c r="AN42" s="547">
        <f>CHOOSE(MATCH('Lists and Mapping'!$C$10,'Lists and Mapping'!$B$3:$B$5,0),'2026 Forecast'!AN42,'2027 Forecast'!AN42,'2028 Forecast'!AN42)</f>
        <v>25.5749759921096</v>
      </c>
      <c r="AO42" s="446"/>
      <c r="AP42" s="446"/>
      <c r="AQ42" s="446"/>
      <c r="AR42" s="446"/>
      <c r="AS42" s="446"/>
      <c r="AT42" s="72"/>
      <c r="AU42" s="72"/>
      <c r="AV42" s="72"/>
      <c r="AW42" s="72"/>
      <c r="AX42" s="72"/>
      <c r="AY42" s="72"/>
      <c r="AZ42" s="72"/>
      <c r="BA42" s="72"/>
      <c r="BB42" s="72"/>
    </row>
    <row r="43" spans="2:54">
      <c r="B43" s="529" t="s">
        <v>13</v>
      </c>
      <c r="C43" s="452" t="s">
        <v>271</v>
      </c>
      <c r="D43" s="530" t="s">
        <v>272</v>
      </c>
      <c r="E43" s="531">
        <f>CHOOSE(MATCH('Lists and Mapping'!$C$10,'Lists and Mapping'!$B$3:$B$5,0),'2026 Forecast'!E43,'2027 Forecast'!E43,'2028 Forecast'!E43)</f>
        <v>400</v>
      </c>
      <c r="F43" s="565">
        <f>CHOOSE(MATCH('Lists and Mapping'!$C$10,'Lists and Mapping'!$B$3:$B$5,0),'2026 Forecast'!F43,'2027 Forecast'!F43,'2028 Forecast'!F43)</f>
        <v>1678.2</v>
      </c>
      <c r="G43" s="533">
        <f>CHOOSE(MATCH('Lists and Mapping'!$C$10,'Lists and Mapping'!$B$3:$B$5,0),'2026 Forecast'!G43,'2027 Forecast'!G43,'2028 Forecast'!G43)</f>
        <v>1236.8</v>
      </c>
      <c r="H43" s="533">
        <f>CHOOSE(MATCH('Lists and Mapping'!$C$10,'Lists and Mapping'!$B$3:$B$5,0),'2026 Forecast'!H43,'2027 Forecast'!H43,'2028 Forecast'!H43)</f>
        <v>441.4</v>
      </c>
      <c r="I43" s="533">
        <f>CHOOSE(MATCH('Lists and Mapping'!$C$10,'Lists and Mapping'!$B$3:$B$5,0),'2026 Forecast'!I43,'2027 Forecast'!I43,'2028 Forecast'!I43)</f>
        <v>0</v>
      </c>
      <c r="J43" s="566">
        <f>CHOOSE(MATCH('Lists and Mapping'!$C$10,'Lists and Mapping'!$B$3:$B$5,0),'2026 Forecast'!J43,'2027 Forecast'!J43,'2028 Forecast'!J43)</f>
        <v>0</v>
      </c>
      <c r="K43" s="566">
        <f>CHOOSE(MATCH('Lists and Mapping'!$C$10,'Lists and Mapping'!$B$3:$B$5,0),'2026 Forecast'!K43,'2027 Forecast'!K43,'2028 Forecast'!K43)</f>
        <v>0</v>
      </c>
      <c r="L43" s="574">
        <f>CHOOSE(MATCH('Lists and Mapping'!$C$10,'Lists and Mapping'!$B$3:$B$5,0),'2026 Forecast'!L43,'2027 Forecast'!L43,'2028 Forecast'!L43)</f>
        <v>4122612</v>
      </c>
      <c r="M43" s="567">
        <f>CHOOSE(MATCH('Lists and Mapping'!$C$10,'Lists and Mapping'!$B$3:$B$5,0),'2026 Forecast'!M43,'2027 Forecast'!M43,'2028 Forecast'!M43)</f>
        <v>4122612</v>
      </c>
      <c r="N43" s="567">
        <f>CHOOSE(MATCH('Lists and Mapping'!$C$10,'Lists and Mapping'!$B$3:$B$5,0),'2026 Forecast'!N43,'2027 Forecast'!N43,'2028 Forecast'!N43)</f>
        <v>0</v>
      </c>
      <c r="O43" s="567">
        <f>CHOOSE(MATCH('Lists and Mapping'!$C$10,'Lists and Mapping'!$B$3:$B$5,0),'2026 Forecast'!O43,'2027 Forecast'!O43,'2028 Forecast'!O43)</f>
        <v>0</v>
      </c>
      <c r="P43" s="538">
        <f>CHOOSE(MATCH('Lists and Mapping'!$C$10,'Lists and Mapping'!$B$3:$B$5,0),'2026 Forecast'!P43,'2027 Forecast'!P43,'2028 Forecast'!P43)</f>
        <v>2.0897999999999999</v>
      </c>
      <c r="Q43" s="539">
        <f>CHOOSE(MATCH('Lists and Mapping'!$C$10,'Lists and Mapping'!$B$3:$B$5,0),'2026 Forecast'!Q43,'2027 Forecast'!Q43,'2028 Forecast'!Q43)</f>
        <v>37.547276688000004</v>
      </c>
      <c r="R43" s="539">
        <f>CHOOSE(MATCH('Lists and Mapping'!$C$10,'Lists and Mapping'!$B$3:$B$5,0),'2026 Forecast'!R43,'2027 Forecast'!R43,'2028 Forecast'!R43)</f>
        <v>17.607038771168881</v>
      </c>
      <c r="S43" s="539">
        <f>CHOOSE(MATCH('Lists and Mapping'!$C$10,'Lists and Mapping'!$B$3:$B$5,0),'2026 Forecast'!S43,'2027 Forecast'!S43,'2028 Forecast'!S43)</f>
        <v>0</v>
      </c>
      <c r="T43" s="539">
        <f>CHOOSE(MATCH('Lists and Mapping'!$C$10,'Lists and Mapping'!$B$3:$B$5,0),'2026 Forecast'!T43,'2027 Forecast'!T43,'2028 Forecast'!T43)</f>
        <v>0</v>
      </c>
      <c r="U43" s="539">
        <f>CHOOSE(MATCH('Lists and Mapping'!$C$10,'Lists and Mapping'!$B$3:$B$5,0),'2026 Forecast'!U43,'2027 Forecast'!U43,'2028 Forecast'!U43)</f>
        <v>0</v>
      </c>
      <c r="V43" s="540">
        <f>CHOOSE(MATCH('Lists and Mapping'!$C$10,'Lists and Mapping'!$B$3:$B$5,0),'2026 Forecast'!V43,'2027 Forecast'!V43,'2028 Forecast'!V43)</f>
        <v>55.154315459168885</v>
      </c>
      <c r="W43" s="539">
        <f>CHOOSE(MATCH('Lists and Mapping'!$C$10,'Lists and Mapping'!$B$3:$B$5,0),'2026 Forecast'!W43,'2027 Forecast'!W43,'2028 Forecast'!W43)</f>
        <v>31.744112400000002</v>
      </c>
      <c r="X43" s="568">
        <f>CHOOSE(MATCH('Lists and Mapping'!$C$10,'Lists and Mapping'!$B$3:$B$5,0),'2026 Forecast'!X43,'2027 Forecast'!X43,'2028 Forecast'!X43)</f>
        <v>0</v>
      </c>
      <c r="Y43" s="568">
        <f>CHOOSE(MATCH('Lists and Mapping'!$C$10,'Lists and Mapping'!$B$3:$B$5,0),'2026 Forecast'!Y43,'2027 Forecast'!Y43,'2028 Forecast'!Y43)</f>
        <v>0</v>
      </c>
      <c r="Z43" s="569">
        <f>CHOOSE(MATCH('Lists and Mapping'!$C$10,'Lists and Mapping'!$B$3:$B$5,0),'2026 Forecast'!Z43,'2027 Forecast'!Z43,'2028 Forecast'!Z43)</f>
        <v>31.744112400000002</v>
      </c>
      <c r="AA43" s="543">
        <f>CHOOSE(MATCH('Lists and Mapping'!$C$10,'Lists and Mapping'!$B$3:$B$5,0),'2026 Forecast'!AA43,'2027 Forecast'!AA43,'2028 Forecast'!AA43)</f>
        <v>88.988227859168887</v>
      </c>
      <c r="AB43" s="570">
        <f>CHOOSE(MATCH('Lists and Mapping'!$C$10,'Lists and Mapping'!$B$3:$B$5,0),'2026 Forecast'!AB43,'2027 Forecast'!AB43,'2028 Forecast'!AB43)</f>
        <v>184.93446306980042</v>
      </c>
      <c r="AC43" s="570">
        <f>CHOOSE(MATCH('Lists and Mapping'!$C$10,'Lists and Mapping'!$B$3:$B$5,0),'2026 Forecast'!AC43,'2027 Forecast'!AC43,'2028 Forecast'!AC43)</f>
        <v>78.445310988604646</v>
      </c>
      <c r="AD43" s="570">
        <f>CHOOSE(MATCH('Lists and Mapping'!$C$10,'Lists and Mapping'!$B$3:$B$5,0),'2026 Forecast'!AD43,'2027 Forecast'!AD43,'2028 Forecast'!AD43)</f>
        <v>9.6160859999999992</v>
      </c>
      <c r="AE43" s="570">
        <f>CHOOSE(MATCH('Lists and Mapping'!$C$10,'Lists and Mapping'!$B$3:$B$5,0),'2026 Forecast'!AE43,'2027 Forecast'!AE43,'2028 Forecast'!AE43)</f>
        <v>19.598019600000001</v>
      </c>
      <c r="AF43" s="543">
        <f>CHOOSE(MATCH('Lists and Mapping'!$C$10,'Lists and Mapping'!$B$3:$B$5,0),'2026 Forecast'!AF43,'2027 Forecast'!AF43,'2028 Forecast'!AF43)</f>
        <v>0.14415737999999997</v>
      </c>
      <c r="AG43" s="545">
        <f>CHOOSE(MATCH('Lists and Mapping'!$C$10,'Lists and Mapping'!$B$3:$B$5,0),'2026 Forecast'!AG43,'2027 Forecast'!AG43,'2028 Forecast'!AG43)</f>
        <v>381.72626489757391</v>
      </c>
      <c r="AH43" s="546">
        <f>CHOOSE(MATCH('Lists and Mapping'!$C$10,'Lists and Mapping'!$B$3:$B$5,0),'2026 Forecast'!AH43,'2027 Forecast'!AH43,'2028 Forecast'!AH43)</f>
        <v>5.3025996817524064</v>
      </c>
      <c r="AI43" s="546">
        <f>CHOOSE(MATCH('Lists and Mapping'!$C$10,'Lists and Mapping'!$B$3:$B$5,0),'2026 Forecast'!AI43,'2027 Forecast'!AI43,'2028 Forecast'!AI43)</f>
        <v>11.019810694184269</v>
      </c>
      <c r="AJ43" s="546">
        <f>CHOOSE(MATCH('Lists and Mapping'!$C$10,'Lists and Mapping'!$B$3:$B$5,0),'2026 Forecast'!AJ43,'2027 Forecast'!AJ43,'2028 Forecast'!AJ43)</f>
        <v>4.6743720050413922</v>
      </c>
      <c r="AK43" s="547">
        <f>CHOOSE(MATCH('Lists and Mapping'!$C$10,'Lists and Mapping'!$B$3:$B$5,0),'2026 Forecast'!AK43,'2027 Forecast'!AK43,'2028 Forecast'!AK43)</f>
        <v>22.746172380978066</v>
      </c>
      <c r="AL43" s="546">
        <f>CHOOSE(MATCH('Lists and Mapping'!$C$10,'Lists and Mapping'!$B$3:$B$5,0),'2026 Forecast'!AL43,'2027 Forecast'!AL43,'2028 Forecast'!AL43)</f>
        <v>1.1678000000000002</v>
      </c>
      <c r="AM43" s="546">
        <f>CHOOSE(MATCH('Lists and Mapping'!$C$10,'Lists and Mapping'!$B$3:$B$5,0),'2026 Forecast'!AM43,'2027 Forecast'!AM43,'2028 Forecast'!AM43)</f>
        <v>8.5899999999999987E-3</v>
      </c>
      <c r="AN43" s="547">
        <f>CHOOSE(MATCH('Lists and Mapping'!$C$10,'Lists and Mapping'!$B$3:$B$5,0),'2026 Forecast'!AN43,'2027 Forecast'!AN43,'2028 Forecast'!AN43)</f>
        <v>22.746172380978066</v>
      </c>
      <c r="AO43" s="446"/>
      <c r="AP43" s="446"/>
      <c r="AQ43" s="446"/>
      <c r="AR43" s="446"/>
      <c r="AS43" s="446"/>
      <c r="AT43" s="72"/>
      <c r="AU43" s="72"/>
      <c r="AV43" s="72"/>
      <c r="AW43" s="72"/>
      <c r="AX43" s="72"/>
      <c r="AY43" s="72"/>
      <c r="AZ43" s="72"/>
      <c r="BA43" s="72"/>
      <c r="BB43" s="72"/>
    </row>
    <row r="44" spans="2:54">
      <c r="B44" s="529" t="s">
        <v>14</v>
      </c>
      <c r="C44" s="452" t="s">
        <v>269</v>
      </c>
      <c r="D44" s="530" t="s">
        <v>273</v>
      </c>
      <c r="E44" s="531">
        <f>CHOOSE(MATCH('Lists and Mapping'!$C$10,'Lists and Mapping'!$B$3:$B$5,0),'2026 Forecast'!E44,'2027 Forecast'!E44,'2028 Forecast'!E44)</f>
        <v>1</v>
      </c>
      <c r="F44" s="565">
        <f>CHOOSE(MATCH('Lists and Mapping'!$C$10,'Lists and Mapping'!$B$3:$B$5,0),'2026 Forecast'!F44,'2027 Forecast'!F44,'2028 Forecast'!F44)</f>
        <v>6.1</v>
      </c>
      <c r="G44" s="575">
        <f>CHOOSE(MATCH('Lists and Mapping'!$C$10,'Lists and Mapping'!$B$3:$B$5,0),'2026 Forecast'!G44,'2027 Forecast'!G44,'2028 Forecast'!G44)</f>
        <v>0</v>
      </c>
      <c r="H44" s="575">
        <f>CHOOSE(MATCH('Lists and Mapping'!$C$10,'Lists and Mapping'!$B$3:$B$5,0),'2026 Forecast'!H44,'2027 Forecast'!H44,'2028 Forecast'!H44)</f>
        <v>0</v>
      </c>
      <c r="I44" s="575">
        <f>CHOOSE(MATCH('Lists and Mapping'!$C$10,'Lists and Mapping'!$B$3:$B$5,0),'2026 Forecast'!I44,'2027 Forecast'!I44,'2028 Forecast'!I44)</f>
        <v>2.8</v>
      </c>
      <c r="J44" s="576">
        <f>CHOOSE(MATCH('Lists and Mapping'!$C$10,'Lists and Mapping'!$B$3:$B$5,0),'2026 Forecast'!J44,'2027 Forecast'!J44,'2028 Forecast'!J44)</f>
        <v>3.3</v>
      </c>
      <c r="K44" s="576">
        <f>CHOOSE(MATCH('Lists and Mapping'!$C$10,'Lists and Mapping'!$B$3:$B$5,0),'2026 Forecast'!K44,'2027 Forecast'!K44,'2028 Forecast'!K44)</f>
        <v>0</v>
      </c>
      <c r="L44" s="566">
        <f>CHOOSE(MATCH('Lists and Mapping'!$C$10,'Lists and Mapping'!$B$3:$B$5,0),'2026 Forecast'!L44,'2027 Forecast'!L44,'2028 Forecast'!L44)</f>
        <v>0</v>
      </c>
      <c r="M44" s="567">
        <f>CHOOSE(MATCH('Lists and Mapping'!$C$10,'Lists and Mapping'!$B$3:$B$5,0),'2026 Forecast'!M44,'2027 Forecast'!M44,'2028 Forecast'!M44)</f>
        <v>0</v>
      </c>
      <c r="N44" s="567">
        <f>CHOOSE(MATCH('Lists and Mapping'!$C$10,'Lists and Mapping'!$B$3:$B$5,0),'2026 Forecast'!N44,'2027 Forecast'!N44,'2028 Forecast'!N44)</f>
        <v>19824</v>
      </c>
      <c r="O44" s="567">
        <f>CHOOSE(MATCH('Lists and Mapping'!$C$10,'Lists and Mapping'!$B$3:$B$5,0),'2026 Forecast'!O44,'2027 Forecast'!O44,'2028 Forecast'!O44)</f>
        <v>18996</v>
      </c>
      <c r="P44" s="538">
        <f>CHOOSE(MATCH('Lists and Mapping'!$C$10,'Lists and Mapping'!$B$3:$B$5,0),'2026 Forecast'!P44,'2027 Forecast'!P44,'2028 Forecast'!P44)</f>
        <v>2.3999999999999998E-3</v>
      </c>
      <c r="Q44" s="577">
        <f>CHOOSE(MATCH('Lists and Mapping'!$C$10,'Lists and Mapping'!$B$3:$B$5,0),'2026 Forecast'!Q44,'2027 Forecast'!Q44,'2028 Forecast'!Q44)</f>
        <v>0</v>
      </c>
      <c r="R44" s="577">
        <f>CHOOSE(MATCH('Lists and Mapping'!$C$10,'Lists and Mapping'!$B$3:$B$5,0),'2026 Forecast'!R44,'2027 Forecast'!R44,'2028 Forecast'!R44)</f>
        <v>0</v>
      </c>
      <c r="S44" s="539">
        <f>CHOOSE(MATCH('Lists and Mapping'!$C$10,'Lists and Mapping'!$B$3:$B$5,0),'2026 Forecast'!S44,'2027 Forecast'!S44,'2028 Forecast'!S44)</f>
        <v>0.14187245371763313</v>
      </c>
      <c r="T44" s="539">
        <f>CHOOSE(MATCH('Lists and Mapping'!$C$10,'Lists and Mapping'!$B$3:$B$5,0),'2026 Forecast'!T44,'2027 Forecast'!T44,'2028 Forecast'!T44)</f>
        <v>6.0362250696661082E-2</v>
      </c>
      <c r="U44" s="578">
        <f>CHOOSE(MATCH('Lists and Mapping'!$C$10,'Lists and Mapping'!$B$3:$B$5,0),'2026 Forecast'!U44,'2027 Forecast'!U44,'2028 Forecast'!U44)</f>
        <v>0</v>
      </c>
      <c r="V44" s="540">
        <f>CHOOSE(MATCH('Lists and Mapping'!$C$10,'Lists and Mapping'!$B$3:$B$5,0),'2026 Forecast'!V44,'2027 Forecast'!V44,'2028 Forecast'!V44)</f>
        <v>0.2022347044142942</v>
      </c>
      <c r="W44" s="568">
        <f>CHOOSE(MATCH('Lists and Mapping'!$C$10,'Lists and Mapping'!$B$3:$B$5,0),'2026 Forecast'!W44,'2027 Forecast'!W44,'2028 Forecast'!W44)</f>
        <v>0</v>
      </c>
      <c r="X44" s="539">
        <f>CHOOSE(MATCH('Lists and Mapping'!$C$10,'Lists and Mapping'!$B$3:$B$5,0),'2026 Forecast'!X44,'2027 Forecast'!X44,'2028 Forecast'!X44)</f>
        <v>0.16057440000000001</v>
      </c>
      <c r="Y44" s="539">
        <f>CHOOSE(MATCH('Lists and Mapping'!$C$10,'Lists and Mapping'!$B$3:$B$5,0),'2026 Forecast'!Y44,'2027 Forecast'!Y44,'2028 Forecast'!Y44)</f>
        <v>2.0895600000000004E-2</v>
      </c>
      <c r="Z44" s="569">
        <f>CHOOSE(MATCH('Lists and Mapping'!$C$10,'Lists and Mapping'!$B$3:$B$5,0),'2026 Forecast'!Z44,'2027 Forecast'!Z44,'2028 Forecast'!Z44)</f>
        <v>0.18147000000000002</v>
      </c>
      <c r="AA44" s="543">
        <f>CHOOSE(MATCH('Lists and Mapping'!$C$10,'Lists and Mapping'!$B$3:$B$5,0),'2026 Forecast'!AA44,'2027 Forecast'!AA44,'2028 Forecast'!AA44)</f>
        <v>0.38610470441429423</v>
      </c>
      <c r="AB44" s="570">
        <f>CHOOSE(MATCH('Lists and Mapping'!$C$10,'Lists and Mapping'!$B$3:$B$5,0),'2026 Forecast'!AB44,'2027 Forecast'!AB44,'2028 Forecast'!AB44)</f>
        <v>0.6722084523452404</v>
      </c>
      <c r="AC44" s="570">
        <f>CHOOSE(MATCH('Lists and Mapping'!$C$10,'Lists and Mapping'!$B$3:$B$5,0),'2026 Forecast'!AC44,'2027 Forecast'!AC44,'2028 Forecast'!AC44)</f>
        <v>0.28513669230752492</v>
      </c>
      <c r="AD44" s="570">
        <f>CHOOSE(MATCH('Lists and Mapping'!$C$10,'Lists and Mapping'!$B$3:$B$5,0),'2026 Forecast'!AD44,'2027 Forecast'!AD44,'2028 Forecast'!AD44)</f>
        <v>3.4952999999999998E-2</v>
      </c>
      <c r="AE44" s="570">
        <f>CHOOSE(MATCH('Lists and Mapping'!$C$10,'Lists and Mapping'!$B$3:$B$5,0),'2026 Forecast'!AE44,'2027 Forecast'!AE44,'2028 Forecast'!AE44)</f>
        <v>7.1235800000000002E-2</v>
      </c>
      <c r="AF44" s="543">
        <f>CHOOSE(MATCH('Lists and Mapping'!$C$10,'Lists and Mapping'!$B$3:$B$5,0),'2026 Forecast'!AF44,'2027 Forecast'!AF44,'2028 Forecast'!AF44)</f>
        <v>5.2398999999999989E-4</v>
      </c>
      <c r="AG44" s="545">
        <f>CHOOSE(MATCH('Lists and Mapping'!$C$10,'Lists and Mapping'!$B$3:$B$5,0),'2026 Forecast'!AG44,'2027 Forecast'!AG44,'2028 Forecast'!AG44)</f>
        <v>1.4501626390670594</v>
      </c>
      <c r="AH44" s="546">
        <f>CHOOSE(MATCH('Lists and Mapping'!$C$10,'Lists and Mapping'!$B$3:$B$5,0),'2026 Forecast'!AH44,'2027 Forecast'!AH44,'2028 Forecast'!AH44)</f>
        <v>6.3295853182671182</v>
      </c>
      <c r="AI44" s="546">
        <f>CHOOSE(MATCH('Lists and Mapping'!$C$10,'Lists and Mapping'!$B$3:$B$5,0),'2026 Forecast'!AI44,'2027 Forecast'!AI44,'2028 Forecast'!AI44)</f>
        <v>11.019810694184269</v>
      </c>
      <c r="AJ44" s="546">
        <f>CHOOSE(MATCH('Lists and Mapping'!$C$10,'Lists and Mapping'!$B$3:$B$5,0),'2026 Forecast'!AJ44,'2027 Forecast'!AJ44,'2028 Forecast'!AJ44)</f>
        <v>4.6743720050413922</v>
      </c>
      <c r="AK44" s="547">
        <f>CHOOSE(MATCH('Lists and Mapping'!$C$10,'Lists and Mapping'!$B$3:$B$5,0),'2026 Forecast'!AK44,'2027 Forecast'!AK44,'2028 Forecast'!AK44)</f>
        <v>23.773158017492779</v>
      </c>
      <c r="AL44" s="546">
        <f>CHOOSE(MATCH('Lists and Mapping'!$C$10,'Lists and Mapping'!$B$3:$B$5,0),'2026 Forecast'!AL44,'2027 Forecast'!AL44,'2028 Forecast'!AL44)</f>
        <v>1.1678000000000002</v>
      </c>
      <c r="AM44" s="546">
        <f>CHOOSE(MATCH('Lists and Mapping'!$C$10,'Lists and Mapping'!$B$3:$B$5,0),'2026 Forecast'!AM44,'2027 Forecast'!AM44,'2028 Forecast'!AM44)</f>
        <v>8.5899999999999987E-3</v>
      </c>
      <c r="AN44" s="547">
        <f>CHOOSE(MATCH('Lists and Mapping'!$C$10,'Lists and Mapping'!$B$3:$B$5,0),'2026 Forecast'!AN44,'2027 Forecast'!AN44,'2028 Forecast'!AN44)</f>
        <v>23.773158017492779</v>
      </c>
      <c r="AO44" s="446"/>
      <c r="AP44" s="446"/>
      <c r="AQ44" s="446"/>
      <c r="AR44" s="446"/>
      <c r="AS44" s="446"/>
      <c r="AT44" s="72"/>
      <c r="AU44" s="72"/>
      <c r="AV44" s="72"/>
      <c r="AW44" s="72"/>
      <c r="AX44" s="72"/>
      <c r="AY44" s="72"/>
      <c r="AZ44" s="72"/>
      <c r="BA44" s="72"/>
      <c r="BB44" s="72"/>
    </row>
    <row r="45" spans="2:54">
      <c r="B45" s="529"/>
      <c r="C45" s="549"/>
      <c r="D45" s="549" t="s">
        <v>222</v>
      </c>
      <c r="E45" s="550">
        <f>CHOOSE(MATCH('Lists and Mapping'!$C$10,'Lists and Mapping'!$B$3:$B$5,0),'2026 Forecast'!E45,'2027 Forecast'!E45,'2028 Forecast'!E45)</f>
        <v>125108</v>
      </c>
      <c r="F45" s="551">
        <f>CHOOSE(MATCH('Lists and Mapping'!$C$10,'Lists and Mapping'!$B$3:$B$5,0),'2026 Forecast'!F45,'2027 Forecast'!F45,'2028 Forecast'!F45)</f>
        <v>7629.3</v>
      </c>
      <c r="G45" s="552">
        <f>CHOOSE(MATCH('Lists and Mapping'!$C$10,'Lists and Mapping'!$B$3:$B$5,0),'2026 Forecast'!G45,'2027 Forecast'!G45,'2028 Forecast'!G45)</f>
        <v>4929.5</v>
      </c>
      <c r="H45" s="552">
        <f>CHOOSE(MATCH('Lists and Mapping'!$C$10,'Lists and Mapping'!$B$3:$B$5,0),'2026 Forecast'!H45,'2027 Forecast'!H45,'2028 Forecast'!H45)</f>
        <v>441.4</v>
      </c>
      <c r="I45" s="552">
        <f>CHOOSE(MATCH('Lists and Mapping'!$C$10,'Lists and Mapping'!$B$3:$B$5,0),'2026 Forecast'!I45,'2027 Forecast'!I45,'2028 Forecast'!I45)</f>
        <v>2.8</v>
      </c>
      <c r="J45" s="553">
        <f>CHOOSE(MATCH('Lists and Mapping'!$C$10,'Lists and Mapping'!$B$3:$B$5,0),'2026 Forecast'!J45,'2027 Forecast'!J45,'2028 Forecast'!J45)</f>
        <v>3.3</v>
      </c>
      <c r="K45" s="553">
        <f>CHOOSE(MATCH('Lists and Mapping'!$C$10,'Lists and Mapping'!$B$3:$B$5,0),'2026 Forecast'!K45,'2027 Forecast'!K45,'2028 Forecast'!K45)</f>
        <v>0</v>
      </c>
      <c r="L45" s="553">
        <f>CHOOSE(MATCH('Lists and Mapping'!$C$10,'Lists and Mapping'!$B$3:$B$5,0),'2026 Forecast'!L45,'2027 Forecast'!L45,'2028 Forecast'!L45)</f>
        <v>0</v>
      </c>
      <c r="M45" s="579">
        <f>CHOOSE(MATCH('Lists and Mapping'!$C$10,'Lists and Mapping'!$B$3:$B$5,0),'2026 Forecast'!M45,'2027 Forecast'!M45,'2028 Forecast'!M45)</f>
        <v>18047352</v>
      </c>
      <c r="N45" s="579">
        <f>CHOOSE(MATCH('Lists and Mapping'!$C$10,'Lists and Mapping'!$B$3:$B$5,0),'2026 Forecast'!N45,'2027 Forecast'!N45,'2028 Forecast'!N45)</f>
        <v>19824</v>
      </c>
      <c r="O45" s="580">
        <f>CHOOSE(MATCH('Lists and Mapping'!$C$10,'Lists and Mapping'!$B$3:$B$5,0),'2026 Forecast'!O45,'2027 Forecast'!O45,'2028 Forecast'!O45)</f>
        <v>18996</v>
      </c>
      <c r="P45" s="556">
        <f>CHOOSE(MATCH('Lists and Mapping'!$C$10,'Lists and Mapping'!$B$3:$B$5,0),'2026 Forecast'!P45,'2027 Forecast'!P45,'2028 Forecast'!P45)</f>
        <v>34.261629599999999</v>
      </c>
      <c r="Q45" s="557">
        <f>CHOOSE(MATCH('Lists and Mapping'!$C$10,'Lists and Mapping'!$B$3:$B$5,0),'2026 Forecast'!Q45,'2027 Forecast'!Q45,'2028 Forecast'!Q45)</f>
        <v>199.70041208432519</v>
      </c>
      <c r="R45" s="557">
        <f>CHOOSE(MATCH('Lists and Mapping'!$C$10,'Lists and Mapping'!$B$3:$B$5,0),'2026 Forecast'!R45,'2027 Forecast'!R45,'2028 Forecast'!R45)</f>
        <v>17.607038771168881</v>
      </c>
      <c r="S45" s="557">
        <f>CHOOSE(MATCH('Lists and Mapping'!$C$10,'Lists and Mapping'!$B$3:$B$5,0),'2026 Forecast'!S45,'2027 Forecast'!S45,'2028 Forecast'!S45)</f>
        <v>0.14187245371763313</v>
      </c>
      <c r="T45" s="557">
        <f>CHOOSE(MATCH('Lists and Mapping'!$C$10,'Lists and Mapping'!$B$3:$B$5,0),'2026 Forecast'!T45,'2027 Forecast'!T45,'2028 Forecast'!T45)</f>
        <v>6.0362250696661082E-2</v>
      </c>
      <c r="U45" s="557">
        <f>CHOOSE(MATCH('Lists and Mapping'!$C$10,'Lists and Mapping'!$B$3:$B$5,0),'2026 Forecast'!U45,'2027 Forecast'!U45,'2028 Forecast'!U45)</f>
        <v>190.42205671296375</v>
      </c>
      <c r="V45" s="558">
        <f>CHOOSE(MATCH('Lists and Mapping'!$C$10,'Lists and Mapping'!$B$3:$B$5,0),'2026 Forecast'!V45,'2027 Forecast'!V45,'2028 Forecast'!V45)</f>
        <v>407.93174227287216</v>
      </c>
      <c r="W45" s="581">
        <f>CHOOSE(MATCH('Lists and Mapping'!$C$10,'Lists and Mapping'!$B$3:$B$5,0),'2026 Forecast'!W45,'2027 Forecast'!W45,'2028 Forecast'!W45)</f>
        <v>144.5345064</v>
      </c>
      <c r="X45" s="563">
        <f>CHOOSE(MATCH('Lists and Mapping'!$C$10,'Lists and Mapping'!$B$3:$B$5,0),'2026 Forecast'!X45,'2027 Forecast'!X45,'2028 Forecast'!X45)</f>
        <v>0.16057440000000001</v>
      </c>
      <c r="Y45" s="563">
        <f>CHOOSE(MATCH('Lists and Mapping'!$C$10,'Lists and Mapping'!$B$3:$B$5,0),'2026 Forecast'!Y45,'2027 Forecast'!Y45,'2028 Forecast'!Y45)</f>
        <v>2.0895600000000004E-2</v>
      </c>
      <c r="Z45" s="582">
        <f>CHOOSE(MATCH('Lists and Mapping'!$C$10,'Lists and Mapping'!$B$3:$B$5,0),'2026 Forecast'!Z45,'2027 Forecast'!Z45,'2028 Forecast'!Z45)</f>
        <v>144.71597639999999</v>
      </c>
      <c r="AA45" s="559">
        <f>CHOOSE(MATCH('Lists and Mapping'!$C$10,'Lists and Mapping'!$B$3:$B$5,0),'2026 Forecast'!AA45,'2027 Forecast'!AA45,'2028 Forecast'!AA45)</f>
        <v>586.90934827287208</v>
      </c>
      <c r="AB45" s="560">
        <f>CHOOSE(MATCH('Lists and Mapping'!$C$10,'Lists and Mapping'!$B$3:$B$5,0),'2026 Forecast'!AB45,'2027 Forecast'!AB45,'2028 Forecast'!AB45)</f>
        <v>840.73441729140029</v>
      </c>
      <c r="AC45" s="560">
        <f>CHOOSE(MATCH('Lists and Mapping'!$C$10,'Lists and Mapping'!$B$3:$B$5,0),'2026 Forecast'!AC45,'2027 Forecast'!AC45,'2028 Forecast'!AC45)</f>
        <v>356.62186338062298</v>
      </c>
      <c r="AD45" s="560">
        <f>CHOOSE(MATCH('Lists and Mapping'!$C$10,'Lists and Mapping'!$B$3:$B$5,0),'2026 Forecast'!AD45,'2027 Forecast'!AD45,'2028 Forecast'!AD45)</f>
        <v>43.71588899999999</v>
      </c>
      <c r="AE45" s="560">
        <f>CHOOSE(MATCH('Lists and Mapping'!$C$10,'Lists and Mapping'!$B$3:$B$5,0),'2026 Forecast'!AE45,'2027 Forecast'!AE45,'2028 Forecast'!AE45)</f>
        <v>89.094965400000007</v>
      </c>
      <c r="AF45" s="559">
        <f>CHOOSE(MATCH('Lists and Mapping'!$C$10,'Lists and Mapping'!$B$3:$B$5,0),'2026 Forecast'!AF45,'2027 Forecast'!AF45,'2028 Forecast'!AF45)</f>
        <v>0.65535686999999987</v>
      </c>
      <c r="AG45" s="561">
        <f>CHOOSE(MATCH('Lists and Mapping'!$C$10,'Lists and Mapping'!$B$3:$B$5,0),'2026 Forecast'!AG45,'2027 Forecast'!AG45,'2028 Forecast'!AG45)</f>
        <v>1917.7318402148953</v>
      </c>
      <c r="AH45" s="562">
        <f>CHOOSE(MATCH('Lists and Mapping'!$C$10,'Lists and Mapping'!$B$3:$B$5,0),'2026 Forecast'!AH45,'2027 Forecast'!AH45,'2028 Forecast'!AH45)</f>
        <v>7.6928335269667221</v>
      </c>
      <c r="AI45" s="562">
        <f>CHOOSE(MATCH('Lists and Mapping'!$C$10,'Lists and Mapping'!$B$3:$B$5,0),'2026 Forecast'!AI45,'2027 Forecast'!AI45,'2028 Forecast'!AI45)</f>
        <v>11.019810694184267</v>
      </c>
      <c r="AJ45" s="562">
        <f>CHOOSE(MATCH('Lists and Mapping'!$C$10,'Lists and Mapping'!$B$3:$B$5,0),'2026 Forecast'!AJ45,'2027 Forecast'!AJ45,'2028 Forecast'!AJ45)</f>
        <v>4.6743720050413922</v>
      </c>
      <c r="AK45" s="563">
        <f>CHOOSE(MATCH('Lists and Mapping'!$C$10,'Lists and Mapping'!$B$3:$B$5,0),'2026 Forecast'!AK45,'2027 Forecast'!AK45,'2028 Forecast'!AK45)</f>
        <v>25.136406226192381</v>
      </c>
      <c r="AL45" s="562">
        <f>CHOOSE(MATCH('Lists and Mapping'!$C$10,'Lists and Mapping'!$B$3:$B$5,0),'2026 Forecast'!AL45,'2027 Forecast'!AL45,'2028 Forecast'!AL45)</f>
        <v>1.1678000000000002</v>
      </c>
      <c r="AM45" s="562">
        <f>CHOOSE(MATCH('Lists and Mapping'!$C$10,'Lists and Mapping'!$B$3:$B$5,0),'2026 Forecast'!AM45,'2027 Forecast'!AM45,'2028 Forecast'!AM45)</f>
        <v>8.5899999999999987E-3</v>
      </c>
      <c r="AN45" s="563">
        <f>CHOOSE(MATCH('Lists and Mapping'!$C$10,'Lists and Mapping'!$B$3:$B$5,0),'2026 Forecast'!AN45,'2027 Forecast'!AN45,'2028 Forecast'!AN45)</f>
        <v>25.136406226192381</v>
      </c>
      <c r="AO45" s="446"/>
      <c r="AP45" s="446"/>
      <c r="AQ45" s="446"/>
      <c r="AR45" s="446"/>
      <c r="AS45" s="446"/>
      <c r="AT45" s="72"/>
      <c r="AU45" s="72"/>
      <c r="AV45" s="72"/>
      <c r="AW45" s="72"/>
      <c r="AX45" s="72"/>
      <c r="AY45" s="72"/>
      <c r="AZ45" s="72"/>
      <c r="BA45" s="72"/>
      <c r="BB45" s="72"/>
    </row>
    <row r="46" spans="2:54" ht="24.75" customHeight="1">
      <c r="C46" s="420" t="s">
        <v>274</v>
      </c>
      <c r="D46" s="452"/>
      <c r="E46" s="583">
        <f>CHOOSE(MATCH('Lists and Mapping'!$C$10,'Lists and Mapping'!$B$3:$B$5,0),'2026 Forecast'!E46,'2027 Forecast'!E46,'2028 Forecast'!E46)</f>
        <v>0</v>
      </c>
      <c r="F46" s="584">
        <f>CHOOSE(MATCH('Lists and Mapping'!$C$10,'Lists and Mapping'!$B$3:$B$5,0),'2026 Forecast'!F46,'2027 Forecast'!F46,'2028 Forecast'!F46)</f>
        <v>0</v>
      </c>
      <c r="G46" s="533">
        <f>CHOOSE(MATCH('Lists and Mapping'!$C$10,'Lists and Mapping'!$B$3:$B$5,0),'2026 Forecast'!G46,'2027 Forecast'!G46,'2028 Forecast'!G46)</f>
        <v>0</v>
      </c>
      <c r="H46" s="533">
        <f>CHOOSE(MATCH('Lists and Mapping'!$C$10,'Lists and Mapping'!$B$3:$B$5,0),'2026 Forecast'!H46,'2027 Forecast'!H46,'2028 Forecast'!H46)</f>
        <v>0</v>
      </c>
      <c r="I46" s="533">
        <f>CHOOSE(MATCH('Lists and Mapping'!$C$10,'Lists and Mapping'!$B$3:$B$5,0),'2026 Forecast'!I46,'2027 Forecast'!I46,'2028 Forecast'!I46)</f>
        <v>0</v>
      </c>
      <c r="J46" s="585">
        <f>CHOOSE(MATCH('Lists and Mapping'!$C$10,'Lists and Mapping'!$B$3:$B$5,0),'2026 Forecast'!J46,'2027 Forecast'!J46,'2028 Forecast'!J46)</f>
        <v>0</v>
      </c>
      <c r="K46" s="585">
        <f>CHOOSE(MATCH('Lists and Mapping'!$C$10,'Lists and Mapping'!$B$3:$B$5,0),'2026 Forecast'!K46,'2027 Forecast'!K46,'2028 Forecast'!K46)</f>
        <v>0</v>
      </c>
      <c r="L46" s="585">
        <f>CHOOSE(MATCH('Lists and Mapping'!$C$10,'Lists and Mapping'!$B$3:$B$5,0),'2026 Forecast'!L46,'2027 Forecast'!L46,'2028 Forecast'!L46)</f>
        <v>0</v>
      </c>
      <c r="M46" s="533">
        <f>CHOOSE(MATCH('Lists and Mapping'!$C$10,'Lists and Mapping'!$B$3:$B$5,0),'2026 Forecast'!M46,'2027 Forecast'!M46,'2028 Forecast'!M46)</f>
        <v>0</v>
      </c>
      <c r="N46" s="533">
        <f>CHOOSE(MATCH('Lists and Mapping'!$C$10,'Lists and Mapping'!$B$3:$B$5,0),'2026 Forecast'!N46,'2027 Forecast'!N46,'2028 Forecast'!N46)</f>
        <v>0</v>
      </c>
      <c r="O46" s="533">
        <f>CHOOSE(MATCH('Lists and Mapping'!$C$10,'Lists and Mapping'!$B$3:$B$5,0),'2026 Forecast'!O46,'2027 Forecast'!O46,'2028 Forecast'!O46)</f>
        <v>0</v>
      </c>
      <c r="P46" s="538">
        <f>CHOOSE(MATCH('Lists and Mapping'!$C$10,'Lists and Mapping'!$B$3:$B$5,0),'2026 Forecast'!P46,'2027 Forecast'!P46,'2028 Forecast'!P46)</f>
        <v>0</v>
      </c>
      <c r="Q46" s="539">
        <f>CHOOSE(MATCH('Lists and Mapping'!$C$10,'Lists and Mapping'!$B$3:$B$5,0),'2026 Forecast'!Q46,'2027 Forecast'!Q46,'2028 Forecast'!Q46)</f>
        <v>0</v>
      </c>
      <c r="R46" s="539">
        <f>CHOOSE(MATCH('Lists and Mapping'!$C$10,'Lists and Mapping'!$B$3:$B$5,0),'2026 Forecast'!R46,'2027 Forecast'!R46,'2028 Forecast'!R46)</f>
        <v>0</v>
      </c>
      <c r="S46" s="539">
        <f>CHOOSE(MATCH('Lists and Mapping'!$C$10,'Lists and Mapping'!$B$3:$B$5,0),'2026 Forecast'!S46,'2027 Forecast'!S46,'2028 Forecast'!S46)</f>
        <v>0</v>
      </c>
      <c r="T46" s="539">
        <f>CHOOSE(MATCH('Lists and Mapping'!$C$10,'Lists and Mapping'!$B$3:$B$5,0),'2026 Forecast'!T46,'2027 Forecast'!T46,'2028 Forecast'!T46)</f>
        <v>0</v>
      </c>
      <c r="U46" s="539">
        <f>CHOOSE(MATCH('Lists and Mapping'!$C$10,'Lists and Mapping'!$B$3:$B$5,0),'2026 Forecast'!U46,'2027 Forecast'!U46,'2028 Forecast'!U46)</f>
        <v>0</v>
      </c>
      <c r="V46" s="540">
        <f>CHOOSE(MATCH('Lists and Mapping'!$C$10,'Lists and Mapping'!$B$3:$B$5,0),'2026 Forecast'!V46,'2027 Forecast'!V46,'2028 Forecast'!V46)</f>
        <v>0</v>
      </c>
      <c r="W46" s="542">
        <f>CHOOSE(MATCH('Lists and Mapping'!$C$10,'Lists and Mapping'!$B$3:$B$5,0),'2026 Forecast'!W46,'2027 Forecast'!W46,'2028 Forecast'!W46)</f>
        <v>0</v>
      </c>
      <c r="X46" s="542">
        <f>CHOOSE(MATCH('Lists and Mapping'!$C$10,'Lists and Mapping'!$B$3:$B$5,0),'2026 Forecast'!X46,'2027 Forecast'!X46,'2028 Forecast'!X46)</f>
        <v>0</v>
      </c>
      <c r="Y46" s="542">
        <f>CHOOSE(MATCH('Lists and Mapping'!$C$10,'Lists and Mapping'!$B$3:$B$5,0),'2026 Forecast'!Y46,'2027 Forecast'!Y46,'2028 Forecast'!Y46)</f>
        <v>0</v>
      </c>
      <c r="Z46" s="540">
        <f>CHOOSE(MATCH('Lists and Mapping'!$C$10,'Lists and Mapping'!$B$3:$B$5,0),'2026 Forecast'!Z46,'2027 Forecast'!Z46,'2028 Forecast'!Z46)</f>
        <v>0</v>
      </c>
      <c r="AA46" s="543">
        <f>CHOOSE(MATCH('Lists and Mapping'!$C$10,'Lists and Mapping'!$B$3:$B$5,0),'2026 Forecast'!AA46,'2027 Forecast'!AA46,'2028 Forecast'!AA46)</f>
        <v>0</v>
      </c>
      <c r="AB46" s="570">
        <f>CHOOSE(MATCH('Lists and Mapping'!$C$10,'Lists and Mapping'!$B$3:$B$5,0),'2026 Forecast'!AB46,'2027 Forecast'!AB46,'2028 Forecast'!AB46)</f>
        <v>0</v>
      </c>
      <c r="AC46" s="570">
        <f>CHOOSE(MATCH('Lists and Mapping'!$C$10,'Lists and Mapping'!$B$3:$B$5,0),'2026 Forecast'!AC46,'2027 Forecast'!AC46,'2028 Forecast'!AC46)</f>
        <v>0</v>
      </c>
      <c r="AD46" s="570">
        <f>CHOOSE(MATCH('Lists and Mapping'!$C$10,'Lists and Mapping'!$B$3:$B$5,0),'2026 Forecast'!AD46,'2027 Forecast'!AD46,'2028 Forecast'!AD46)</f>
        <v>0</v>
      </c>
      <c r="AE46" s="570">
        <f>CHOOSE(MATCH('Lists and Mapping'!$C$10,'Lists and Mapping'!$B$3:$B$5,0),'2026 Forecast'!AE46,'2027 Forecast'!AE46,'2028 Forecast'!AE46)</f>
        <v>0</v>
      </c>
      <c r="AF46" s="543">
        <f>CHOOSE(MATCH('Lists and Mapping'!$C$10,'Lists and Mapping'!$B$3:$B$5,0),'2026 Forecast'!AF46,'2027 Forecast'!AF46,'2028 Forecast'!AF46)</f>
        <v>0</v>
      </c>
      <c r="AG46" s="545">
        <f>CHOOSE(MATCH('Lists and Mapping'!$C$10,'Lists and Mapping'!$B$3:$B$5,0),'2026 Forecast'!AG46,'2027 Forecast'!AG46,'2028 Forecast'!AG46)</f>
        <v>0</v>
      </c>
      <c r="AH46" s="546">
        <f>CHOOSE(MATCH('Lists and Mapping'!$C$10,'Lists and Mapping'!$B$3:$B$5,0),'2026 Forecast'!AH46,'2027 Forecast'!AH46,'2028 Forecast'!AH46)</f>
        <v>0</v>
      </c>
      <c r="AI46" s="571">
        <f>CHOOSE(MATCH('Lists and Mapping'!$C$10,'Lists and Mapping'!$B$3:$B$5,0),'2026 Forecast'!AI46,'2027 Forecast'!AI46,'2028 Forecast'!AI46)</f>
        <v>756.14080068054147</v>
      </c>
      <c r="AJ46" s="546">
        <f>CHOOSE(MATCH('Lists and Mapping'!$C$10,'Lists and Mapping'!$B$3:$B$5,0),'2026 Forecast'!AJ46,'2027 Forecast'!AJ46,'2028 Forecast'!AJ46)</f>
        <v>0</v>
      </c>
      <c r="AK46" s="547">
        <f>CHOOSE(MATCH('Lists and Mapping'!$C$10,'Lists and Mapping'!$B$3:$B$5,0),'2026 Forecast'!AK46,'2027 Forecast'!AK46,'2028 Forecast'!AK46)</f>
        <v>0</v>
      </c>
      <c r="AL46" s="546">
        <f>CHOOSE(MATCH('Lists and Mapping'!$C$10,'Lists and Mapping'!$B$3:$B$5,0),'2026 Forecast'!AL46,'2027 Forecast'!AL46,'2028 Forecast'!AL46)</f>
        <v>0</v>
      </c>
      <c r="AM46" s="546">
        <f>CHOOSE(MATCH('Lists and Mapping'!$C$10,'Lists and Mapping'!$B$3:$B$5,0),'2026 Forecast'!AM46,'2027 Forecast'!AM46,'2028 Forecast'!AM46)</f>
        <v>0</v>
      </c>
      <c r="AN46" s="547">
        <f>CHOOSE(MATCH('Lists and Mapping'!$C$10,'Lists and Mapping'!$B$3:$B$5,0),'2026 Forecast'!AN46,'2027 Forecast'!AN46,'2028 Forecast'!AN46)</f>
        <v>0</v>
      </c>
      <c r="AO46" s="446"/>
      <c r="AP46" s="446"/>
      <c r="AQ46" s="446"/>
      <c r="AR46" s="446"/>
      <c r="AS46" s="446"/>
      <c r="AT46" s="72"/>
      <c r="AU46" s="72"/>
      <c r="AV46" s="72"/>
      <c r="AW46" s="72"/>
      <c r="AX46" s="72"/>
      <c r="AY46" s="72"/>
      <c r="AZ46" s="72"/>
      <c r="BA46" s="72"/>
      <c r="BB46" s="72"/>
    </row>
    <row r="47" spans="2:54">
      <c r="B47" s="529" t="s">
        <v>10</v>
      </c>
      <c r="C47" s="452" t="s">
        <v>253</v>
      </c>
      <c r="D47" s="530" t="s">
        <v>275</v>
      </c>
      <c r="E47" s="531">
        <f>CHOOSE(MATCH('Lists and Mapping'!$C$10,'Lists and Mapping'!$B$3:$B$5,0),'2026 Forecast'!E47,'2027 Forecast'!E47,'2028 Forecast'!E47)</f>
        <v>113</v>
      </c>
      <c r="F47" s="565">
        <f>CHOOSE(MATCH('Lists and Mapping'!$C$10,'Lists and Mapping'!$B$3:$B$5,0),'2026 Forecast'!F47,'2027 Forecast'!F47,'2028 Forecast'!F47)</f>
        <v>3.4</v>
      </c>
      <c r="G47" s="533">
        <f>CHOOSE(MATCH('Lists and Mapping'!$C$10,'Lists and Mapping'!$B$3:$B$5,0),'2026 Forecast'!G47,'2027 Forecast'!G47,'2028 Forecast'!G47)</f>
        <v>0</v>
      </c>
      <c r="H47" s="533">
        <f>CHOOSE(MATCH('Lists and Mapping'!$C$10,'Lists and Mapping'!$B$3:$B$5,0),'2026 Forecast'!H47,'2027 Forecast'!H47,'2028 Forecast'!H47)</f>
        <v>0</v>
      </c>
      <c r="I47" s="533">
        <f>CHOOSE(MATCH('Lists and Mapping'!$C$10,'Lists and Mapping'!$B$3:$B$5,0),'2026 Forecast'!I47,'2027 Forecast'!I47,'2028 Forecast'!I47)</f>
        <v>0</v>
      </c>
      <c r="J47" s="535">
        <f>CHOOSE(MATCH('Lists and Mapping'!$C$10,'Lists and Mapping'!$B$3:$B$5,0),'2026 Forecast'!J47,'2027 Forecast'!J47,'2028 Forecast'!J47)</f>
        <v>0</v>
      </c>
      <c r="K47" s="535">
        <f>CHOOSE(MATCH('Lists and Mapping'!$C$10,'Lists and Mapping'!$B$3:$B$5,0),'2026 Forecast'!K47,'2027 Forecast'!K47,'2028 Forecast'!K47)</f>
        <v>0</v>
      </c>
      <c r="L47" s="535">
        <f>CHOOSE(MATCH('Lists and Mapping'!$C$10,'Lists and Mapping'!$B$3:$B$5,0),'2026 Forecast'!L47,'2027 Forecast'!L47,'2028 Forecast'!L47)</f>
        <v>0</v>
      </c>
      <c r="M47" s="430">
        <f>CHOOSE(MATCH('Lists and Mapping'!$C$10,'Lists and Mapping'!$B$3:$B$5,0),'2026 Forecast'!M47,'2027 Forecast'!M47,'2028 Forecast'!M47)</f>
        <v>0</v>
      </c>
      <c r="N47" s="533">
        <f>CHOOSE(MATCH('Lists and Mapping'!$C$10,'Lists and Mapping'!$B$3:$B$5,0),'2026 Forecast'!N47,'2027 Forecast'!N47,'2028 Forecast'!N47)</f>
        <v>0</v>
      </c>
      <c r="O47" s="533">
        <f>CHOOSE(MATCH('Lists and Mapping'!$C$10,'Lists and Mapping'!$B$3:$B$5,0),'2026 Forecast'!O47,'2027 Forecast'!O47,'2028 Forecast'!O47)</f>
        <v>0</v>
      </c>
      <c r="P47" s="538">
        <f>CHOOSE(MATCH('Lists and Mapping'!$C$10,'Lists and Mapping'!$B$3:$B$5,0),'2026 Forecast'!P47,'2027 Forecast'!P47,'2028 Forecast'!P47)</f>
        <v>6.7799999999999996E-3</v>
      </c>
      <c r="Q47" s="539">
        <f>CHOOSE(MATCH('Lists and Mapping'!$C$10,'Lists and Mapping'!$B$3:$B$5,0),'2026 Forecast'!Q47,'2027 Forecast'!Q47,'2028 Forecast'!Q47)</f>
        <v>0</v>
      </c>
      <c r="R47" s="539">
        <f>CHOOSE(MATCH('Lists and Mapping'!$C$10,'Lists and Mapping'!$B$3:$B$5,0),'2026 Forecast'!R47,'2027 Forecast'!R47,'2028 Forecast'!R47)</f>
        <v>0</v>
      </c>
      <c r="S47" s="539">
        <f>CHOOSE(MATCH('Lists and Mapping'!$C$10,'Lists and Mapping'!$B$3:$B$5,0),'2026 Forecast'!S47,'2027 Forecast'!S47,'2028 Forecast'!S47)</f>
        <v>0</v>
      </c>
      <c r="T47" s="539">
        <f>CHOOSE(MATCH('Lists and Mapping'!$C$10,'Lists and Mapping'!$B$3:$B$5,0),'2026 Forecast'!T47,'2027 Forecast'!T47,'2028 Forecast'!T47)</f>
        <v>0</v>
      </c>
      <c r="U47" s="539">
        <f>CHOOSE(MATCH('Lists and Mapping'!$C$10,'Lists and Mapping'!$B$3:$B$5,0),'2026 Forecast'!U47,'2027 Forecast'!U47,'2028 Forecast'!U47)</f>
        <v>0.31449282258176003</v>
      </c>
      <c r="V47" s="540">
        <f>CHOOSE(MATCH('Lists and Mapping'!$C$10,'Lists and Mapping'!$B$3:$B$5,0),'2026 Forecast'!V47,'2027 Forecast'!V47,'2028 Forecast'!V47)</f>
        <v>0.31449282258176003</v>
      </c>
      <c r="W47" s="542">
        <f>CHOOSE(MATCH('Lists and Mapping'!$C$10,'Lists and Mapping'!$B$3:$B$5,0),'2026 Forecast'!W47,'2027 Forecast'!W47,'2028 Forecast'!W47)</f>
        <v>0</v>
      </c>
      <c r="X47" s="542">
        <f>CHOOSE(MATCH('Lists and Mapping'!$C$10,'Lists and Mapping'!$B$3:$B$5,0),'2026 Forecast'!X47,'2027 Forecast'!X47,'2028 Forecast'!X47)</f>
        <v>0</v>
      </c>
      <c r="Y47" s="542">
        <f>CHOOSE(MATCH('Lists and Mapping'!$C$10,'Lists and Mapping'!$B$3:$B$5,0),'2026 Forecast'!Y47,'2027 Forecast'!Y47,'2028 Forecast'!Y47)</f>
        <v>0</v>
      </c>
      <c r="Z47" s="540">
        <f>CHOOSE(MATCH('Lists and Mapping'!$C$10,'Lists and Mapping'!$B$3:$B$5,0),'2026 Forecast'!Z47,'2027 Forecast'!Z47,'2028 Forecast'!Z47)</f>
        <v>0</v>
      </c>
      <c r="AA47" s="543">
        <f>CHOOSE(MATCH('Lists and Mapping'!$C$10,'Lists and Mapping'!$B$3:$B$5,0),'2026 Forecast'!AA47,'2027 Forecast'!AA47,'2028 Forecast'!AA47)</f>
        <v>0.32127282258176004</v>
      </c>
      <c r="AB47" s="570">
        <f>CHOOSE(MATCH('Lists and Mapping'!$C$10,'Lists and Mapping'!$B$3:$B$5,0),'2026 Forecast'!AB47,'2027 Forecast'!AB47,'2028 Forecast'!AB47)</f>
        <v>0.37467356360226511</v>
      </c>
      <c r="AC47" s="570">
        <f>CHOOSE(MATCH('Lists and Mapping'!$C$10,'Lists and Mapping'!$B$3:$B$5,0),'2026 Forecast'!AC47,'2027 Forecast'!AC47,'2028 Forecast'!AC47)</f>
        <v>0.15892864817140734</v>
      </c>
      <c r="AD47" s="570">
        <f>CHOOSE(MATCH('Lists and Mapping'!$C$10,'Lists and Mapping'!$B$3:$B$5,0),'2026 Forecast'!AD47,'2027 Forecast'!AD47,'2028 Forecast'!AD47)</f>
        <v>1.9481999999999999E-2</v>
      </c>
      <c r="AE47" s="570">
        <f>CHOOSE(MATCH('Lists and Mapping'!$C$10,'Lists and Mapping'!$B$3:$B$5,0),'2026 Forecast'!AE47,'2027 Forecast'!AE47,'2028 Forecast'!AE47)</f>
        <v>3.9705200000000003E-2</v>
      </c>
      <c r="AF47" s="543">
        <f>CHOOSE(MATCH('Lists and Mapping'!$C$10,'Lists and Mapping'!$B$3:$B$5,0),'2026 Forecast'!AF47,'2027 Forecast'!AF47,'2028 Forecast'!AF47)</f>
        <v>2.9205999999999997E-4</v>
      </c>
      <c r="AG47" s="545">
        <f>CHOOSE(MATCH('Lists and Mapping'!$C$10,'Lists and Mapping'!$B$3:$B$5,0),'2026 Forecast'!AG47,'2027 Forecast'!AG47,'2028 Forecast'!AG47)</f>
        <v>0.91435429435543247</v>
      </c>
      <c r="AH47" s="546">
        <f>CHOOSE(MATCH('Lists and Mapping'!$C$10,'Lists and Mapping'!$B$3:$B$5,0),'2026 Forecast'!AH47,'2027 Forecast'!AH47,'2028 Forecast'!AH47)</f>
        <v>9.449200664169414</v>
      </c>
      <c r="AI47" s="546">
        <f>CHOOSE(MATCH('Lists and Mapping'!$C$10,'Lists and Mapping'!$B$3:$B$5,0),'2026 Forecast'!AI47,'2027 Forecast'!AI47,'2028 Forecast'!AI47)</f>
        <v>11.019810694184267</v>
      </c>
      <c r="AJ47" s="546">
        <f>CHOOSE(MATCH('Lists and Mapping'!$C$10,'Lists and Mapping'!$B$3:$B$5,0),'2026 Forecast'!AJ47,'2027 Forecast'!AJ47,'2028 Forecast'!AJ47)</f>
        <v>4.6743720050413922</v>
      </c>
      <c r="AK47" s="547">
        <f>CHOOSE(MATCH('Lists and Mapping'!$C$10,'Lists and Mapping'!$B$3:$B$5,0),'2026 Forecast'!AK47,'2027 Forecast'!AK47,'2028 Forecast'!AK47)</f>
        <v>26.892773363395072</v>
      </c>
      <c r="AL47" s="546">
        <f>CHOOSE(MATCH('Lists and Mapping'!$C$10,'Lists and Mapping'!$B$3:$B$5,0),'2026 Forecast'!AL47,'2027 Forecast'!AL47,'2028 Forecast'!AL47)</f>
        <v>1.1678000000000002</v>
      </c>
      <c r="AM47" s="546">
        <f>CHOOSE(MATCH('Lists and Mapping'!$C$10,'Lists and Mapping'!$B$3:$B$5,0),'2026 Forecast'!AM47,'2027 Forecast'!AM47,'2028 Forecast'!AM47)</f>
        <v>8.5899999999999987E-3</v>
      </c>
      <c r="AN47" s="547">
        <f>CHOOSE(MATCH('Lists and Mapping'!$C$10,'Lists and Mapping'!$B$3:$B$5,0),'2026 Forecast'!AN47,'2027 Forecast'!AN47,'2028 Forecast'!AN47)</f>
        <v>26.892773363395072</v>
      </c>
      <c r="AO47" s="446"/>
      <c r="AP47" s="446"/>
      <c r="AQ47" s="446"/>
      <c r="AR47" s="446"/>
      <c r="AS47" s="446"/>
      <c r="AT47" s="72"/>
      <c r="AU47" s="72"/>
      <c r="AV47" s="72"/>
      <c r="AW47" s="72"/>
      <c r="AX47" s="72"/>
      <c r="AY47" s="72"/>
      <c r="AZ47" s="72"/>
      <c r="BA47" s="72"/>
      <c r="BB47" s="72"/>
    </row>
    <row r="48" spans="2:54">
      <c r="B48" s="529" t="s">
        <v>12</v>
      </c>
      <c r="C48" s="452" t="s">
        <v>269</v>
      </c>
      <c r="D48" s="530" t="s">
        <v>276</v>
      </c>
      <c r="E48" s="531">
        <f>CHOOSE(MATCH('Lists and Mapping'!$C$10,'Lists and Mapping'!$B$3:$B$5,0),'2026 Forecast'!E48,'2027 Forecast'!E48,'2028 Forecast'!E48)</f>
        <v>230</v>
      </c>
      <c r="F48" s="565">
        <f>CHOOSE(MATCH('Lists and Mapping'!$C$10,'Lists and Mapping'!$B$3:$B$5,0),'2026 Forecast'!F48,'2027 Forecast'!F48,'2028 Forecast'!F48)</f>
        <v>101.8</v>
      </c>
      <c r="G48" s="533">
        <f>CHOOSE(MATCH('Lists and Mapping'!$C$10,'Lists and Mapping'!$B$3:$B$5,0),'2026 Forecast'!G48,'2027 Forecast'!G48,'2028 Forecast'!G48)</f>
        <v>101.8</v>
      </c>
      <c r="H48" s="533">
        <f>CHOOSE(MATCH('Lists and Mapping'!$C$10,'Lists and Mapping'!$B$3:$B$5,0),'2026 Forecast'!H48,'2027 Forecast'!H48,'2028 Forecast'!H48)</f>
        <v>0</v>
      </c>
      <c r="I48" s="533">
        <f>CHOOSE(MATCH('Lists and Mapping'!$C$10,'Lists and Mapping'!$B$3:$B$5,0),'2026 Forecast'!I48,'2027 Forecast'!I48,'2028 Forecast'!I48)</f>
        <v>0</v>
      </c>
      <c r="J48" s="535">
        <f>CHOOSE(MATCH('Lists and Mapping'!$C$10,'Lists and Mapping'!$B$3:$B$5,0),'2026 Forecast'!J48,'2027 Forecast'!J48,'2028 Forecast'!J48)</f>
        <v>0</v>
      </c>
      <c r="K48" s="535">
        <f>CHOOSE(MATCH('Lists and Mapping'!$C$10,'Lists and Mapping'!$B$3:$B$5,0),'2026 Forecast'!K48,'2027 Forecast'!K48,'2028 Forecast'!K48)</f>
        <v>0</v>
      </c>
      <c r="L48" s="574">
        <f>CHOOSE(MATCH('Lists and Mapping'!$C$10,'Lists and Mapping'!$B$3:$B$5,0),'2026 Forecast'!L48,'2027 Forecast'!L48,'2028 Forecast'!L48)</f>
        <v>447036</v>
      </c>
      <c r="M48" s="586">
        <f>CHOOSE(MATCH('Lists and Mapping'!$C$10,'Lists and Mapping'!$B$3:$B$5,0),'2026 Forecast'!M48,'2027 Forecast'!M48,'2028 Forecast'!M48)</f>
        <v>447036</v>
      </c>
      <c r="N48" s="533">
        <f>CHOOSE(MATCH('Lists and Mapping'!$C$10,'Lists and Mapping'!$B$3:$B$5,0),'2026 Forecast'!N48,'2027 Forecast'!N48,'2028 Forecast'!N48)</f>
        <v>0</v>
      </c>
      <c r="O48" s="533">
        <f>CHOOSE(MATCH('Lists and Mapping'!$C$10,'Lists and Mapping'!$B$3:$B$5,0),'2026 Forecast'!O48,'2027 Forecast'!O48,'2028 Forecast'!O48)</f>
        <v>0</v>
      </c>
      <c r="P48" s="538">
        <f>CHOOSE(MATCH('Lists and Mapping'!$C$10,'Lists and Mapping'!$B$3:$B$5,0),'2026 Forecast'!P48,'2027 Forecast'!P48,'2028 Forecast'!P48)</f>
        <v>0.57120000000000004</v>
      </c>
      <c r="Q48" s="539">
        <f>CHOOSE(MATCH('Lists and Mapping'!$C$10,'Lists and Mapping'!$B$3:$B$5,0),'2026 Forecast'!Q48,'2027 Forecast'!Q48,'2028 Forecast'!Q48)</f>
        <v>4.9368317616366975</v>
      </c>
      <c r="R48" s="539">
        <f>CHOOSE(MATCH('Lists and Mapping'!$C$10,'Lists and Mapping'!$B$3:$B$5,0),'2026 Forecast'!R48,'2027 Forecast'!R48,'2028 Forecast'!R48)</f>
        <v>0</v>
      </c>
      <c r="S48" s="539">
        <f>CHOOSE(MATCH('Lists and Mapping'!$C$10,'Lists and Mapping'!$B$3:$B$5,0),'2026 Forecast'!S48,'2027 Forecast'!S48,'2028 Forecast'!S48)</f>
        <v>0</v>
      </c>
      <c r="T48" s="539">
        <f>CHOOSE(MATCH('Lists and Mapping'!$C$10,'Lists and Mapping'!$B$3:$B$5,0),'2026 Forecast'!T48,'2027 Forecast'!T48,'2028 Forecast'!T48)</f>
        <v>0</v>
      </c>
      <c r="U48" s="539">
        <f>CHOOSE(MATCH('Lists and Mapping'!$C$10,'Lists and Mapping'!$B$3:$B$5,0),'2026 Forecast'!U48,'2027 Forecast'!U48,'2028 Forecast'!U48)</f>
        <v>0</v>
      </c>
      <c r="V48" s="540">
        <f>CHOOSE(MATCH('Lists and Mapping'!$C$10,'Lists and Mapping'!$B$3:$B$5,0),'2026 Forecast'!V48,'2027 Forecast'!V48,'2028 Forecast'!V48)</f>
        <v>4.9368317616366975</v>
      </c>
      <c r="W48" s="539">
        <f>CHOOSE(MATCH('Lists and Mapping'!$C$10,'Lists and Mapping'!$B$3:$B$5,0),'2026 Forecast'!W48,'2027 Forecast'!W48,'2028 Forecast'!W48)</f>
        <v>3.7258626239999999</v>
      </c>
      <c r="X48" s="542">
        <f>CHOOSE(MATCH('Lists and Mapping'!$C$10,'Lists and Mapping'!$B$3:$B$5,0),'2026 Forecast'!X48,'2027 Forecast'!X48,'2028 Forecast'!X48)</f>
        <v>0</v>
      </c>
      <c r="Y48" s="542">
        <f>CHOOSE(MATCH('Lists and Mapping'!$C$10,'Lists and Mapping'!$B$3:$B$5,0),'2026 Forecast'!Y48,'2027 Forecast'!Y48,'2028 Forecast'!Y48)</f>
        <v>0</v>
      </c>
      <c r="Z48" s="540">
        <f>CHOOSE(MATCH('Lists and Mapping'!$C$10,'Lists and Mapping'!$B$3:$B$5,0),'2026 Forecast'!Z48,'2027 Forecast'!Z48,'2028 Forecast'!Z48)</f>
        <v>3.7258626239999999</v>
      </c>
      <c r="AA48" s="543">
        <f>CHOOSE(MATCH('Lists and Mapping'!$C$10,'Lists and Mapping'!$B$3:$B$5,0),'2026 Forecast'!AA48,'2027 Forecast'!AA48,'2028 Forecast'!AA48)</f>
        <v>9.2338943856366971</v>
      </c>
      <c r="AB48" s="570">
        <f>CHOOSE(MATCH('Lists and Mapping'!$C$10,'Lists and Mapping'!$B$3:$B$5,0),'2026 Forecast'!AB48,'2027 Forecast'!AB48,'2028 Forecast'!AB48)</f>
        <v>11.218167286679586</v>
      </c>
      <c r="AC48" s="570">
        <f>CHOOSE(MATCH('Lists and Mapping'!$C$10,'Lists and Mapping'!$B$3:$B$5,0),'2026 Forecast'!AC48,'2027 Forecast'!AC48,'2028 Forecast'!AC48)</f>
        <v>4.7585107011321375</v>
      </c>
      <c r="AD48" s="570">
        <f>CHOOSE(MATCH('Lists and Mapping'!$C$10,'Lists and Mapping'!$B$3:$B$5,0),'2026 Forecast'!AD48,'2027 Forecast'!AD48,'2028 Forecast'!AD48)</f>
        <v>0.583314</v>
      </c>
      <c r="AE48" s="570">
        <f>CHOOSE(MATCH('Lists and Mapping'!$C$10,'Lists and Mapping'!$B$3:$B$5,0),'2026 Forecast'!AE48,'2027 Forecast'!AE48,'2028 Forecast'!AE48)</f>
        <v>1.1888204</v>
      </c>
      <c r="AF48" s="543">
        <f>CHOOSE(MATCH('Lists and Mapping'!$C$10,'Lists and Mapping'!$B$3:$B$5,0),'2026 Forecast'!AF48,'2027 Forecast'!AF48,'2028 Forecast'!AF48)</f>
        <v>8.7446199999999981E-3</v>
      </c>
      <c r="AG48" s="545">
        <f>CHOOSE(MATCH('Lists and Mapping'!$C$10,'Lists and Mapping'!$B$3:$B$5,0),'2026 Forecast'!AG48,'2027 Forecast'!AG48,'2028 Forecast'!AG48)</f>
        <v>26.991451393448418</v>
      </c>
      <c r="AH48" s="546">
        <f>CHOOSE(MATCH('Lists and Mapping'!$C$10,'Lists and Mapping'!$B$3:$B$5,0),'2026 Forecast'!AH48,'2027 Forecast'!AH48,'2028 Forecast'!AH48)</f>
        <v>9.0706231686018644</v>
      </c>
      <c r="AI48" s="546">
        <f>CHOOSE(MATCH('Lists and Mapping'!$C$10,'Lists and Mapping'!$B$3:$B$5,0),'2026 Forecast'!AI48,'2027 Forecast'!AI48,'2028 Forecast'!AI48)</f>
        <v>11.019810694184269</v>
      </c>
      <c r="AJ48" s="546">
        <f>CHOOSE(MATCH('Lists and Mapping'!$C$10,'Lists and Mapping'!$B$3:$B$5,0),'2026 Forecast'!AJ48,'2027 Forecast'!AJ48,'2028 Forecast'!AJ48)</f>
        <v>4.6743720050413922</v>
      </c>
      <c r="AK48" s="547">
        <f>CHOOSE(MATCH('Lists and Mapping'!$C$10,'Lists and Mapping'!$B$3:$B$5,0),'2026 Forecast'!AK48,'2027 Forecast'!AK48,'2028 Forecast'!AK48)</f>
        <v>26.514195867827521</v>
      </c>
      <c r="AL48" s="546">
        <f>CHOOSE(MATCH('Lists and Mapping'!$C$10,'Lists and Mapping'!$B$3:$B$5,0),'2026 Forecast'!AL48,'2027 Forecast'!AL48,'2028 Forecast'!AL48)</f>
        <v>1.1678000000000002</v>
      </c>
      <c r="AM48" s="546">
        <f>CHOOSE(MATCH('Lists and Mapping'!$C$10,'Lists and Mapping'!$B$3:$B$5,0),'2026 Forecast'!AM48,'2027 Forecast'!AM48,'2028 Forecast'!AM48)</f>
        <v>8.5899999999999987E-3</v>
      </c>
      <c r="AN48" s="547">
        <f>CHOOSE(MATCH('Lists and Mapping'!$C$10,'Lists and Mapping'!$B$3:$B$5,0),'2026 Forecast'!AN48,'2027 Forecast'!AN48,'2028 Forecast'!AN48)</f>
        <v>26.514195867827521</v>
      </c>
      <c r="AO48" s="446"/>
      <c r="AQ48" s="446"/>
      <c r="AR48" s="446"/>
      <c r="AS48" s="446"/>
      <c r="AT48" s="72"/>
      <c r="AU48" s="72"/>
      <c r="AV48" s="72"/>
      <c r="AW48" s="72"/>
      <c r="AX48" s="72"/>
      <c r="AY48" s="72"/>
      <c r="AZ48" s="72"/>
      <c r="BA48" s="72"/>
      <c r="BB48" s="72"/>
    </row>
    <row r="49" spans="2:54">
      <c r="B49" s="529" t="s">
        <v>13</v>
      </c>
      <c r="C49" s="452" t="s">
        <v>271</v>
      </c>
      <c r="D49" s="530" t="s">
        <v>277</v>
      </c>
      <c r="E49" s="531">
        <f>CHOOSE(MATCH('Lists and Mapping'!$C$10,'Lists and Mapping'!$B$3:$B$5,0),'2026 Forecast'!E49,'2027 Forecast'!E49,'2028 Forecast'!E49)</f>
        <v>215</v>
      </c>
      <c r="F49" s="565">
        <f>CHOOSE(MATCH('Lists and Mapping'!$C$10,'Lists and Mapping'!$B$3:$B$5,0),'2026 Forecast'!F49,'2027 Forecast'!F49,'2028 Forecast'!F49)</f>
        <v>908</v>
      </c>
      <c r="G49" s="533">
        <f>CHOOSE(MATCH('Lists and Mapping'!$C$10,'Lists and Mapping'!$B$3:$B$5,0),'2026 Forecast'!G49,'2027 Forecast'!G49,'2028 Forecast'!G49)</f>
        <v>856.8</v>
      </c>
      <c r="H49" s="533">
        <f>CHOOSE(MATCH('Lists and Mapping'!$C$10,'Lists and Mapping'!$B$3:$B$5,0),'2026 Forecast'!H49,'2027 Forecast'!H49,'2028 Forecast'!H49)</f>
        <v>51.2</v>
      </c>
      <c r="I49" s="533">
        <f>CHOOSE(MATCH('Lists and Mapping'!$C$10,'Lists and Mapping'!$B$3:$B$5,0),'2026 Forecast'!I49,'2027 Forecast'!I49,'2028 Forecast'!I49)</f>
        <v>0</v>
      </c>
      <c r="J49" s="535">
        <f>CHOOSE(MATCH('Lists and Mapping'!$C$10,'Lists and Mapping'!$B$3:$B$5,0),'2026 Forecast'!J49,'2027 Forecast'!J49,'2028 Forecast'!J49)</f>
        <v>0</v>
      </c>
      <c r="K49" s="535">
        <f>CHOOSE(MATCH('Lists and Mapping'!$C$10,'Lists and Mapping'!$B$3:$B$5,0),'2026 Forecast'!K49,'2027 Forecast'!K49,'2028 Forecast'!K49)</f>
        <v>0</v>
      </c>
      <c r="L49" s="574">
        <f>CHOOSE(MATCH('Lists and Mapping'!$C$10,'Lists and Mapping'!$B$3:$B$5,0),'2026 Forecast'!L49,'2027 Forecast'!L49,'2028 Forecast'!L49)</f>
        <v>2856084</v>
      </c>
      <c r="M49" s="586">
        <f>CHOOSE(MATCH('Lists and Mapping'!$C$10,'Lists and Mapping'!$B$3:$B$5,0),'2026 Forecast'!M49,'2027 Forecast'!M49,'2028 Forecast'!M49)</f>
        <v>2856084</v>
      </c>
      <c r="N49" s="533">
        <f>CHOOSE(MATCH('Lists and Mapping'!$C$10,'Lists and Mapping'!$B$3:$B$5,0),'2026 Forecast'!N49,'2027 Forecast'!N49,'2028 Forecast'!N49)</f>
        <v>0</v>
      </c>
      <c r="O49" s="533">
        <f>CHOOSE(MATCH('Lists and Mapping'!$C$10,'Lists and Mapping'!$B$3:$B$5,0),'2026 Forecast'!O49,'2027 Forecast'!O49,'2028 Forecast'!O49)</f>
        <v>0</v>
      </c>
      <c r="P49" s="538">
        <f>CHOOSE(MATCH('Lists and Mapping'!$C$10,'Lists and Mapping'!$B$3:$B$5,0),'2026 Forecast'!P49,'2027 Forecast'!P49,'2028 Forecast'!P49)</f>
        <v>1.1448</v>
      </c>
      <c r="Q49" s="539">
        <f>CHOOSE(MATCH('Lists and Mapping'!$C$10,'Lists and Mapping'!$B$3:$B$5,0),'2026 Forecast'!Q49,'2027 Forecast'!Q49,'2028 Forecast'!Q49)</f>
        <v>28.688572512</v>
      </c>
      <c r="R49" s="539">
        <f>CHOOSE(MATCH('Lists and Mapping'!$C$10,'Lists and Mapping'!$B$3:$B$5,0),'2026 Forecast'!R49,'2027 Forecast'!R49,'2028 Forecast'!R49)</f>
        <v>10.916851443476927</v>
      </c>
      <c r="S49" s="539">
        <f>CHOOSE(MATCH('Lists and Mapping'!$C$10,'Lists and Mapping'!$B$3:$B$5,0),'2026 Forecast'!S49,'2027 Forecast'!S49,'2028 Forecast'!S49)</f>
        <v>0</v>
      </c>
      <c r="T49" s="539">
        <f>CHOOSE(MATCH('Lists and Mapping'!$C$10,'Lists and Mapping'!$B$3:$B$5,0),'2026 Forecast'!T49,'2027 Forecast'!T49,'2028 Forecast'!T49)</f>
        <v>0</v>
      </c>
      <c r="U49" s="539">
        <f>CHOOSE(MATCH('Lists and Mapping'!$C$10,'Lists and Mapping'!$B$3:$B$5,0),'2026 Forecast'!U49,'2027 Forecast'!U49,'2028 Forecast'!U49)</f>
        <v>0</v>
      </c>
      <c r="V49" s="540">
        <f>CHOOSE(MATCH('Lists and Mapping'!$C$10,'Lists and Mapping'!$B$3:$B$5,0),'2026 Forecast'!V49,'2027 Forecast'!V49,'2028 Forecast'!V49)</f>
        <v>39.60542395547693</v>
      </c>
      <c r="W49" s="539">
        <f>CHOOSE(MATCH('Lists and Mapping'!$C$10,'Lists and Mapping'!$B$3:$B$5,0),'2026 Forecast'!W49,'2027 Forecast'!W49,'2028 Forecast'!W49)</f>
        <v>22.227358692000003</v>
      </c>
      <c r="X49" s="542">
        <f>CHOOSE(MATCH('Lists and Mapping'!$C$10,'Lists and Mapping'!$B$3:$B$5,0),'2026 Forecast'!X49,'2027 Forecast'!X49,'2028 Forecast'!X49)</f>
        <v>0</v>
      </c>
      <c r="Y49" s="542">
        <f>CHOOSE(MATCH('Lists and Mapping'!$C$10,'Lists and Mapping'!$B$3:$B$5,0),'2026 Forecast'!Y49,'2027 Forecast'!Y49,'2028 Forecast'!Y49)</f>
        <v>0</v>
      </c>
      <c r="Z49" s="540">
        <f>CHOOSE(MATCH('Lists and Mapping'!$C$10,'Lists and Mapping'!$B$3:$B$5,0),'2026 Forecast'!Z49,'2027 Forecast'!Z49,'2028 Forecast'!Z49)</f>
        <v>22.227358692000003</v>
      </c>
      <c r="AA49" s="543">
        <f>CHOOSE(MATCH('Lists and Mapping'!$C$10,'Lists and Mapping'!$B$3:$B$5,0),'2026 Forecast'!AA49,'2027 Forecast'!AA49,'2028 Forecast'!AA49)</f>
        <v>62.977582647476936</v>
      </c>
      <c r="AB49" s="570">
        <f>CHOOSE(MATCH('Lists and Mapping'!$C$10,'Lists and Mapping'!$B$3:$B$5,0),'2026 Forecast'!AB49,'2027 Forecast'!AB49,'2028 Forecast'!AB49)</f>
        <v>100.05988110319316</v>
      </c>
      <c r="AC49" s="570">
        <f>CHOOSE(MATCH('Lists and Mapping'!$C$10,'Lists and Mapping'!$B$3:$B$5,0),'2026 Forecast'!AC49,'2027 Forecast'!AC49,'2028 Forecast'!AC49)</f>
        <v>42.443297805775842</v>
      </c>
      <c r="AD49" s="570">
        <f>CHOOSE(MATCH('Lists and Mapping'!$C$10,'Lists and Mapping'!$B$3:$B$5,0),'2026 Forecast'!AD49,'2027 Forecast'!AD49,'2028 Forecast'!AD49)</f>
        <v>5.2028400000000001</v>
      </c>
      <c r="AE49" s="570">
        <f>CHOOSE(MATCH('Lists and Mapping'!$C$10,'Lists and Mapping'!$B$3:$B$5,0),'2026 Forecast'!AE49,'2027 Forecast'!AE49,'2028 Forecast'!AE49)</f>
        <v>10.603624</v>
      </c>
      <c r="AF49" s="543">
        <f>CHOOSE(MATCH('Lists and Mapping'!$C$10,'Lists and Mapping'!$B$3:$B$5,0),'2026 Forecast'!AF49,'2027 Forecast'!AF49,'2028 Forecast'!AF49)</f>
        <v>7.7997199999999989E-2</v>
      </c>
      <c r="AG49" s="545">
        <f>CHOOSE(MATCH('Lists and Mapping'!$C$10,'Lists and Mapping'!$B$3:$B$5,0),'2026 Forecast'!AG49,'2027 Forecast'!AG49,'2028 Forecast'!AG49)</f>
        <v>221.36522275644595</v>
      </c>
      <c r="AH49" s="546">
        <f>CHOOSE(MATCH('Lists and Mapping'!$C$10,'Lists and Mapping'!$B$3:$B$5,0),'2026 Forecast'!AH49,'2027 Forecast'!AH49,'2028 Forecast'!AH49)</f>
        <v>6.9358571197661822</v>
      </c>
      <c r="AI49" s="546">
        <f>CHOOSE(MATCH('Lists and Mapping'!$C$10,'Lists and Mapping'!$B$3:$B$5,0),'2026 Forecast'!AI49,'2027 Forecast'!AI49,'2028 Forecast'!AI49)</f>
        <v>11.019810694184269</v>
      </c>
      <c r="AJ49" s="546">
        <f>CHOOSE(MATCH('Lists and Mapping'!$C$10,'Lists and Mapping'!$B$3:$B$5,0),'2026 Forecast'!AJ49,'2027 Forecast'!AJ49,'2028 Forecast'!AJ49)</f>
        <v>4.6743720050413922</v>
      </c>
      <c r="AK49" s="547">
        <f>CHOOSE(MATCH('Lists and Mapping'!$C$10,'Lists and Mapping'!$B$3:$B$5,0),'2026 Forecast'!AK49,'2027 Forecast'!AK49,'2028 Forecast'!AK49)</f>
        <v>24.379429818991845</v>
      </c>
      <c r="AL49" s="546">
        <f>CHOOSE(MATCH('Lists and Mapping'!$C$10,'Lists and Mapping'!$B$3:$B$5,0),'2026 Forecast'!AL49,'2027 Forecast'!AL49,'2028 Forecast'!AL49)</f>
        <v>1.1677999999999999</v>
      </c>
      <c r="AM49" s="546">
        <f>CHOOSE(MATCH('Lists and Mapping'!$C$10,'Lists and Mapping'!$B$3:$B$5,0),'2026 Forecast'!AM49,'2027 Forecast'!AM49,'2028 Forecast'!AM49)</f>
        <v>8.5899999999999987E-3</v>
      </c>
      <c r="AN49" s="547">
        <f>CHOOSE(MATCH('Lists and Mapping'!$C$10,'Lists and Mapping'!$B$3:$B$5,0),'2026 Forecast'!AN49,'2027 Forecast'!AN49,'2028 Forecast'!AN49)</f>
        <v>24.379429818991845</v>
      </c>
      <c r="AO49" s="446"/>
      <c r="AQ49" s="446"/>
      <c r="AR49" s="446"/>
      <c r="AS49" s="446"/>
      <c r="AT49" s="72"/>
      <c r="AU49" s="72"/>
      <c r="AV49" s="72"/>
      <c r="AW49" s="72"/>
      <c r="AX49" s="72"/>
      <c r="AY49" s="72"/>
      <c r="AZ49" s="72"/>
      <c r="BA49" s="72"/>
      <c r="BB49" s="72"/>
    </row>
    <row r="50" spans="2:54">
      <c r="B50" s="529" t="s">
        <v>17</v>
      </c>
      <c r="C50" s="452" t="s">
        <v>271</v>
      </c>
      <c r="D50" s="530" t="s">
        <v>278</v>
      </c>
      <c r="E50" s="531">
        <f>CHOOSE(MATCH('Lists and Mapping'!$C$10,'Lists and Mapping'!$B$3:$B$5,0),'2026 Forecast'!E50,'2027 Forecast'!E50,'2028 Forecast'!E50)</f>
        <v>1</v>
      </c>
      <c r="F50" s="565">
        <f>CHOOSE(MATCH('Lists and Mapping'!$C$10,'Lists and Mapping'!$B$3:$B$5,0),'2026 Forecast'!F50,'2027 Forecast'!F50,'2028 Forecast'!F50)</f>
        <v>60.7</v>
      </c>
      <c r="G50" s="533">
        <f>CHOOSE(MATCH('Lists and Mapping'!$C$10,'Lists and Mapping'!$B$3:$B$5,0),'2026 Forecast'!G50,'2027 Forecast'!G50,'2028 Forecast'!G50)</f>
        <v>60.7</v>
      </c>
      <c r="H50" s="533">
        <f>CHOOSE(MATCH('Lists and Mapping'!$C$10,'Lists and Mapping'!$B$3:$B$5,0),'2026 Forecast'!H50,'2027 Forecast'!H50,'2028 Forecast'!H50)</f>
        <v>0</v>
      </c>
      <c r="I50" s="533">
        <f>CHOOSE(MATCH('Lists and Mapping'!$C$10,'Lists and Mapping'!$B$3:$B$5,0),'2026 Forecast'!I50,'2027 Forecast'!I50,'2028 Forecast'!I50)</f>
        <v>0</v>
      </c>
      <c r="J50" s="535">
        <f>CHOOSE(MATCH('Lists and Mapping'!$C$10,'Lists and Mapping'!$B$3:$B$5,0),'2026 Forecast'!J50,'2027 Forecast'!J50,'2028 Forecast'!J50)</f>
        <v>0</v>
      </c>
      <c r="K50" s="535">
        <f>CHOOSE(MATCH('Lists and Mapping'!$C$10,'Lists and Mapping'!$B$3:$B$5,0),'2026 Forecast'!K50,'2027 Forecast'!K50,'2028 Forecast'!K50)</f>
        <v>0</v>
      </c>
      <c r="L50" s="574">
        <f>CHOOSE(MATCH('Lists and Mapping'!$C$10,'Lists and Mapping'!$B$3:$B$5,0),'2026 Forecast'!L50,'2027 Forecast'!L50,'2028 Forecast'!L50)</f>
        <v>182244</v>
      </c>
      <c r="M50" s="586">
        <f>CHOOSE(MATCH('Lists and Mapping'!$C$10,'Lists and Mapping'!$B$3:$B$5,0),'2026 Forecast'!M50,'2027 Forecast'!M50,'2028 Forecast'!M50)</f>
        <v>182244</v>
      </c>
      <c r="N50" s="533">
        <f>CHOOSE(MATCH('Lists and Mapping'!$C$10,'Lists and Mapping'!$B$3:$B$5,0),'2026 Forecast'!N50,'2027 Forecast'!N50,'2028 Forecast'!N50)</f>
        <v>0</v>
      </c>
      <c r="O50" s="533">
        <f>CHOOSE(MATCH('Lists and Mapping'!$C$10,'Lists and Mapping'!$B$3:$B$5,0),'2026 Forecast'!O50,'2027 Forecast'!O50,'2028 Forecast'!O50)</f>
        <v>0</v>
      </c>
      <c r="P50" s="538">
        <f>CHOOSE(MATCH('Lists and Mapping'!$C$10,'Lists and Mapping'!$B$3:$B$5,0),'2026 Forecast'!P50,'2027 Forecast'!P50,'2028 Forecast'!P50)</f>
        <v>5.4000000000000003E-3</v>
      </c>
      <c r="Q50" s="539">
        <f>CHOOSE(MATCH('Lists and Mapping'!$C$10,'Lists and Mapping'!$B$3:$B$5,0),'2026 Forecast'!Q50,'2027 Forecast'!Q50,'2028 Forecast'!Q50)</f>
        <v>0</v>
      </c>
      <c r="R50" s="539">
        <f>CHOOSE(MATCH('Lists and Mapping'!$C$10,'Lists and Mapping'!$B$3:$B$5,0),'2026 Forecast'!R50,'2027 Forecast'!R50,'2028 Forecast'!R50)</f>
        <v>0</v>
      </c>
      <c r="S50" s="539">
        <f>CHOOSE(MATCH('Lists and Mapping'!$C$10,'Lists and Mapping'!$B$3:$B$5,0),'2026 Forecast'!S50,'2027 Forecast'!S50,'2028 Forecast'!S50)</f>
        <v>0</v>
      </c>
      <c r="T50" s="539">
        <f>CHOOSE(MATCH('Lists and Mapping'!$C$10,'Lists and Mapping'!$B$3:$B$5,0),'2026 Forecast'!T50,'2027 Forecast'!T50,'2028 Forecast'!T50)</f>
        <v>0</v>
      </c>
      <c r="U50" s="539">
        <f>CHOOSE(MATCH('Lists and Mapping'!$C$10,'Lists and Mapping'!$B$3:$B$5,0),'2026 Forecast'!U50,'2027 Forecast'!U50,'2028 Forecast'!U50)</f>
        <v>0</v>
      </c>
      <c r="V50" s="540">
        <f>CHOOSE(MATCH('Lists and Mapping'!$C$10,'Lists and Mapping'!$B$3:$B$5,0),'2026 Forecast'!V50,'2027 Forecast'!V50,'2028 Forecast'!V50)</f>
        <v>0</v>
      </c>
      <c r="W50" s="539">
        <f>CHOOSE(MATCH('Lists and Mapping'!$C$10,'Lists and Mapping'!$B$3:$B$5,0),'2026 Forecast'!W50,'2027 Forecast'!W50,'2028 Forecast'!W50)</f>
        <v>1.151586</v>
      </c>
      <c r="X50" s="542">
        <f>CHOOSE(MATCH('Lists and Mapping'!$C$10,'Lists and Mapping'!$B$3:$B$5,0),'2026 Forecast'!X50,'2027 Forecast'!X50,'2028 Forecast'!X50)</f>
        <v>0</v>
      </c>
      <c r="Y50" s="542">
        <f>CHOOSE(MATCH('Lists and Mapping'!$C$10,'Lists and Mapping'!$B$3:$B$5,0),'2026 Forecast'!Y50,'2027 Forecast'!Y50,'2028 Forecast'!Y50)</f>
        <v>0</v>
      </c>
      <c r="Z50" s="540">
        <f>CHOOSE(MATCH('Lists and Mapping'!$C$10,'Lists and Mapping'!$B$3:$B$5,0),'2026 Forecast'!Z50,'2027 Forecast'!Z50,'2028 Forecast'!Z50)</f>
        <v>1.151586</v>
      </c>
      <c r="AA50" s="543">
        <f>CHOOSE(MATCH('Lists and Mapping'!$C$10,'Lists and Mapping'!$B$3:$B$5,0),'2026 Forecast'!AA50,'2027 Forecast'!AA50,'2028 Forecast'!AA50)</f>
        <v>1.1569860000000001</v>
      </c>
      <c r="AB50" s="570">
        <f>CHOOSE(MATCH('Lists and Mapping'!$C$10,'Lists and Mapping'!$B$3:$B$5,0),'2026 Forecast'!AB50,'2027 Forecast'!AB50,'2028 Forecast'!AB50)</f>
        <v>6.6890250913698512</v>
      </c>
      <c r="AC50" s="570">
        <f>CHOOSE(MATCH('Lists and Mapping'!$C$10,'Lists and Mapping'!$B$3:$B$5,0),'2026 Forecast'!AC50,'2027 Forecast'!AC50,'2028 Forecast'!AC50)</f>
        <v>2.8373438070601256</v>
      </c>
      <c r="AD50" s="570">
        <f>CHOOSE(MATCH('Lists and Mapping'!$C$10,'Lists and Mapping'!$B$3:$B$5,0),'2026 Forecast'!AD50,'2027 Forecast'!AD50,'2028 Forecast'!AD50)</f>
        <v>0.34781099999999998</v>
      </c>
      <c r="AE50" s="570">
        <f>CHOOSE(MATCH('Lists and Mapping'!$C$10,'Lists and Mapping'!$B$3:$B$5,0),'2026 Forecast'!AE50,'2027 Forecast'!AE50,'2028 Forecast'!AE50)</f>
        <v>0.70885460000000011</v>
      </c>
      <c r="AF50" s="543">
        <f>CHOOSE(MATCH('Lists and Mapping'!$C$10,'Lists and Mapping'!$B$3:$B$5,0),'2026 Forecast'!AF50,'2027 Forecast'!AF50,'2028 Forecast'!AF50)</f>
        <v>5.2141299999999991E-3</v>
      </c>
      <c r="AG50" s="545">
        <f>CHOOSE(MATCH('Lists and Mapping'!$C$10,'Lists and Mapping'!$B$3:$B$5,0),'2026 Forecast'!AG50,'2027 Forecast'!AG50,'2028 Forecast'!AG50)</f>
        <v>11.745234628429976</v>
      </c>
      <c r="AH50" s="546">
        <f>CHOOSE(MATCH('Lists and Mapping'!$C$10,'Lists and Mapping'!$B$3:$B$5,0),'2026 Forecast'!AH50,'2027 Forecast'!AH50,'2028 Forecast'!AH50)</f>
        <v>1.9060724876441515</v>
      </c>
      <c r="AI50" s="546">
        <f>CHOOSE(MATCH('Lists and Mapping'!$C$10,'Lists and Mapping'!$B$3:$B$5,0),'2026 Forecast'!AI50,'2027 Forecast'!AI50,'2028 Forecast'!AI50)</f>
        <v>11.019810694184267</v>
      </c>
      <c r="AJ50" s="546">
        <f>CHOOSE(MATCH('Lists and Mapping'!$C$10,'Lists and Mapping'!$B$3:$B$5,0),'2026 Forecast'!AJ50,'2027 Forecast'!AJ50,'2028 Forecast'!AJ50)</f>
        <v>4.6743720050413922</v>
      </c>
      <c r="AK50" s="547">
        <f>CHOOSE(MATCH('Lists and Mapping'!$C$10,'Lists and Mapping'!$B$3:$B$5,0),'2026 Forecast'!AK50,'2027 Forecast'!AK50,'2028 Forecast'!AK50)</f>
        <v>19.349645186869814</v>
      </c>
      <c r="AL50" s="546">
        <f>CHOOSE(MATCH('Lists and Mapping'!$C$10,'Lists and Mapping'!$B$3:$B$5,0),'2026 Forecast'!AL50,'2027 Forecast'!AL50,'2028 Forecast'!AL50)</f>
        <v>1.1678000000000002</v>
      </c>
      <c r="AM50" s="546">
        <f>CHOOSE(MATCH('Lists and Mapping'!$C$10,'Lists and Mapping'!$B$3:$B$5,0),'2026 Forecast'!AM50,'2027 Forecast'!AM50,'2028 Forecast'!AM50)</f>
        <v>8.5899999999999987E-3</v>
      </c>
      <c r="AN50" s="547">
        <f>CHOOSE(MATCH('Lists and Mapping'!$C$10,'Lists and Mapping'!$B$3:$B$5,0),'2026 Forecast'!AN50,'2027 Forecast'!AN50,'2028 Forecast'!AN50)</f>
        <v>19.349645186869814</v>
      </c>
      <c r="AO50" s="446"/>
      <c r="AP50" s="446"/>
      <c r="AQ50" s="446"/>
      <c r="AR50" s="446"/>
      <c r="AS50" s="446"/>
      <c r="AT50" s="72"/>
      <c r="AU50" s="72"/>
      <c r="AV50" s="72"/>
      <c r="AW50" s="72"/>
      <c r="AX50" s="72"/>
      <c r="AY50" s="72"/>
      <c r="AZ50" s="72"/>
      <c r="BA50" s="72"/>
      <c r="BB50" s="72"/>
    </row>
    <row r="51" spans="2:54">
      <c r="B51" s="529" t="s">
        <v>24</v>
      </c>
      <c r="C51" s="452" t="s">
        <v>271</v>
      </c>
      <c r="D51" s="530" t="s">
        <v>279</v>
      </c>
      <c r="E51" s="531">
        <f>CHOOSE(MATCH('Lists and Mapping'!$C$10,'Lists and Mapping'!$B$3:$B$5,0),'2026 Forecast'!E51,'2027 Forecast'!E51,'2028 Forecast'!E51)</f>
        <v>2</v>
      </c>
      <c r="F51" s="565">
        <f>CHOOSE(MATCH('Lists and Mapping'!$C$10,'Lists and Mapping'!$B$3:$B$5,0),'2026 Forecast'!F51,'2027 Forecast'!F51,'2028 Forecast'!F51)</f>
        <v>4.2</v>
      </c>
      <c r="G51" s="533">
        <f>CHOOSE(MATCH('Lists and Mapping'!$C$10,'Lists and Mapping'!$B$3:$B$5,0),'2026 Forecast'!G51,'2027 Forecast'!G51,'2028 Forecast'!G51)</f>
        <v>0</v>
      </c>
      <c r="H51" s="533">
        <f>CHOOSE(MATCH('Lists and Mapping'!$C$10,'Lists and Mapping'!$B$3:$B$5,0),'2026 Forecast'!H51,'2027 Forecast'!H51,'2028 Forecast'!H51)</f>
        <v>0</v>
      </c>
      <c r="I51" s="533">
        <f>CHOOSE(MATCH('Lists and Mapping'!$C$10,'Lists and Mapping'!$B$3:$B$5,0),'2026 Forecast'!I51,'2027 Forecast'!I51,'2028 Forecast'!I51)</f>
        <v>0</v>
      </c>
      <c r="J51" s="535">
        <f>CHOOSE(MATCH('Lists and Mapping'!$C$10,'Lists and Mapping'!$B$3:$B$5,0),'2026 Forecast'!J51,'2027 Forecast'!J51,'2028 Forecast'!J51)</f>
        <v>0</v>
      </c>
      <c r="K51" s="535">
        <f>CHOOSE(MATCH('Lists and Mapping'!$C$10,'Lists and Mapping'!$B$3:$B$5,0),'2026 Forecast'!K51,'2027 Forecast'!K51,'2028 Forecast'!K51)</f>
        <v>0</v>
      </c>
      <c r="L51" s="535">
        <f>CHOOSE(MATCH('Lists and Mapping'!$C$10,'Lists and Mapping'!$B$3:$B$5,0),'2026 Forecast'!L51,'2027 Forecast'!L51,'2028 Forecast'!L51)</f>
        <v>0</v>
      </c>
      <c r="M51" s="430">
        <f>CHOOSE(MATCH('Lists and Mapping'!$C$10,'Lists and Mapping'!$B$3:$B$5,0),'2026 Forecast'!M51,'2027 Forecast'!M51,'2028 Forecast'!M51)</f>
        <v>0</v>
      </c>
      <c r="N51" s="533">
        <f>CHOOSE(MATCH('Lists and Mapping'!$C$10,'Lists and Mapping'!$B$3:$B$5,0),'2026 Forecast'!N51,'2027 Forecast'!N51,'2028 Forecast'!N51)</f>
        <v>0</v>
      </c>
      <c r="O51" s="533">
        <f>CHOOSE(MATCH('Lists and Mapping'!$C$10,'Lists and Mapping'!$B$3:$B$5,0),'2026 Forecast'!O51,'2027 Forecast'!O51,'2028 Forecast'!O51)</f>
        <v>0</v>
      </c>
      <c r="P51" s="538">
        <f>CHOOSE(MATCH('Lists and Mapping'!$C$10,'Lists and Mapping'!$B$3:$B$5,0),'2026 Forecast'!P51,'2027 Forecast'!P51,'2028 Forecast'!P51)</f>
        <v>1.252032E-2</v>
      </c>
      <c r="Q51" s="539">
        <f>CHOOSE(MATCH('Lists and Mapping'!$C$10,'Lists and Mapping'!$B$3:$B$5,0),'2026 Forecast'!Q51,'2027 Forecast'!Q51,'2028 Forecast'!Q51)</f>
        <v>0</v>
      </c>
      <c r="R51" s="539">
        <f>CHOOSE(MATCH('Lists and Mapping'!$C$10,'Lists and Mapping'!$B$3:$B$5,0),'2026 Forecast'!R51,'2027 Forecast'!R51,'2028 Forecast'!R51)</f>
        <v>0</v>
      </c>
      <c r="S51" s="539">
        <f>CHOOSE(MATCH('Lists and Mapping'!$C$10,'Lists and Mapping'!$B$3:$B$5,0),'2026 Forecast'!S51,'2027 Forecast'!S51,'2028 Forecast'!S51)</f>
        <v>0</v>
      </c>
      <c r="T51" s="539">
        <f>CHOOSE(MATCH('Lists and Mapping'!$C$10,'Lists and Mapping'!$B$3:$B$5,0),'2026 Forecast'!T51,'2027 Forecast'!T51,'2028 Forecast'!T51)</f>
        <v>0</v>
      </c>
      <c r="U51" s="539">
        <f>CHOOSE(MATCH('Lists and Mapping'!$C$10,'Lists and Mapping'!$B$3:$B$5,0),'2026 Forecast'!U51,'2027 Forecast'!U51,'2028 Forecast'!U51)</f>
        <v>1.9627582868829912E-2</v>
      </c>
      <c r="V51" s="540">
        <f>CHOOSE(MATCH('Lists and Mapping'!$C$10,'Lists and Mapping'!$B$3:$B$5,0),'2026 Forecast'!V51,'2027 Forecast'!V51,'2028 Forecast'!V51)</f>
        <v>1.9627582868829912E-2</v>
      </c>
      <c r="W51" s="539">
        <f>CHOOSE(MATCH('Lists and Mapping'!$C$10,'Lists and Mapping'!$B$3:$B$5,0),'2026 Forecast'!W51,'2027 Forecast'!W51,'2028 Forecast'!W51)</f>
        <v>0</v>
      </c>
      <c r="X51" s="542">
        <f>CHOOSE(MATCH('Lists and Mapping'!$C$10,'Lists and Mapping'!$B$3:$B$5,0),'2026 Forecast'!X51,'2027 Forecast'!X51,'2028 Forecast'!X51)</f>
        <v>0</v>
      </c>
      <c r="Y51" s="542">
        <f>CHOOSE(MATCH('Lists and Mapping'!$C$10,'Lists and Mapping'!$B$3:$B$5,0),'2026 Forecast'!Y51,'2027 Forecast'!Y51,'2028 Forecast'!Y51)</f>
        <v>0</v>
      </c>
      <c r="Z51" s="540">
        <f>CHOOSE(MATCH('Lists and Mapping'!$C$10,'Lists and Mapping'!$B$3:$B$5,0),'2026 Forecast'!Z51,'2027 Forecast'!Z51,'2028 Forecast'!Z51)</f>
        <v>0</v>
      </c>
      <c r="AA51" s="543">
        <f>CHOOSE(MATCH('Lists and Mapping'!$C$10,'Lists and Mapping'!$B$3:$B$5,0),'2026 Forecast'!AA51,'2027 Forecast'!AA51,'2028 Forecast'!AA51)</f>
        <v>3.214790286882991E-2</v>
      </c>
      <c r="AB51" s="570">
        <f>CHOOSE(MATCH('Lists and Mapping'!$C$10,'Lists and Mapping'!$B$3:$B$5,0),'2026 Forecast'!AB51,'2027 Forecast'!AB51,'2028 Forecast'!AB51)</f>
        <v>0.46283204915573933</v>
      </c>
      <c r="AC51" s="570">
        <f>CHOOSE(MATCH('Lists and Mapping'!$C$10,'Lists and Mapping'!$B$3:$B$5,0),'2026 Forecast'!AC51,'2027 Forecast'!AC51,'2028 Forecast'!AC51)</f>
        <v>0.19632362421173849</v>
      </c>
      <c r="AD51" s="570">
        <f>CHOOSE(MATCH('Lists and Mapping'!$C$10,'Lists and Mapping'!$B$3:$B$5,0),'2026 Forecast'!AD51,'2027 Forecast'!AD51,'2028 Forecast'!AD51)</f>
        <v>2.4066000000000001E-2</v>
      </c>
      <c r="AE51" s="570">
        <f>CHOOSE(MATCH('Lists and Mapping'!$C$10,'Lists and Mapping'!$B$3:$B$5,0),'2026 Forecast'!AE51,'2027 Forecast'!AE51,'2028 Forecast'!AE51)</f>
        <v>4.9047600000000004E-2</v>
      </c>
      <c r="AF51" s="543">
        <f>CHOOSE(MATCH('Lists and Mapping'!$C$10,'Lists and Mapping'!$B$3:$B$5,0),'2026 Forecast'!AF51,'2027 Forecast'!AF51,'2028 Forecast'!AF51)</f>
        <v>3.6077999999999994E-4</v>
      </c>
      <c r="AG51" s="545">
        <f>CHOOSE(MATCH('Lists and Mapping'!$C$10,'Lists and Mapping'!$B$3:$B$5,0),'2026 Forecast'!AG51,'2027 Forecast'!AG51,'2028 Forecast'!AG51)</f>
        <v>0.76477795623630773</v>
      </c>
      <c r="AH51" s="546">
        <f>CHOOSE(MATCH('Lists and Mapping'!$C$10,'Lists and Mapping'!$B$3:$B$5,0),'2026 Forecast'!AH51,'2027 Forecast'!AH51,'2028 Forecast'!AH51)</f>
        <v>0.76542625878166448</v>
      </c>
      <c r="AI51" s="546">
        <f>CHOOSE(MATCH('Lists and Mapping'!$C$10,'Lists and Mapping'!$B$3:$B$5,0),'2026 Forecast'!AI51,'2027 Forecast'!AI51,'2028 Forecast'!AI51)</f>
        <v>11.019810694184269</v>
      </c>
      <c r="AJ51" s="546">
        <f>CHOOSE(MATCH('Lists and Mapping'!$C$10,'Lists and Mapping'!$B$3:$B$5,0),'2026 Forecast'!AJ51,'2027 Forecast'!AJ51,'2028 Forecast'!AJ51)</f>
        <v>4.6743720050413922</v>
      </c>
      <c r="AK51" s="547">
        <f>CHOOSE(MATCH('Lists and Mapping'!$C$10,'Lists and Mapping'!$B$3:$B$5,0),'2026 Forecast'!AK51,'2027 Forecast'!AK51,'2028 Forecast'!AK51)</f>
        <v>18.208998958007328</v>
      </c>
      <c r="AL51" s="546">
        <f>CHOOSE(MATCH('Lists and Mapping'!$C$10,'Lists and Mapping'!$B$3:$B$5,0),'2026 Forecast'!AL51,'2027 Forecast'!AL51,'2028 Forecast'!AL51)</f>
        <v>1.1678000000000002</v>
      </c>
      <c r="AM51" s="546">
        <f>CHOOSE(MATCH('Lists and Mapping'!$C$10,'Lists and Mapping'!$B$3:$B$5,0),'2026 Forecast'!AM51,'2027 Forecast'!AM51,'2028 Forecast'!AM51)</f>
        <v>8.5899999999999987E-3</v>
      </c>
      <c r="AN51" s="547">
        <f>CHOOSE(MATCH('Lists and Mapping'!$C$10,'Lists and Mapping'!$B$3:$B$5,0),'2026 Forecast'!AN51,'2027 Forecast'!AN51,'2028 Forecast'!AN51)</f>
        <v>18.208998958007328</v>
      </c>
      <c r="AO51" s="446"/>
      <c r="AP51" s="446"/>
      <c r="AQ51" s="446"/>
      <c r="AR51" s="446"/>
      <c r="AS51" s="446"/>
      <c r="AT51" s="72"/>
      <c r="AU51" s="72"/>
      <c r="AV51" s="72"/>
      <c r="AW51" s="72"/>
      <c r="AX51" s="72"/>
      <c r="AY51" s="72"/>
      <c r="AZ51" s="72"/>
      <c r="BA51" s="72"/>
      <c r="BB51" s="72"/>
    </row>
    <row r="52" spans="2:54">
      <c r="B52" s="529" t="s">
        <v>16</v>
      </c>
      <c r="C52" s="452" t="s">
        <v>271</v>
      </c>
      <c r="D52" s="530" t="s">
        <v>280</v>
      </c>
      <c r="E52" s="531">
        <f>CHOOSE(MATCH('Lists and Mapping'!$C$10,'Lists and Mapping'!$B$3:$B$5,0),'2026 Forecast'!E52,'2027 Forecast'!E52,'2028 Forecast'!E52)</f>
        <v>14</v>
      </c>
      <c r="F52" s="565">
        <f>CHOOSE(MATCH('Lists and Mapping'!$C$10,'Lists and Mapping'!$B$3:$B$5,0),'2026 Forecast'!F52,'2027 Forecast'!F52,'2028 Forecast'!F52)</f>
        <v>278.3</v>
      </c>
      <c r="G52" s="533">
        <f>CHOOSE(MATCH('Lists and Mapping'!$C$10,'Lists and Mapping'!$B$3:$B$5,0),'2026 Forecast'!G52,'2027 Forecast'!G52,'2028 Forecast'!G52)</f>
        <v>0</v>
      </c>
      <c r="H52" s="533">
        <f>CHOOSE(MATCH('Lists and Mapping'!$C$10,'Lists and Mapping'!$B$3:$B$5,0),'2026 Forecast'!H52,'2027 Forecast'!H52,'2028 Forecast'!H52)</f>
        <v>0</v>
      </c>
      <c r="I52" s="533">
        <f>CHOOSE(MATCH('Lists and Mapping'!$C$10,'Lists and Mapping'!$B$3:$B$5,0),'2026 Forecast'!I52,'2027 Forecast'!I52,'2028 Forecast'!I52)</f>
        <v>105.5</v>
      </c>
      <c r="J52" s="535">
        <f>CHOOSE(MATCH('Lists and Mapping'!$C$10,'Lists and Mapping'!$B$3:$B$5,0),'2026 Forecast'!J52,'2027 Forecast'!J52,'2028 Forecast'!J52)</f>
        <v>172.9</v>
      </c>
      <c r="K52" s="535">
        <f>CHOOSE(MATCH('Lists and Mapping'!$C$10,'Lists and Mapping'!$B$3:$B$5,0),'2026 Forecast'!K52,'2027 Forecast'!K52,'2028 Forecast'!K52)</f>
        <v>0</v>
      </c>
      <c r="L52" s="535">
        <f>CHOOSE(MATCH('Lists and Mapping'!$C$10,'Lists and Mapping'!$B$3:$B$5,0),'2026 Forecast'!L52,'2027 Forecast'!L52,'2028 Forecast'!L52)</f>
        <v>0</v>
      </c>
      <c r="M52" s="533">
        <f>CHOOSE(MATCH('Lists and Mapping'!$C$10,'Lists and Mapping'!$B$3:$B$5,0),'2026 Forecast'!M52,'2027 Forecast'!M52,'2028 Forecast'!M52)</f>
        <v>0</v>
      </c>
      <c r="N52" s="533">
        <f>CHOOSE(MATCH('Lists and Mapping'!$C$10,'Lists and Mapping'!$B$3:$B$5,0),'2026 Forecast'!N52,'2027 Forecast'!N52,'2028 Forecast'!N52)</f>
        <v>911880</v>
      </c>
      <c r="O52" s="533">
        <f>CHOOSE(MATCH('Lists and Mapping'!$C$10,'Lists and Mapping'!$B$3:$B$5,0),'2026 Forecast'!O52,'2027 Forecast'!O52,'2028 Forecast'!O52)</f>
        <v>910380</v>
      </c>
      <c r="P52" s="538">
        <f>CHOOSE(MATCH('Lists and Mapping'!$C$10,'Lists and Mapping'!$B$3:$B$5,0),'2026 Forecast'!P52,'2027 Forecast'!P52,'2028 Forecast'!P52)</f>
        <v>8.1000000000000003E-2</v>
      </c>
      <c r="Q52" s="539">
        <f>CHOOSE(MATCH('Lists and Mapping'!$C$10,'Lists and Mapping'!$B$3:$B$5,0),'2026 Forecast'!Q52,'2027 Forecast'!Q52,'2028 Forecast'!Q52)</f>
        <v>0</v>
      </c>
      <c r="R52" s="539">
        <f>CHOOSE(MATCH('Lists and Mapping'!$C$10,'Lists and Mapping'!$B$3:$B$5,0),'2026 Forecast'!R52,'2027 Forecast'!R52,'2028 Forecast'!R52)</f>
        <v>0</v>
      </c>
      <c r="S52" s="539">
        <f>CHOOSE(MATCH('Lists and Mapping'!$C$10,'Lists and Mapping'!$B$3:$B$5,0),'2026 Forecast'!S52,'2027 Forecast'!S52,'2028 Forecast'!S52)</f>
        <v>7.6735808435984492</v>
      </c>
      <c r="T52" s="539">
        <f>CHOOSE(MATCH('Lists and Mapping'!$C$10,'Lists and Mapping'!$B$3:$B$5,0),'2026 Forecast'!T52,'2027 Forecast'!T52,'2028 Forecast'!T52)</f>
        <v>4.7522462480687215</v>
      </c>
      <c r="U52" s="539">
        <f>CHOOSE(MATCH('Lists and Mapping'!$C$10,'Lists and Mapping'!$B$3:$B$5,0),'2026 Forecast'!U52,'2027 Forecast'!U52,'2028 Forecast'!U52)</f>
        <v>0</v>
      </c>
      <c r="V52" s="540">
        <f>CHOOSE(MATCH('Lists and Mapping'!$C$10,'Lists and Mapping'!$B$3:$B$5,0),'2026 Forecast'!V52,'2027 Forecast'!V52,'2028 Forecast'!V52)</f>
        <v>12.42582709166717</v>
      </c>
      <c r="W52" s="542">
        <f>CHOOSE(MATCH('Lists and Mapping'!$C$10,'Lists and Mapping'!$B$3:$B$5,0),'2026 Forecast'!W52,'2027 Forecast'!W52,'2028 Forecast'!W52)</f>
        <v>0</v>
      </c>
      <c r="X52" s="539">
        <f>CHOOSE(MATCH('Lists and Mapping'!$C$10,'Lists and Mapping'!$B$3:$B$5,0),'2026 Forecast'!X52,'2027 Forecast'!X52,'2028 Forecast'!X52)</f>
        <v>0.638127259</v>
      </c>
      <c r="Y52" s="539">
        <f>CHOOSE(MATCH('Lists and Mapping'!$C$10,'Lists and Mapping'!$B$3:$B$5,0),'2026 Forecast'!Y52,'2027 Forecast'!Y52,'2028 Forecast'!Y52)</f>
        <v>8.2686670000000004E-2</v>
      </c>
      <c r="Z52" s="540">
        <f>CHOOSE(MATCH('Lists and Mapping'!$C$10,'Lists and Mapping'!$B$3:$B$5,0),'2026 Forecast'!Z52,'2027 Forecast'!Z52,'2028 Forecast'!Z52)</f>
        <v>0.72081392899999996</v>
      </c>
      <c r="AA52" s="543">
        <f>CHOOSE(MATCH('Lists and Mapping'!$C$10,'Lists and Mapping'!$B$3:$B$5,0),'2026 Forecast'!AA52,'2027 Forecast'!AA52,'2028 Forecast'!AA52)</f>
        <v>13.22764102066717</v>
      </c>
      <c r="AB52" s="570">
        <f>CHOOSE(MATCH('Lists and Mapping'!$C$10,'Lists and Mapping'!$B$3:$B$5,0),'2026 Forecast'!AB52,'2027 Forecast'!AB52,'2028 Forecast'!AB52)</f>
        <v>30.668133161914824</v>
      </c>
      <c r="AC52" s="570">
        <f>CHOOSE(MATCH('Lists and Mapping'!$C$10,'Lists and Mapping'!$B$3:$B$5,0),'2026 Forecast'!AC52,'2027 Forecast'!AC52,'2028 Forecast'!AC52)</f>
        <v>13.008777290030196</v>
      </c>
      <c r="AD52" s="570">
        <f>CHOOSE(MATCH('Lists and Mapping'!$C$10,'Lists and Mapping'!$B$3:$B$5,0),'2026 Forecast'!AD52,'2027 Forecast'!AD52,'2028 Forecast'!AD52)</f>
        <v>1.594659</v>
      </c>
      <c r="AE52" s="570">
        <f>CHOOSE(MATCH('Lists and Mapping'!$C$10,'Lists and Mapping'!$B$3:$B$5,0),'2026 Forecast'!AE52,'2027 Forecast'!AE52,'2028 Forecast'!AE52)</f>
        <v>3.2499874000000002</v>
      </c>
      <c r="AF52" s="543">
        <f>CHOOSE(MATCH('Lists and Mapping'!$C$10,'Lists and Mapping'!$B$3:$B$5,0),'2026 Forecast'!AF52,'2027 Forecast'!AF52,'2028 Forecast'!AF52)</f>
        <v>2.3905969999999999E-2</v>
      </c>
      <c r="AG52" s="545">
        <f>CHOOSE(MATCH('Lists and Mapping'!$C$10,'Lists and Mapping'!$B$3:$B$5,0),'2026 Forecast'!AG52,'2027 Forecast'!AG52,'2028 Forecast'!AG52)</f>
        <v>61.773103842612194</v>
      </c>
      <c r="AH52" s="546">
        <f>CHOOSE(MATCH('Lists and Mapping'!$C$10,'Lists and Mapping'!$B$3:$B$5,0),'2026 Forecast'!AH52,'2027 Forecast'!AH52,'2028 Forecast'!AH52)</f>
        <v>4.7530150990539592</v>
      </c>
      <c r="AI52" s="546">
        <f>CHOOSE(MATCH('Lists and Mapping'!$C$10,'Lists and Mapping'!$B$3:$B$5,0),'2026 Forecast'!AI52,'2027 Forecast'!AI52,'2028 Forecast'!AI52)</f>
        <v>11.019810694184269</v>
      </c>
      <c r="AJ52" s="546">
        <f>CHOOSE(MATCH('Lists and Mapping'!$C$10,'Lists and Mapping'!$B$3:$B$5,0),'2026 Forecast'!AJ52,'2027 Forecast'!AJ52,'2028 Forecast'!AJ52)</f>
        <v>4.6743720050413922</v>
      </c>
      <c r="AK52" s="547">
        <f>CHOOSE(MATCH('Lists and Mapping'!$C$10,'Lists and Mapping'!$B$3:$B$5,0),'2026 Forecast'!AK52,'2027 Forecast'!AK52,'2028 Forecast'!AK52)</f>
        <v>22.196587798279623</v>
      </c>
      <c r="AL52" s="546">
        <f>CHOOSE(MATCH('Lists and Mapping'!$C$10,'Lists and Mapping'!$B$3:$B$5,0),'2026 Forecast'!AL52,'2027 Forecast'!AL52,'2028 Forecast'!AL52)</f>
        <v>1.1678000000000002</v>
      </c>
      <c r="AM52" s="546">
        <f>CHOOSE(MATCH('Lists and Mapping'!$C$10,'Lists and Mapping'!$B$3:$B$5,0),'2026 Forecast'!AM52,'2027 Forecast'!AM52,'2028 Forecast'!AM52)</f>
        <v>8.5899999999999987E-3</v>
      </c>
      <c r="AN52" s="547">
        <f>CHOOSE(MATCH('Lists and Mapping'!$C$10,'Lists and Mapping'!$B$3:$B$5,0),'2026 Forecast'!AN52,'2027 Forecast'!AN52,'2028 Forecast'!AN52)</f>
        <v>22.196587798279623</v>
      </c>
      <c r="AO52" s="446"/>
      <c r="AP52" s="446"/>
      <c r="AQ52" s="446"/>
      <c r="AR52" s="446"/>
      <c r="AS52" s="446"/>
      <c r="AT52" s="72"/>
      <c r="AU52" s="72"/>
      <c r="AV52" s="72"/>
      <c r="AW52" s="72"/>
      <c r="AX52" s="72"/>
      <c r="AY52" s="72"/>
      <c r="AZ52" s="72"/>
      <c r="BA52" s="72"/>
      <c r="BB52" s="72"/>
    </row>
    <row r="53" spans="2:54">
      <c r="B53" s="529" t="s">
        <v>16</v>
      </c>
      <c r="C53" s="452" t="s">
        <v>271</v>
      </c>
      <c r="D53" s="530" t="s">
        <v>281</v>
      </c>
      <c r="E53" s="531">
        <f>CHOOSE(MATCH('Lists and Mapping'!$C$10,'Lists and Mapping'!$B$3:$B$5,0),'2026 Forecast'!E53,'2027 Forecast'!E53,'2028 Forecast'!E53)</f>
        <v>2</v>
      </c>
      <c r="F53" s="565">
        <f>CHOOSE(MATCH('Lists and Mapping'!$C$10,'Lists and Mapping'!$B$3:$B$5,0),'2026 Forecast'!F53,'2027 Forecast'!F53,'2028 Forecast'!F53)</f>
        <v>10.9</v>
      </c>
      <c r="G53" s="575">
        <f>CHOOSE(MATCH('Lists and Mapping'!$C$10,'Lists and Mapping'!$B$3:$B$5,0),'2026 Forecast'!G53,'2027 Forecast'!G53,'2028 Forecast'!G53)</f>
        <v>0</v>
      </c>
      <c r="H53" s="575">
        <f>CHOOSE(MATCH('Lists and Mapping'!$C$10,'Lists and Mapping'!$B$3:$B$5,0),'2026 Forecast'!H53,'2027 Forecast'!H53,'2028 Forecast'!H53)</f>
        <v>0</v>
      </c>
      <c r="I53" s="575">
        <f>CHOOSE(MATCH('Lists and Mapping'!$C$10,'Lists and Mapping'!$B$3:$B$5,0),'2026 Forecast'!I53,'2027 Forecast'!I53,'2028 Forecast'!I53)</f>
        <v>4.0999999999999996</v>
      </c>
      <c r="J53" s="587">
        <f>CHOOSE(MATCH('Lists and Mapping'!$C$10,'Lists and Mapping'!$B$3:$B$5,0),'2026 Forecast'!J53,'2027 Forecast'!J53,'2028 Forecast'!J53)</f>
        <v>6.7</v>
      </c>
      <c r="K53" s="587">
        <f>CHOOSE(MATCH('Lists and Mapping'!$C$10,'Lists and Mapping'!$B$3:$B$5,0),'2026 Forecast'!K53,'2027 Forecast'!K53,'2028 Forecast'!K53)</f>
        <v>0</v>
      </c>
      <c r="L53" s="535">
        <f>CHOOSE(MATCH('Lists and Mapping'!$C$10,'Lists and Mapping'!$B$3:$B$5,0),'2026 Forecast'!L53,'2027 Forecast'!L53,'2028 Forecast'!L53)</f>
        <v>0</v>
      </c>
      <c r="M53" s="533">
        <f>CHOOSE(MATCH('Lists and Mapping'!$C$10,'Lists and Mapping'!$B$3:$B$5,0),'2026 Forecast'!M53,'2027 Forecast'!M53,'2028 Forecast'!M53)</f>
        <v>0</v>
      </c>
      <c r="N53" s="533">
        <f>CHOOSE(MATCH('Lists and Mapping'!$C$10,'Lists and Mapping'!$B$3:$B$5,0),'2026 Forecast'!N53,'2027 Forecast'!N53,'2028 Forecast'!N53)</f>
        <v>44640</v>
      </c>
      <c r="O53" s="533">
        <f>CHOOSE(MATCH('Lists and Mapping'!$C$10,'Lists and Mapping'!$B$3:$B$5,0),'2026 Forecast'!O53,'2027 Forecast'!O53,'2028 Forecast'!O53)</f>
        <v>44304</v>
      </c>
      <c r="P53" s="538">
        <f>CHOOSE(MATCH('Lists and Mapping'!$C$10,'Lists and Mapping'!$B$3:$B$5,0),'2026 Forecast'!P53,'2027 Forecast'!P53,'2028 Forecast'!P53)</f>
        <v>1.0800000000000001E-2</v>
      </c>
      <c r="Q53" s="539">
        <f>CHOOSE(MATCH('Lists and Mapping'!$C$10,'Lists and Mapping'!$B$3:$B$5,0),'2026 Forecast'!Q53,'2027 Forecast'!Q53,'2028 Forecast'!Q53)</f>
        <v>0</v>
      </c>
      <c r="R53" s="539">
        <f>CHOOSE(MATCH('Lists and Mapping'!$C$10,'Lists and Mapping'!$B$3:$B$5,0),'2026 Forecast'!R53,'2027 Forecast'!R53,'2028 Forecast'!R53)</f>
        <v>0</v>
      </c>
      <c r="S53" s="539">
        <f>CHOOSE(MATCH('Lists and Mapping'!$C$10,'Lists and Mapping'!$B$3:$B$5,0),'2026 Forecast'!S53,'2027 Forecast'!S53,'2028 Forecast'!S53)</f>
        <v>0.49255150998860753</v>
      </c>
      <c r="T53" s="539">
        <f>CHOOSE(MATCH('Lists and Mapping'!$C$10,'Lists and Mapping'!$B$3:$B$5,0),'2026 Forecast'!T53,'2027 Forecast'!T53,'2028 Forecast'!T53)</f>
        <v>0.2540865018220273</v>
      </c>
      <c r="U53" s="578">
        <f>CHOOSE(MATCH('Lists and Mapping'!$C$10,'Lists and Mapping'!$B$3:$B$5,0),'2026 Forecast'!U53,'2027 Forecast'!U53,'2028 Forecast'!U53)</f>
        <v>0</v>
      </c>
      <c r="V53" s="540">
        <f>CHOOSE(MATCH('Lists and Mapping'!$C$10,'Lists and Mapping'!$B$3:$B$5,0),'2026 Forecast'!V53,'2027 Forecast'!V53,'2028 Forecast'!V53)</f>
        <v>0.74663801181063483</v>
      </c>
      <c r="W53" s="542">
        <f>CHOOSE(MATCH('Lists and Mapping'!$C$10,'Lists and Mapping'!$B$3:$B$5,0),'2026 Forecast'!W53,'2027 Forecast'!W53,'2028 Forecast'!W53)</f>
        <v>0</v>
      </c>
      <c r="X53" s="539">
        <f>CHOOSE(MATCH('Lists and Mapping'!$C$10,'Lists and Mapping'!$B$3:$B$5,0),'2026 Forecast'!X53,'2027 Forecast'!X53,'2028 Forecast'!X53)</f>
        <v>3.4067341000000001E-2</v>
      </c>
      <c r="Y53" s="539">
        <f>CHOOSE(MATCH('Lists and Mapping'!$C$10,'Lists and Mapping'!$B$3:$B$5,0),'2026 Forecast'!Y53,'2027 Forecast'!Y53,'2028 Forecast'!Y53)</f>
        <v>4.1920799999999999E-3</v>
      </c>
      <c r="Z53" s="540">
        <f>CHOOSE(MATCH('Lists and Mapping'!$C$10,'Lists and Mapping'!$B$3:$B$5,0),'2026 Forecast'!Z53,'2027 Forecast'!Z53,'2028 Forecast'!Z53)</f>
        <v>3.8259421000000002E-2</v>
      </c>
      <c r="AA53" s="543">
        <f>CHOOSE(MATCH('Lists and Mapping'!$C$10,'Lists and Mapping'!$B$3:$B$5,0),'2026 Forecast'!AA53,'2027 Forecast'!AA53,'2028 Forecast'!AA53)</f>
        <v>0.79569743281063487</v>
      </c>
      <c r="AB53" s="570">
        <f>CHOOSE(MATCH('Lists and Mapping'!$C$10,'Lists and Mapping'!$B$3:$B$5,0),'2026 Forecast'!AB53,'2027 Forecast'!AB53,'2028 Forecast'!AB53)</f>
        <v>1.2011593656660853</v>
      </c>
      <c r="AC53" s="570">
        <f>CHOOSE(MATCH('Lists and Mapping'!$C$10,'Lists and Mapping'!$B$3:$B$5,0),'2026 Forecast'!AC53,'2027 Forecast'!AC53,'2028 Forecast'!AC53)</f>
        <v>0.50950654854951183</v>
      </c>
      <c r="AD53" s="570">
        <f>CHOOSE(MATCH('Lists and Mapping'!$C$10,'Lists and Mapping'!$B$3:$B$5,0),'2026 Forecast'!AD53,'2027 Forecast'!AD53,'2028 Forecast'!AD53)</f>
        <v>6.2456999999999999E-2</v>
      </c>
      <c r="AE53" s="570">
        <f>CHOOSE(MATCH('Lists and Mapping'!$C$10,'Lists and Mapping'!$B$3:$B$5,0),'2026 Forecast'!AE53,'2027 Forecast'!AE53,'2028 Forecast'!AE53)</f>
        <v>0.12729020000000002</v>
      </c>
      <c r="AF53" s="543">
        <f>CHOOSE(MATCH('Lists and Mapping'!$C$10,'Lists and Mapping'!$B$3:$B$5,0),'2026 Forecast'!AF53,'2027 Forecast'!AF53,'2028 Forecast'!AF53)</f>
        <v>9.3630999999999988E-4</v>
      </c>
      <c r="AG53" s="545">
        <f>CHOOSE(MATCH('Lists and Mapping'!$C$10,'Lists and Mapping'!$B$3:$B$5,0),'2026 Forecast'!AG53,'2027 Forecast'!AG53,'2028 Forecast'!AG53)</f>
        <v>2.697046857026232</v>
      </c>
      <c r="AH53" s="546">
        <f>CHOOSE(MATCH('Lists and Mapping'!$C$10,'Lists and Mapping'!$B$3:$B$5,0),'2026 Forecast'!AH53,'2027 Forecast'!AH53,'2028 Forecast'!AH53)</f>
        <v>7.2999764478039895</v>
      </c>
      <c r="AI53" s="546">
        <f>CHOOSE(MATCH('Lists and Mapping'!$C$10,'Lists and Mapping'!$B$3:$B$5,0),'2026 Forecast'!AI53,'2027 Forecast'!AI53,'2028 Forecast'!AI53)</f>
        <v>11.019810694184267</v>
      </c>
      <c r="AJ53" s="546">
        <f>CHOOSE(MATCH('Lists and Mapping'!$C$10,'Lists and Mapping'!$B$3:$B$5,0),'2026 Forecast'!AJ53,'2027 Forecast'!AJ53,'2028 Forecast'!AJ53)</f>
        <v>4.6743720050413922</v>
      </c>
      <c r="AK53" s="547">
        <f>CHOOSE(MATCH('Lists and Mapping'!$C$10,'Lists and Mapping'!$B$3:$B$5,0),'2026 Forecast'!AK53,'2027 Forecast'!AK53,'2028 Forecast'!AK53)</f>
        <v>24.74354914702965</v>
      </c>
      <c r="AL53" s="546">
        <f>CHOOSE(MATCH('Lists and Mapping'!$C$10,'Lists and Mapping'!$B$3:$B$5,0),'2026 Forecast'!AL53,'2027 Forecast'!AL53,'2028 Forecast'!AL53)</f>
        <v>1.1678000000000002</v>
      </c>
      <c r="AM53" s="546">
        <f>CHOOSE(MATCH('Lists and Mapping'!$C$10,'Lists and Mapping'!$B$3:$B$5,0),'2026 Forecast'!AM53,'2027 Forecast'!AM53,'2028 Forecast'!AM53)</f>
        <v>8.5899999999999987E-3</v>
      </c>
      <c r="AN53" s="547">
        <f>CHOOSE(MATCH('Lists and Mapping'!$C$10,'Lists and Mapping'!$B$3:$B$5,0),'2026 Forecast'!AN53,'2027 Forecast'!AN53,'2028 Forecast'!AN53)</f>
        <v>24.74354914702965</v>
      </c>
      <c r="AO53" s="446"/>
      <c r="AP53" s="446"/>
      <c r="AQ53" s="446"/>
      <c r="AR53" s="446"/>
      <c r="AS53" s="446"/>
      <c r="AT53" s="72"/>
      <c r="AU53" s="72"/>
      <c r="AV53" s="72"/>
      <c r="AW53" s="72"/>
      <c r="AX53" s="72"/>
      <c r="AY53" s="72"/>
      <c r="AZ53" s="72"/>
      <c r="BA53" s="72"/>
      <c r="BB53" s="72"/>
    </row>
    <row r="54" spans="2:54">
      <c r="B54" s="529"/>
      <c r="C54" s="549"/>
      <c r="D54" s="549" t="s">
        <v>222</v>
      </c>
      <c r="E54" s="550">
        <f>CHOOSE(MATCH('Lists and Mapping'!$C$10,'Lists and Mapping'!$B$3:$B$5,0),'2026 Forecast'!E54,'2027 Forecast'!E54,'2028 Forecast'!E54)</f>
        <v>577</v>
      </c>
      <c r="F54" s="551">
        <f>CHOOSE(MATCH('Lists and Mapping'!$C$10,'Lists and Mapping'!$B$3:$B$5,0),'2026 Forecast'!F54,'2027 Forecast'!F54,'2028 Forecast'!F54)</f>
        <v>1367.3000000000002</v>
      </c>
      <c r="G54" s="552">
        <f>CHOOSE(MATCH('Lists and Mapping'!$C$10,'Lists and Mapping'!$B$3:$B$5,0),'2026 Forecast'!G54,'2027 Forecast'!G54,'2028 Forecast'!G54)</f>
        <v>1019.3</v>
      </c>
      <c r="H54" s="552">
        <f>CHOOSE(MATCH('Lists and Mapping'!$C$10,'Lists and Mapping'!$B$3:$B$5,0),'2026 Forecast'!H54,'2027 Forecast'!H54,'2028 Forecast'!H54)</f>
        <v>51.2</v>
      </c>
      <c r="I54" s="552">
        <f>CHOOSE(MATCH('Lists and Mapping'!$C$10,'Lists and Mapping'!$B$3:$B$5,0),'2026 Forecast'!I54,'2027 Forecast'!I54,'2028 Forecast'!I54)</f>
        <v>109.6</v>
      </c>
      <c r="J54" s="553">
        <f>CHOOSE(MATCH('Lists and Mapping'!$C$10,'Lists and Mapping'!$B$3:$B$5,0),'2026 Forecast'!J54,'2027 Forecast'!J54,'2028 Forecast'!J54)</f>
        <v>179.6</v>
      </c>
      <c r="K54" s="553">
        <f>CHOOSE(MATCH('Lists and Mapping'!$C$10,'Lists and Mapping'!$B$3:$B$5,0),'2026 Forecast'!K54,'2027 Forecast'!K54,'2028 Forecast'!K54)</f>
        <v>0</v>
      </c>
      <c r="L54" s="553">
        <f>CHOOSE(MATCH('Lists and Mapping'!$C$10,'Lists and Mapping'!$B$3:$B$5,0),'2026 Forecast'!L54,'2027 Forecast'!L54,'2028 Forecast'!L54)</f>
        <v>0</v>
      </c>
      <c r="M54" s="554">
        <f>CHOOSE(MATCH('Lists and Mapping'!$C$10,'Lists and Mapping'!$B$3:$B$5,0),'2026 Forecast'!M54,'2027 Forecast'!M54,'2028 Forecast'!M54)</f>
        <v>3485364</v>
      </c>
      <c r="N54" s="554">
        <f>CHOOSE(MATCH('Lists and Mapping'!$C$10,'Lists and Mapping'!$B$3:$B$5,0),'2026 Forecast'!N54,'2027 Forecast'!N54,'2028 Forecast'!N54)</f>
        <v>956520</v>
      </c>
      <c r="O54" s="555">
        <f>CHOOSE(MATCH('Lists and Mapping'!$C$10,'Lists and Mapping'!$B$3:$B$5,0),'2026 Forecast'!O54,'2027 Forecast'!O54,'2028 Forecast'!O54)</f>
        <v>954684</v>
      </c>
      <c r="P54" s="556">
        <f>CHOOSE(MATCH('Lists and Mapping'!$C$10,'Lists and Mapping'!$B$3:$B$5,0),'2026 Forecast'!P54,'2027 Forecast'!P54,'2028 Forecast'!P54)</f>
        <v>1.8325003200000001</v>
      </c>
      <c r="Q54" s="557">
        <f>CHOOSE(MATCH('Lists and Mapping'!$C$10,'Lists and Mapping'!$B$3:$B$5,0),'2026 Forecast'!Q54,'2027 Forecast'!Q54,'2028 Forecast'!Q54)</f>
        <v>33.625404273636697</v>
      </c>
      <c r="R54" s="557">
        <f>CHOOSE(MATCH('Lists and Mapping'!$C$10,'Lists and Mapping'!$B$3:$B$5,0),'2026 Forecast'!R54,'2027 Forecast'!R54,'2028 Forecast'!R54)</f>
        <v>10.916851443476927</v>
      </c>
      <c r="S54" s="557">
        <f>CHOOSE(MATCH('Lists and Mapping'!$C$10,'Lists and Mapping'!$B$3:$B$5,0),'2026 Forecast'!S54,'2027 Forecast'!S54,'2028 Forecast'!S54)</f>
        <v>8.1661323535870558</v>
      </c>
      <c r="T54" s="557">
        <f>CHOOSE(MATCH('Lists and Mapping'!$C$10,'Lists and Mapping'!$B$3:$B$5,0),'2026 Forecast'!T54,'2027 Forecast'!T54,'2028 Forecast'!T54)</f>
        <v>5.0063327498907491</v>
      </c>
      <c r="U54" s="557">
        <f>CHOOSE(MATCH('Lists and Mapping'!$C$10,'Lists and Mapping'!$B$3:$B$5,0),'2026 Forecast'!U54,'2027 Forecast'!U54,'2028 Forecast'!U54)</f>
        <v>0.33412040545058996</v>
      </c>
      <c r="V54" s="558">
        <f>CHOOSE(MATCH('Lists and Mapping'!$C$10,'Lists and Mapping'!$B$3:$B$5,0),'2026 Forecast'!V54,'2027 Forecast'!V54,'2028 Forecast'!V54)</f>
        <v>58.048841226042015</v>
      </c>
      <c r="W54" s="588">
        <f>CHOOSE(MATCH('Lists and Mapping'!$C$10,'Lists and Mapping'!$B$3:$B$5,0),'2026 Forecast'!W54,'2027 Forecast'!W54,'2028 Forecast'!W54)</f>
        <v>27.104807316000006</v>
      </c>
      <c r="X54" s="557">
        <f>CHOOSE(MATCH('Lists and Mapping'!$C$10,'Lists and Mapping'!$B$3:$B$5,0),'2026 Forecast'!X54,'2027 Forecast'!X54,'2028 Forecast'!X54)</f>
        <v>0.67219459999999998</v>
      </c>
      <c r="Y54" s="557">
        <f>CHOOSE(MATCH('Lists and Mapping'!$C$10,'Lists and Mapping'!$B$3:$B$5,0),'2026 Forecast'!Y54,'2027 Forecast'!Y54,'2028 Forecast'!Y54)</f>
        <v>8.6878750000000005E-2</v>
      </c>
      <c r="Z54" s="558">
        <f>CHOOSE(MATCH('Lists and Mapping'!$C$10,'Lists and Mapping'!$B$3:$B$5,0),'2026 Forecast'!Z54,'2027 Forecast'!Z54,'2028 Forecast'!Z54)</f>
        <v>27.863880666000004</v>
      </c>
      <c r="AA54" s="559">
        <f>CHOOSE(MATCH('Lists and Mapping'!$C$10,'Lists and Mapping'!$B$3:$B$5,0),'2026 Forecast'!AA54,'2027 Forecast'!AA54,'2028 Forecast'!AA54)</f>
        <v>87.745222212042023</v>
      </c>
      <c r="AB54" s="560">
        <f>CHOOSE(MATCH('Lists and Mapping'!$C$10,'Lists and Mapping'!$B$3:$B$5,0),'2026 Forecast'!AB54,'2027 Forecast'!AB54,'2028 Forecast'!AB54)</f>
        <v>150.67387162158153</v>
      </c>
      <c r="AC54" s="560">
        <f>CHOOSE(MATCH('Lists and Mapping'!$C$10,'Lists and Mapping'!$B$3:$B$5,0),'2026 Forecast'!AC54,'2027 Forecast'!AC54,'2028 Forecast'!AC54)</f>
        <v>63.912688424930948</v>
      </c>
      <c r="AD54" s="560">
        <f>CHOOSE(MATCH('Lists and Mapping'!$C$10,'Lists and Mapping'!$B$3:$B$5,0),'2026 Forecast'!AD54,'2027 Forecast'!AD54,'2028 Forecast'!AD54)</f>
        <v>7.8346290000000005</v>
      </c>
      <c r="AE54" s="560">
        <f>CHOOSE(MATCH('Lists and Mapping'!$C$10,'Lists and Mapping'!$B$3:$B$5,0),'2026 Forecast'!AE54,'2027 Forecast'!AE54,'2028 Forecast'!AE54)</f>
        <v>15.967329400000001</v>
      </c>
      <c r="AF54" s="559">
        <f>CHOOSE(MATCH('Lists and Mapping'!$C$10,'Lists and Mapping'!$B$3:$B$5,0),'2026 Forecast'!AF54,'2027 Forecast'!AF54,'2028 Forecast'!AF54)</f>
        <v>0.11745106999999998</v>
      </c>
      <c r="AG54" s="561">
        <f>CHOOSE(MATCH('Lists and Mapping'!$C$10,'Lists and Mapping'!$B$3:$B$5,0),'2026 Forecast'!AG54,'2027 Forecast'!AG54,'2028 Forecast'!AG54)</f>
        <v>326.25119172855449</v>
      </c>
      <c r="AH54" s="562">
        <f>CHOOSE(MATCH('Lists and Mapping'!$C$10,'Lists and Mapping'!$B$3:$B$5,0),'2026 Forecast'!AH54,'2027 Forecast'!AH54,'2028 Forecast'!AH54)</f>
        <v>6.4174081922066861</v>
      </c>
      <c r="AI54" s="562">
        <f>CHOOSE(MATCH('Lists and Mapping'!$C$10,'Lists and Mapping'!$B$3:$B$5,0),'2026 Forecast'!AI54,'2027 Forecast'!AI54,'2028 Forecast'!AI54)</f>
        <v>11.019810694184269</v>
      </c>
      <c r="AJ54" s="562">
        <f>CHOOSE(MATCH('Lists and Mapping'!$C$10,'Lists and Mapping'!$B$3:$B$5,0),'2026 Forecast'!AJ54,'2027 Forecast'!AJ54,'2028 Forecast'!AJ54)</f>
        <v>4.6743720050413913</v>
      </c>
      <c r="AK54" s="563">
        <f>CHOOSE(MATCH('Lists and Mapping'!$C$10,'Lists and Mapping'!$B$3:$B$5,0),'2026 Forecast'!AK54,'2027 Forecast'!AK54,'2028 Forecast'!AK54)</f>
        <v>23.860980891432344</v>
      </c>
      <c r="AL54" s="562">
        <f>CHOOSE(MATCH('Lists and Mapping'!$C$10,'Lists and Mapping'!$B$3:$B$5,0),'2026 Forecast'!AL54,'2027 Forecast'!AL54,'2028 Forecast'!AL54)</f>
        <v>1.1677999999999999</v>
      </c>
      <c r="AM54" s="562">
        <f>CHOOSE(MATCH('Lists and Mapping'!$C$10,'Lists and Mapping'!$B$3:$B$5,0),'2026 Forecast'!AM54,'2027 Forecast'!AM54,'2028 Forecast'!AM54)</f>
        <v>8.5899999999999969E-3</v>
      </c>
      <c r="AN54" s="563">
        <f>CHOOSE(MATCH('Lists and Mapping'!$C$10,'Lists and Mapping'!$B$3:$B$5,0),'2026 Forecast'!AN54,'2027 Forecast'!AN54,'2028 Forecast'!AN54)</f>
        <v>23.860980891432344</v>
      </c>
      <c r="AO54" s="446"/>
      <c r="AP54" s="449"/>
      <c r="AQ54" s="446"/>
      <c r="AR54" s="446"/>
      <c r="AS54" s="446"/>
      <c r="AT54" s="72"/>
      <c r="AU54" s="72"/>
      <c r="AV54" s="72"/>
      <c r="AW54" s="72"/>
      <c r="AX54" s="72"/>
      <c r="AY54" s="72"/>
      <c r="AZ54" s="72"/>
      <c r="BA54" s="72"/>
      <c r="BB54" s="72"/>
    </row>
    <row r="55" spans="2:54" ht="21.75" customHeight="1">
      <c r="C55" s="420" t="s">
        <v>282</v>
      </c>
      <c r="D55" s="452"/>
      <c r="E55" s="531">
        <f>CHOOSE(MATCH('Lists and Mapping'!$C$10,'Lists and Mapping'!$B$3:$B$5,0),'2026 Forecast'!E55,'2027 Forecast'!E55,'2028 Forecast'!E55)</f>
        <v>0</v>
      </c>
      <c r="F55" s="589">
        <f>CHOOSE(MATCH('Lists and Mapping'!$C$10,'Lists and Mapping'!$B$3:$B$5,0),'2026 Forecast'!F55,'2027 Forecast'!F55,'2028 Forecast'!F55)</f>
        <v>0</v>
      </c>
      <c r="G55" s="533">
        <f>CHOOSE(MATCH('Lists and Mapping'!$C$10,'Lists and Mapping'!$B$3:$B$5,0),'2026 Forecast'!G55,'2027 Forecast'!G55,'2028 Forecast'!G55)</f>
        <v>0</v>
      </c>
      <c r="H55" s="533">
        <f>CHOOSE(MATCH('Lists and Mapping'!$C$10,'Lists and Mapping'!$B$3:$B$5,0),'2026 Forecast'!H55,'2027 Forecast'!H55,'2028 Forecast'!H55)</f>
        <v>0</v>
      </c>
      <c r="I55" s="533">
        <f>CHOOSE(MATCH('Lists and Mapping'!$C$10,'Lists and Mapping'!$B$3:$B$5,0),'2026 Forecast'!I55,'2027 Forecast'!I55,'2028 Forecast'!I55)</f>
        <v>0</v>
      </c>
      <c r="J55" s="535">
        <f>CHOOSE(MATCH('Lists and Mapping'!$C$10,'Lists and Mapping'!$B$3:$B$5,0),'2026 Forecast'!J55,'2027 Forecast'!J55,'2028 Forecast'!J55)</f>
        <v>0</v>
      </c>
      <c r="K55" s="535">
        <f>CHOOSE(MATCH('Lists and Mapping'!$C$10,'Lists and Mapping'!$B$3:$B$5,0),'2026 Forecast'!K55,'2027 Forecast'!K55,'2028 Forecast'!K55)</f>
        <v>0</v>
      </c>
      <c r="L55" s="535">
        <f>CHOOSE(MATCH('Lists and Mapping'!$C$10,'Lists and Mapping'!$B$3:$B$5,0),'2026 Forecast'!L55,'2027 Forecast'!L55,'2028 Forecast'!L55)</f>
        <v>0</v>
      </c>
      <c r="M55" s="537">
        <f>CHOOSE(MATCH('Lists and Mapping'!$C$10,'Lists and Mapping'!$B$3:$B$5,0),'2026 Forecast'!M55,'2027 Forecast'!M55,'2028 Forecast'!M55)</f>
        <v>0</v>
      </c>
      <c r="N55" s="537">
        <f>CHOOSE(MATCH('Lists and Mapping'!$C$10,'Lists and Mapping'!$B$3:$B$5,0),'2026 Forecast'!N55,'2027 Forecast'!N55,'2028 Forecast'!N55)</f>
        <v>0</v>
      </c>
      <c r="O55" s="548">
        <f>CHOOSE(MATCH('Lists and Mapping'!$C$10,'Lists and Mapping'!$B$3:$B$5,0),'2026 Forecast'!O55,'2027 Forecast'!O55,'2028 Forecast'!O55)</f>
        <v>0</v>
      </c>
      <c r="P55" s="538">
        <f>CHOOSE(MATCH('Lists and Mapping'!$C$10,'Lists and Mapping'!$B$3:$B$5,0),'2026 Forecast'!P55,'2027 Forecast'!P55,'2028 Forecast'!P55)</f>
        <v>0</v>
      </c>
      <c r="Q55" s="539">
        <f>CHOOSE(MATCH('Lists and Mapping'!$C$10,'Lists and Mapping'!$B$3:$B$5,0),'2026 Forecast'!Q55,'2027 Forecast'!Q55,'2028 Forecast'!Q55)</f>
        <v>0</v>
      </c>
      <c r="R55" s="539">
        <f>CHOOSE(MATCH('Lists and Mapping'!$C$10,'Lists and Mapping'!$B$3:$B$5,0),'2026 Forecast'!R55,'2027 Forecast'!R55,'2028 Forecast'!R55)</f>
        <v>0</v>
      </c>
      <c r="S55" s="539">
        <f>CHOOSE(MATCH('Lists and Mapping'!$C$10,'Lists and Mapping'!$B$3:$B$5,0),'2026 Forecast'!S55,'2027 Forecast'!S55,'2028 Forecast'!S55)</f>
        <v>0</v>
      </c>
      <c r="T55" s="539">
        <f>CHOOSE(MATCH('Lists and Mapping'!$C$10,'Lists and Mapping'!$B$3:$B$5,0),'2026 Forecast'!T55,'2027 Forecast'!T55,'2028 Forecast'!T55)</f>
        <v>0</v>
      </c>
      <c r="U55" s="539">
        <f>CHOOSE(MATCH('Lists and Mapping'!$C$10,'Lists and Mapping'!$B$3:$B$5,0),'2026 Forecast'!U55,'2027 Forecast'!U55,'2028 Forecast'!U55)</f>
        <v>0</v>
      </c>
      <c r="V55" s="540">
        <f>CHOOSE(MATCH('Lists and Mapping'!$C$10,'Lists and Mapping'!$B$3:$B$5,0),'2026 Forecast'!V55,'2027 Forecast'!V55,'2028 Forecast'!V55)</f>
        <v>0</v>
      </c>
      <c r="W55" s="542">
        <f>CHOOSE(MATCH('Lists and Mapping'!$C$10,'Lists and Mapping'!$B$3:$B$5,0),'2026 Forecast'!W55,'2027 Forecast'!W55,'2028 Forecast'!W55)</f>
        <v>0</v>
      </c>
      <c r="X55" s="542">
        <f>CHOOSE(MATCH('Lists and Mapping'!$C$10,'Lists and Mapping'!$B$3:$B$5,0),'2026 Forecast'!X55,'2027 Forecast'!X55,'2028 Forecast'!X55)</f>
        <v>0</v>
      </c>
      <c r="Y55" s="542">
        <f>CHOOSE(MATCH('Lists and Mapping'!$C$10,'Lists and Mapping'!$B$3:$B$5,0),'2026 Forecast'!Y55,'2027 Forecast'!Y55,'2028 Forecast'!Y55)</f>
        <v>0</v>
      </c>
      <c r="Z55" s="540">
        <f>CHOOSE(MATCH('Lists and Mapping'!$C$10,'Lists and Mapping'!$B$3:$B$5,0),'2026 Forecast'!Z55,'2027 Forecast'!Z55,'2028 Forecast'!Z55)</f>
        <v>0</v>
      </c>
      <c r="AA55" s="543">
        <f>CHOOSE(MATCH('Lists and Mapping'!$C$10,'Lists and Mapping'!$B$3:$B$5,0),'2026 Forecast'!AA55,'2027 Forecast'!AA55,'2028 Forecast'!AA55)</f>
        <v>0</v>
      </c>
      <c r="AB55" s="570">
        <f>CHOOSE(MATCH('Lists and Mapping'!$C$10,'Lists and Mapping'!$B$3:$B$5,0),'2026 Forecast'!AB55,'2027 Forecast'!AB55,'2028 Forecast'!AB55)</f>
        <v>0</v>
      </c>
      <c r="AC55" s="570">
        <f>CHOOSE(MATCH('Lists and Mapping'!$C$10,'Lists and Mapping'!$B$3:$B$5,0),'2026 Forecast'!AC55,'2027 Forecast'!AC55,'2028 Forecast'!AC55)</f>
        <v>0</v>
      </c>
      <c r="AD55" s="570">
        <f>CHOOSE(MATCH('Lists and Mapping'!$C$10,'Lists and Mapping'!$B$3:$B$5,0),'2026 Forecast'!AD55,'2027 Forecast'!AD55,'2028 Forecast'!AD55)</f>
        <v>0</v>
      </c>
      <c r="AE55" s="570">
        <f>CHOOSE(MATCH('Lists and Mapping'!$C$10,'Lists and Mapping'!$B$3:$B$5,0),'2026 Forecast'!AE55,'2027 Forecast'!AE55,'2028 Forecast'!AE55)</f>
        <v>0</v>
      </c>
      <c r="AF55" s="543">
        <f>CHOOSE(MATCH('Lists and Mapping'!$C$10,'Lists and Mapping'!$B$3:$B$5,0),'2026 Forecast'!AF55,'2027 Forecast'!AF55,'2028 Forecast'!AF55)</f>
        <v>0</v>
      </c>
      <c r="AG55" s="545">
        <f>CHOOSE(MATCH('Lists and Mapping'!$C$10,'Lists and Mapping'!$B$3:$B$5,0),'2026 Forecast'!AG55,'2027 Forecast'!AG55,'2028 Forecast'!AG55)</f>
        <v>0</v>
      </c>
      <c r="AH55" s="546">
        <f>CHOOSE(MATCH('Lists and Mapping'!$C$10,'Lists and Mapping'!$B$3:$B$5,0),'2026 Forecast'!AH55,'2027 Forecast'!AH55,'2028 Forecast'!AH55)</f>
        <v>0</v>
      </c>
      <c r="AI55" s="571">
        <f>CHOOSE(MATCH('Lists and Mapping'!$C$10,'Lists and Mapping'!$B$3:$B$5,0),'2026 Forecast'!AI55,'2027 Forecast'!AI55,'2028 Forecast'!AI55)</f>
        <v>0</v>
      </c>
      <c r="AJ55" s="546">
        <f>CHOOSE(MATCH('Lists and Mapping'!$C$10,'Lists and Mapping'!$B$3:$B$5,0),'2026 Forecast'!AJ55,'2027 Forecast'!AJ55,'2028 Forecast'!AJ55)</f>
        <v>0</v>
      </c>
      <c r="AK55" s="547">
        <f>CHOOSE(MATCH('Lists and Mapping'!$C$10,'Lists and Mapping'!$B$3:$B$5,0),'2026 Forecast'!AK55,'2027 Forecast'!AK55,'2028 Forecast'!AK55)</f>
        <v>0</v>
      </c>
      <c r="AL55" s="546">
        <f>CHOOSE(MATCH('Lists and Mapping'!$C$10,'Lists and Mapping'!$B$3:$B$5,0),'2026 Forecast'!AL55,'2027 Forecast'!AL55,'2028 Forecast'!AL55)</f>
        <v>0</v>
      </c>
      <c r="AM55" s="546">
        <f>CHOOSE(MATCH('Lists and Mapping'!$C$10,'Lists and Mapping'!$B$3:$B$5,0),'2026 Forecast'!AM55,'2027 Forecast'!AM55,'2028 Forecast'!AM55)</f>
        <v>0</v>
      </c>
      <c r="AN55" s="547">
        <f>CHOOSE(MATCH('Lists and Mapping'!$C$10,'Lists and Mapping'!$B$3:$B$5,0),'2026 Forecast'!AN55,'2027 Forecast'!AN55,'2028 Forecast'!AN55)</f>
        <v>0</v>
      </c>
      <c r="AO55" s="446"/>
      <c r="AP55" s="446"/>
      <c r="AQ55" s="446"/>
      <c r="AR55" s="446"/>
      <c r="AS55" s="446"/>
      <c r="AT55" s="72"/>
      <c r="AU55" s="72"/>
      <c r="AV55" s="72"/>
      <c r="AW55" s="72"/>
      <c r="AX55" s="72"/>
      <c r="AY55" s="72"/>
      <c r="AZ55" s="72"/>
      <c r="BA55" s="72"/>
      <c r="BB55" s="72"/>
    </row>
    <row r="56" spans="2:54">
      <c r="B56" s="529" t="str">
        <f>D56</f>
        <v>PLGUM 001</v>
      </c>
      <c r="C56" s="420"/>
      <c r="D56" s="590" t="s">
        <v>74</v>
      </c>
      <c r="E56" s="531">
        <f>CHOOSE(MATCH('Lists and Mapping'!$C$10,'Lists and Mapping'!$B$3:$B$5,0),'2026 Forecast'!E56,'2027 Forecast'!E56,'2028 Forecast'!E56)</f>
        <v>0</v>
      </c>
      <c r="F56" s="591">
        <f>CHOOSE(MATCH('Lists and Mapping'!$C$10,'Lists and Mapping'!$B$3:$B$5,0),'2026 Forecast'!F56,'2027 Forecast'!F56,'2028 Forecast'!F56)</f>
        <v>0</v>
      </c>
      <c r="G56" s="533">
        <f>CHOOSE(MATCH('Lists and Mapping'!$C$10,'Lists and Mapping'!$B$3:$B$5,0),'2026 Forecast'!G56,'2027 Forecast'!G56,'2028 Forecast'!G56)</f>
        <v>0</v>
      </c>
      <c r="H56" s="533">
        <f>CHOOSE(MATCH('Lists and Mapping'!$C$10,'Lists and Mapping'!$B$3:$B$5,0),'2026 Forecast'!H56,'2027 Forecast'!H56,'2028 Forecast'!H56)</f>
        <v>0</v>
      </c>
      <c r="I56" s="533">
        <f>CHOOSE(MATCH('Lists and Mapping'!$C$10,'Lists and Mapping'!$B$3:$B$5,0),'2026 Forecast'!I56,'2027 Forecast'!I56,'2028 Forecast'!I56)</f>
        <v>0</v>
      </c>
      <c r="J56" s="535">
        <f>CHOOSE(MATCH('Lists and Mapping'!$C$10,'Lists and Mapping'!$B$3:$B$5,0),'2026 Forecast'!J56,'2027 Forecast'!J56,'2028 Forecast'!J56)</f>
        <v>0</v>
      </c>
      <c r="K56" s="574">
        <f>CHOOSE(MATCH('Lists and Mapping'!$C$10,'Lists and Mapping'!$B$3:$B$5,0),'2026 Forecast'!K56,'2027 Forecast'!K56,'2028 Forecast'!K56)</f>
        <v>11</v>
      </c>
      <c r="L56" s="574">
        <f>CHOOSE(MATCH('Lists and Mapping'!$C$10,'Lists and Mapping'!$B$3:$B$5,0),'2026 Forecast'!L56,'2027 Forecast'!L56,'2028 Forecast'!L56)</f>
        <v>0</v>
      </c>
      <c r="M56" s="537">
        <f>CHOOSE(MATCH('Lists and Mapping'!$C$10,'Lists and Mapping'!$B$3:$B$5,0),'2026 Forecast'!M56,'2027 Forecast'!M56,'2028 Forecast'!M56)</f>
        <v>0</v>
      </c>
      <c r="N56" s="537">
        <f>CHOOSE(MATCH('Lists and Mapping'!$C$10,'Lists and Mapping'!$B$3:$B$5,0),'2026 Forecast'!N56,'2027 Forecast'!N56,'2028 Forecast'!N56)</f>
        <v>0</v>
      </c>
      <c r="O56" s="548">
        <f>CHOOSE(MATCH('Lists and Mapping'!$C$10,'Lists and Mapping'!$B$3:$B$5,0),'2026 Forecast'!O56,'2027 Forecast'!O56,'2028 Forecast'!O56)</f>
        <v>0</v>
      </c>
      <c r="P56" s="538">
        <f>CHOOSE(MATCH('Lists and Mapping'!$C$10,'Lists and Mapping'!$B$3:$B$5,0),'2026 Forecast'!P56,'2027 Forecast'!P56,'2028 Forecast'!P56)</f>
        <v>0</v>
      </c>
      <c r="Q56" s="539">
        <f>CHOOSE(MATCH('Lists and Mapping'!$C$10,'Lists and Mapping'!$B$3:$B$5,0),'2026 Forecast'!Q56,'2027 Forecast'!Q56,'2028 Forecast'!Q56)</f>
        <v>0</v>
      </c>
      <c r="R56" s="539">
        <f>CHOOSE(MATCH('Lists and Mapping'!$C$10,'Lists and Mapping'!$B$3:$B$5,0),'2026 Forecast'!R56,'2027 Forecast'!R56,'2028 Forecast'!R56)</f>
        <v>0</v>
      </c>
      <c r="S56" s="539">
        <f>CHOOSE(MATCH('Lists and Mapping'!$C$10,'Lists and Mapping'!$B$3:$B$5,0),'2026 Forecast'!S56,'2027 Forecast'!S56,'2028 Forecast'!S56)</f>
        <v>0</v>
      </c>
      <c r="T56" s="539">
        <f>CHOOSE(MATCH('Lists and Mapping'!$C$10,'Lists and Mapping'!$B$3:$B$5,0),'2026 Forecast'!T56,'2027 Forecast'!T56,'2028 Forecast'!T56)</f>
        <v>0</v>
      </c>
      <c r="U56" s="539">
        <f>CHOOSE(MATCH('Lists and Mapping'!$C$10,'Lists and Mapping'!$B$3:$B$5,0),'2026 Forecast'!U56,'2027 Forecast'!U56,'2028 Forecast'!U56)</f>
        <v>7.7880000000000007E-4</v>
      </c>
      <c r="V56" s="540">
        <f>CHOOSE(MATCH('Lists and Mapping'!$C$10,'Lists and Mapping'!$B$3:$B$5,0),'2026 Forecast'!V56,'2027 Forecast'!V56,'2028 Forecast'!V56)</f>
        <v>7.7880000000000007E-4</v>
      </c>
      <c r="W56" s="542">
        <f>CHOOSE(MATCH('Lists and Mapping'!$C$10,'Lists and Mapping'!$B$3:$B$5,0),'2026 Forecast'!W56,'2027 Forecast'!W56,'2028 Forecast'!W56)</f>
        <v>0</v>
      </c>
      <c r="X56" s="542">
        <f>CHOOSE(MATCH('Lists and Mapping'!$C$10,'Lists and Mapping'!$B$3:$B$5,0),'2026 Forecast'!X56,'2027 Forecast'!X56,'2028 Forecast'!X56)</f>
        <v>0</v>
      </c>
      <c r="Y56" s="542">
        <f>CHOOSE(MATCH('Lists and Mapping'!$C$10,'Lists and Mapping'!$B$3:$B$5,0),'2026 Forecast'!Y56,'2027 Forecast'!Y56,'2028 Forecast'!Y56)</f>
        <v>0</v>
      </c>
      <c r="Z56" s="540">
        <f>CHOOSE(MATCH('Lists and Mapping'!$C$10,'Lists and Mapping'!$B$3:$B$5,0),'2026 Forecast'!Z56,'2027 Forecast'!Z56,'2028 Forecast'!Z56)</f>
        <v>0</v>
      </c>
      <c r="AA56" s="543">
        <f>CHOOSE(MATCH('Lists and Mapping'!$C$10,'Lists and Mapping'!$B$3:$B$5,0),'2026 Forecast'!AA56,'2027 Forecast'!AA56,'2028 Forecast'!AA56)</f>
        <v>7.7880000000000007E-4</v>
      </c>
      <c r="AB56" s="570">
        <f>CHOOSE(MATCH('Lists and Mapping'!$C$10,'Lists and Mapping'!$B$3:$B$5,0),'2026 Forecast'!AB56,'2027 Forecast'!AB56,'2028 Forecast'!AB56)</f>
        <v>0</v>
      </c>
      <c r="AC56" s="570">
        <f>CHOOSE(MATCH('Lists and Mapping'!$C$10,'Lists and Mapping'!$B$3:$B$5,0),'2026 Forecast'!AC56,'2027 Forecast'!AC56,'2028 Forecast'!AC56)</f>
        <v>0</v>
      </c>
      <c r="AD56" s="570">
        <f>CHOOSE(MATCH('Lists and Mapping'!$C$10,'Lists and Mapping'!$B$3:$B$5,0),'2026 Forecast'!AD56,'2027 Forecast'!AD56,'2028 Forecast'!AD56)</f>
        <v>0</v>
      </c>
      <c r="AE56" s="570">
        <f>CHOOSE(MATCH('Lists and Mapping'!$C$10,'Lists and Mapping'!$B$3:$B$5,0),'2026 Forecast'!AE56,'2027 Forecast'!AE56,'2028 Forecast'!AE56)</f>
        <v>0</v>
      </c>
      <c r="AF56" s="543">
        <f>CHOOSE(MATCH('Lists and Mapping'!$C$10,'Lists and Mapping'!$B$3:$B$5,0),'2026 Forecast'!AF56,'2027 Forecast'!AF56,'2028 Forecast'!AF56)</f>
        <v>0</v>
      </c>
      <c r="AG56" s="545">
        <f>CHOOSE(MATCH('Lists and Mapping'!$C$10,'Lists and Mapping'!$B$3:$B$5,0),'2026 Forecast'!AG56,'2027 Forecast'!AG56,'2028 Forecast'!AG56)</f>
        <v>7.7880000000000007E-4</v>
      </c>
      <c r="AH56" s="546" t="e">
        <f>CHOOSE(MATCH('Lists and Mapping'!$C$10,'Lists and Mapping'!$B$3:$B$5,0),'2026 Forecast'!AH56,'2027 Forecast'!AH56,'2028 Forecast'!AH56)</f>
        <v>#DIV/0!</v>
      </c>
      <c r="AI56" s="546" t="e">
        <f>CHOOSE(MATCH('Lists and Mapping'!$C$10,'Lists and Mapping'!$B$3:$B$5,0),'2026 Forecast'!AI56,'2027 Forecast'!AI56,'2028 Forecast'!AI56)</f>
        <v>#DIV/0!</v>
      </c>
      <c r="AJ56" s="546" t="e">
        <f>CHOOSE(MATCH('Lists and Mapping'!$C$10,'Lists and Mapping'!$B$3:$B$5,0),'2026 Forecast'!AJ56,'2027 Forecast'!AJ56,'2028 Forecast'!AJ56)</f>
        <v>#DIV/0!</v>
      </c>
      <c r="AK56" s="547" t="e">
        <f>CHOOSE(MATCH('Lists and Mapping'!$C$10,'Lists and Mapping'!$B$3:$B$5,0),'2026 Forecast'!AK56,'2027 Forecast'!AK56,'2028 Forecast'!AK56)</f>
        <v>#DIV/0!</v>
      </c>
      <c r="AL56" s="546" t="e">
        <f>CHOOSE(MATCH('Lists and Mapping'!$C$10,'Lists and Mapping'!$B$3:$B$5,0),'2026 Forecast'!AL56,'2027 Forecast'!AL56,'2028 Forecast'!AL56)</f>
        <v>#DIV/0!</v>
      </c>
      <c r="AM56" s="546" t="e">
        <f>CHOOSE(MATCH('Lists and Mapping'!$C$10,'Lists and Mapping'!$B$3:$B$5,0),'2026 Forecast'!AM56,'2027 Forecast'!AM56,'2028 Forecast'!AM56)</f>
        <v>#DIV/0!</v>
      </c>
      <c r="AN56" s="547" t="e">
        <f>CHOOSE(MATCH('Lists and Mapping'!$C$10,'Lists and Mapping'!$B$3:$B$5,0),'2026 Forecast'!AN56,'2027 Forecast'!AN56,'2028 Forecast'!AN56)</f>
        <v>#DIV/0!</v>
      </c>
      <c r="AO56" s="446"/>
      <c r="AP56" s="446"/>
      <c r="AQ56" s="446"/>
      <c r="AR56" s="446"/>
      <c r="AS56" s="446"/>
      <c r="AT56" s="72"/>
      <c r="AU56" s="72"/>
      <c r="AV56" s="72"/>
      <c r="AW56" s="72"/>
      <c r="AX56" s="72"/>
      <c r="AY56" s="72"/>
      <c r="AZ56" s="72"/>
      <c r="BA56" s="72"/>
      <c r="BB56" s="72"/>
    </row>
    <row r="57" spans="2:54">
      <c r="B57" s="529" t="str">
        <f t="shared" ref="B57:B77" si="0">D57</f>
        <v>PLGUM 002</v>
      </c>
      <c r="C57" s="420"/>
      <c r="D57" s="590" t="s">
        <v>79</v>
      </c>
      <c r="E57" s="531">
        <f>CHOOSE(MATCH('Lists and Mapping'!$C$10,'Lists and Mapping'!$B$3:$B$5,0),'2026 Forecast'!E57,'2027 Forecast'!E57,'2028 Forecast'!E57)</f>
        <v>0</v>
      </c>
      <c r="F57" s="532">
        <f>CHOOSE(MATCH('Lists and Mapping'!$C$10,'Lists and Mapping'!$B$3:$B$5,0),'2026 Forecast'!F57,'2027 Forecast'!F57,'2028 Forecast'!F57)</f>
        <v>2.9</v>
      </c>
      <c r="G57" s="533">
        <f>CHOOSE(MATCH('Lists and Mapping'!$C$10,'Lists and Mapping'!$B$3:$B$5,0),'2026 Forecast'!G57,'2027 Forecast'!G57,'2028 Forecast'!G57)</f>
        <v>0</v>
      </c>
      <c r="H57" s="533">
        <f>CHOOSE(MATCH('Lists and Mapping'!$C$10,'Lists and Mapping'!$B$3:$B$5,0),'2026 Forecast'!H57,'2027 Forecast'!H57,'2028 Forecast'!H57)</f>
        <v>0</v>
      </c>
      <c r="I57" s="533">
        <f>CHOOSE(MATCH('Lists and Mapping'!$C$10,'Lists and Mapping'!$B$3:$B$5,0),'2026 Forecast'!I57,'2027 Forecast'!I57,'2028 Forecast'!I57)</f>
        <v>0</v>
      </c>
      <c r="J57" s="535">
        <f>CHOOSE(MATCH('Lists and Mapping'!$C$10,'Lists and Mapping'!$B$3:$B$5,0),'2026 Forecast'!J57,'2027 Forecast'!J57,'2028 Forecast'!J57)</f>
        <v>0</v>
      </c>
      <c r="K57" s="574">
        <f>CHOOSE(MATCH('Lists and Mapping'!$C$10,'Lists and Mapping'!$B$3:$B$5,0),'2026 Forecast'!K57,'2027 Forecast'!K57,'2028 Forecast'!K57)</f>
        <v>10011</v>
      </c>
      <c r="L57" s="574">
        <f>CHOOSE(MATCH('Lists and Mapping'!$C$10,'Lists and Mapping'!$B$3:$B$5,0),'2026 Forecast'!L57,'2027 Forecast'!L57,'2028 Forecast'!L57)</f>
        <v>0</v>
      </c>
      <c r="M57" s="537">
        <f>CHOOSE(MATCH('Lists and Mapping'!$C$10,'Lists and Mapping'!$B$3:$B$5,0),'2026 Forecast'!M57,'2027 Forecast'!M57,'2028 Forecast'!M57)</f>
        <v>0</v>
      </c>
      <c r="N57" s="537">
        <f>CHOOSE(MATCH('Lists and Mapping'!$C$10,'Lists and Mapping'!$B$3:$B$5,0),'2026 Forecast'!N57,'2027 Forecast'!N57,'2028 Forecast'!N57)</f>
        <v>0</v>
      </c>
      <c r="O57" s="548">
        <f>CHOOSE(MATCH('Lists and Mapping'!$C$10,'Lists and Mapping'!$B$3:$B$5,0),'2026 Forecast'!O57,'2027 Forecast'!O57,'2028 Forecast'!O57)</f>
        <v>0</v>
      </c>
      <c r="P57" s="538">
        <f>CHOOSE(MATCH('Lists and Mapping'!$C$10,'Lists and Mapping'!$B$3:$B$5,0),'2026 Forecast'!P57,'2027 Forecast'!P57,'2028 Forecast'!P57)</f>
        <v>0</v>
      </c>
      <c r="Q57" s="539">
        <f>CHOOSE(MATCH('Lists and Mapping'!$C$10,'Lists and Mapping'!$B$3:$B$5,0),'2026 Forecast'!Q57,'2027 Forecast'!Q57,'2028 Forecast'!Q57)</f>
        <v>0</v>
      </c>
      <c r="R57" s="539">
        <f>CHOOSE(MATCH('Lists and Mapping'!$C$10,'Lists and Mapping'!$B$3:$B$5,0),'2026 Forecast'!R57,'2027 Forecast'!R57,'2028 Forecast'!R57)</f>
        <v>0</v>
      </c>
      <c r="S57" s="539">
        <f>CHOOSE(MATCH('Lists and Mapping'!$C$10,'Lists and Mapping'!$B$3:$B$5,0),'2026 Forecast'!S57,'2027 Forecast'!S57,'2028 Forecast'!S57)</f>
        <v>0</v>
      </c>
      <c r="T57" s="539">
        <f>CHOOSE(MATCH('Lists and Mapping'!$C$10,'Lists and Mapping'!$B$3:$B$5,0),'2026 Forecast'!T57,'2027 Forecast'!T57,'2028 Forecast'!T57)</f>
        <v>0</v>
      </c>
      <c r="U57" s="539">
        <f>CHOOSE(MATCH('Lists and Mapping'!$C$10,'Lists and Mapping'!$B$3:$B$5,0),'2026 Forecast'!U57,'2027 Forecast'!U57,'2028 Forecast'!U57)</f>
        <v>0.80815104000000004</v>
      </c>
      <c r="V57" s="540">
        <f>CHOOSE(MATCH('Lists and Mapping'!$C$10,'Lists and Mapping'!$B$3:$B$5,0),'2026 Forecast'!V57,'2027 Forecast'!V57,'2028 Forecast'!V57)</f>
        <v>0.80815104000000004</v>
      </c>
      <c r="W57" s="542">
        <f>CHOOSE(MATCH('Lists and Mapping'!$C$10,'Lists and Mapping'!$B$3:$B$5,0),'2026 Forecast'!W57,'2027 Forecast'!W57,'2028 Forecast'!W57)</f>
        <v>0</v>
      </c>
      <c r="X57" s="542">
        <f>CHOOSE(MATCH('Lists and Mapping'!$C$10,'Lists and Mapping'!$B$3:$B$5,0),'2026 Forecast'!X57,'2027 Forecast'!X57,'2028 Forecast'!X57)</f>
        <v>0</v>
      </c>
      <c r="Y57" s="542">
        <f>CHOOSE(MATCH('Lists and Mapping'!$C$10,'Lists and Mapping'!$B$3:$B$5,0),'2026 Forecast'!Y57,'2027 Forecast'!Y57,'2028 Forecast'!Y57)</f>
        <v>0</v>
      </c>
      <c r="Z57" s="540">
        <f>CHOOSE(MATCH('Lists and Mapping'!$C$10,'Lists and Mapping'!$B$3:$B$5,0),'2026 Forecast'!Z57,'2027 Forecast'!Z57,'2028 Forecast'!Z57)</f>
        <v>0</v>
      </c>
      <c r="AA57" s="543">
        <f>CHOOSE(MATCH('Lists and Mapping'!$C$10,'Lists and Mapping'!$B$3:$B$5,0),'2026 Forecast'!AA57,'2027 Forecast'!AA57,'2028 Forecast'!AA57)</f>
        <v>0.80815104000000004</v>
      </c>
      <c r="AB57" s="570">
        <f>CHOOSE(MATCH('Lists and Mapping'!$C$10,'Lists and Mapping'!$B$3:$B$5,0),'2026 Forecast'!AB57,'2027 Forecast'!AB57,'2028 Forecast'!AB57)</f>
        <v>0.3195745101313438</v>
      </c>
      <c r="AC57" s="570">
        <f>CHOOSE(MATCH('Lists and Mapping'!$C$10,'Lists and Mapping'!$B$3:$B$5,0),'2026 Forecast'!AC57,'2027 Forecast'!AC57,'2028 Forecast'!AC57)</f>
        <v>0.13555678814620037</v>
      </c>
      <c r="AD57" s="570">
        <f>CHOOSE(MATCH('Lists and Mapping'!$C$10,'Lists and Mapping'!$B$3:$B$5,0),'2026 Forecast'!AD57,'2027 Forecast'!AD57,'2028 Forecast'!AD57)</f>
        <v>1.6617E-2</v>
      </c>
      <c r="AE57" s="570">
        <f>CHOOSE(MATCH('Lists and Mapping'!$C$10,'Lists and Mapping'!$B$3:$B$5,0),'2026 Forecast'!AE57,'2027 Forecast'!AE57,'2028 Forecast'!AE57)</f>
        <v>3.3866199999999999E-2</v>
      </c>
      <c r="AF57" s="543">
        <f>CHOOSE(MATCH('Lists and Mapping'!$C$10,'Lists and Mapping'!$B$3:$B$5,0),'2026 Forecast'!AF57,'2027 Forecast'!AF57,'2028 Forecast'!AF57)</f>
        <v>2.4910999999999998E-4</v>
      </c>
      <c r="AG57" s="545">
        <f>CHOOSE(MATCH('Lists and Mapping'!$C$10,'Lists and Mapping'!$B$3:$B$5,0),'2026 Forecast'!AG57,'2027 Forecast'!AG57,'2028 Forecast'!AG57)</f>
        <v>1.3140146482775443</v>
      </c>
      <c r="AH57" s="546">
        <f>CHOOSE(MATCH('Lists and Mapping'!$C$10,'Lists and Mapping'!$B$3:$B$5,0),'2026 Forecast'!AH57,'2027 Forecast'!AH57,'2028 Forecast'!AH57)</f>
        <v>27.867277241379313</v>
      </c>
      <c r="AI57" s="546">
        <f>CHOOSE(MATCH('Lists and Mapping'!$C$10,'Lists and Mapping'!$B$3:$B$5,0),'2026 Forecast'!AI57,'2027 Forecast'!AI57,'2028 Forecast'!AI57)</f>
        <v>11.019810694184269</v>
      </c>
      <c r="AJ57" s="546">
        <f>CHOOSE(MATCH('Lists and Mapping'!$C$10,'Lists and Mapping'!$B$3:$B$5,0),'2026 Forecast'!AJ57,'2027 Forecast'!AJ57,'2028 Forecast'!AJ57)</f>
        <v>4.6743720050413922</v>
      </c>
      <c r="AK57" s="547">
        <f>CHOOSE(MATCH('Lists and Mapping'!$C$10,'Lists and Mapping'!$B$3:$B$5,0),'2026 Forecast'!AK57,'2027 Forecast'!AK57,'2028 Forecast'!AK57)</f>
        <v>45.310849940604982</v>
      </c>
      <c r="AL57" s="546">
        <f>CHOOSE(MATCH('Lists and Mapping'!$C$10,'Lists and Mapping'!$B$3:$B$5,0),'2026 Forecast'!AL57,'2027 Forecast'!AL57,'2028 Forecast'!AL57)</f>
        <v>1.1678000000000002</v>
      </c>
      <c r="AM57" s="546">
        <f>CHOOSE(MATCH('Lists and Mapping'!$C$10,'Lists and Mapping'!$B$3:$B$5,0),'2026 Forecast'!AM57,'2027 Forecast'!AM57,'2028 Forecast'!AM57)</f>
        <v>8.5900000000000004E-3</v>
      </c>
      <c r="AN57" s="547">
        <f>CHOOSE(MATCH('Lists and Mapping'!$C$10,'Lists and Mapping'!$B$3:$B$5,0),'2026 Forecast'!AN57,'2027 Forecast'!AN57,'2028 Forecast'!AN57)</f>
        <v>45.310849940604982</v>
      </c>
      <c r="AO57" s="446"/>
      <c r="AP57" s="446"/>
      <c r="AQ57" s="446"/>
      <c r="AR57" s="446"/>
      <c r="AS57" s="446"/>
      <c r="AT57" s="72"/>
      <c r="AU57" s="72"/>
      <c r="AV57" s="72"/>
      <c r="AW57" s="72"/>
      <c r="AX57" s="72"/>
      <c r="AY57" s="72"/>
      <c r="AZ57" s="72"/>
      <c r="BA57" s="72"/>
      <c r="BB57" s="72"/>
    </row>
    <row r="58" spans="2:54">
      <c r="B58" s="529" t="str">
        <f t="shared" si="0"/>
        <v>PLGUM 003</v>
      </c>
      <c r="C58" s="420"/>
      <c r="D58" s="590" t="s">
        <v>82</v>
      </c>
      <c r="E58" s="531">
        <f>CHOOSE(MATCH('Lists and Mapping'!$C$10,'Lists and Mapping'!$B$3:$B$5,0),'2026 Forecast'!E58,'2027 Forecast'!E58,'2028 Forecast'!E58)</f>
        <v>0</v>
      </c>
      <c r="F58" s="532">
        <f>CHOOSE(MATCH('Lists and Mapping'!$C$10,'Lists and Mapping'!$B$3:$B$5,0),'2026 Forecast'!F58,'2027 Forecast'!F58,'2028 Forecast'!F58)</f>
        <v>30</v>
      </c>
      <c r="G58" s="533">
        <f>CHOOSE(MATCH('Lists and Mapping'!$C$10,'Lists and Mapping'!$B$3:$B$5,0),'2026 Forecast'!G58,'2027 Forecast'!G58,'2028 Forecast'!G58)</f>
        <v>0</v>
      </c>
      <c r="H58" s="533">
        <f>CHOOSE(MATCH('Lists and Mapping'!$C$10,'Lists and Mapping'!$B$3:$B$5,0),'2026 Forecast'!H58,'2027 Forecast'!H58,'2028 Forecast'!H58)</f>
        <v>0</v>
      </c>
      <c r="I58" s="533">
        <f>CHOOSE(MATCH('Lists and Mapping'!$C$10,'Lists and Mapping'!$B$3:$B$5,0),'2026 Forecast'!I58,'2027 Forecast'!I58,'2028 Forecast'!I58)</f>
        <v>0</v>
      </c>
      <c r="J58" s="535">
        <f>CHOOSE(MATCH('Lists and Mapping'!$C$10,'Lists and Mapping'!$B$3:$B$5,0),'2026 Forecast'!J58,'2027 Forecast'!J58,'2028 Forecast'!J58)</f>
        <v>0</v>
      </c>
      <c r="K58" s="574">
        <f>CHOOSE(MATCH('Lists and Mapping'!$C$10,'Lists and Mapping'!$B$3:$B$5,0),'2026 Forecast'!K58,'2027 Forecast'!K58,'2028 Forecast'!K58)</f>
        <v>74170</v>
      </c>
      <c r="L58" s="574">
        <f>CHOOSE(MATCH('Lists and Mapping'!$C$10,'Lists and Mapping'!$B$3:$B$5,0),'2026 Forecast'!L58,'2027 Forecast'!L58,'2028 Forecast'!L58)</f>
        <v>0</v>
      </c>
      <c r="M58" s="537">
        <f>CHOOSE(MATCH('Lists and Mapping'!$C$10,'Lists and Mapping'!$B$3:$B$5,0),'2026 Forecast'!M58,'2027 Forecast'!M58,'2028 Forecast'!M58)</f>
        <v>0</v>
      </c>
      <c r="N58" s="537">
        <f>CHOOSE(MATCH('Lists and Mapping'!$C$10,'Lists and Mapping'!$B$3:$B$5,0),'2026 Forecast'!N58,'2027 Forecast'!N58,'2028 Forecast'!N58)</f>
        <v>0</v>
      </c>
      <c r="O58" s="548">
        <f>CHOOSE(MATCH('Lists and Mapping'!$C$10,'Lists and Mapping'!$B$3:$B$5,0),'2026 Forecast'!O58,'2027 Forecast'!O58,'2028 Forecast'!O58)</f>
        <v>0</v>
      </c>
      <c r="P58" s="538">
        <f>CHOOSE(MATCH('Lists and Mapping'!$C$10,'Lists and Mapping'!$B$3:$B$5,0),'2026 Forecast'!P58,'2027 Forecast'!P58,'2028 Forecast'!P58)</f>
        <v>0</v>
      </c>
      <c r="Q58" s="539">
        <f>CHOOSE(MATCH('Lists and Mapping'!$C$10,'Lists and Mapping'!$B$3:$B$5,0),'2026 Forecast'!Q58,'2027 Forecast'!Q58,'2028 Forecast'!Q58)</f>
        <v>0</v>
      </c>
      <c r="R58" s="539">
        <f>CHOOSE(MATCH('Lists and Mapping'!$C$10,'Lists and Mapping'!$B$3:$B$5,0),'2026 Forecast'!R58,'2027 Forecast'!R58,'2028 Forecast'!R58)</f>
        <v>0</v>
      </c>
      <c r="S58" s="539">
        <f>CHOOSE(MATCH('Lists and Mapping'!$C$10,'Lists and Mapping'!$B$3:$B$5,0),'2026 Forecast'!S58,'2027 Forecast'!S58,'2028 Forecast'!S58)</f>
        <v>0</v>
      </c>
      <c r="T58" s="539">
        <f>CHOOSE(MATCH('Lists and Mapping'!$C$10,'Lists and Mapping'!$B$3:$B$5,0),'2026 Forecast'!T58,'2027 Forecast'!T58,'2028 Forecast'!T58)</f>
        <v>0</v>
      </c>
      <c r="U58" s="539">
        <f>CHOOSE(MATCH('Lists and Mapping'!$C$10,'Lists and Mapping'!$B$3:$B$5,0),'2026 Forecast'!U58,'2027 Forecast'!U58,'2028 Forecast'!U58)</f>
        <v>6.2918712000000001</v>
      </c>
      <c r="V58" s="540">
        <f>CHOOSE(MATCH('Lists and Mapping'!$C$10,'Lists and Mapping'!$B$3:$B$5,0),'2026 Forecast'!V58,'2027 Forecast'!V58,'2028 Forecast'!V58)</f>
        <v>6.2918712000000001</v>
      </c>
      <c r="W58" s="542">
        <f>CHOOSE(MATCH('Lists and Mapping'!$C$10,'Lists and Mapping'!$B$3:$B$5,0),'2026 Forecast'!W58,'2027 Forecast'!W58,'2028 Forecast'!W58)</f>
        <v>0</v>
      </c>
      <c r="X58" s="542">
        <f>CHOOSE(MATCH('Lists and Mapping'!$C$10,'Lists and Mapping'!$B$3:$B$5,0),'2026 Forecast'!X58,'2027 Forecast'!X58,'2028 Forecast'!X58)</f>
        <v>0</v>
      </c>
      <c r="Y58" s="542">
        <f>CHOOSE(MATCH('Lists and Mapping'!$C$10,'Lists and Mapping'!$B$3:$B$5,0),'2026 Forecast'!Y58,'2027 Forecast'!Y58,'2028 Forecast'!Y58)</f>
        <v>0</v>
      </c>
      <c r="Z58" s="540">
        <f>CHOOSE(MATCH('Lists and Mapping'!$C$10,'Lists and Mapping'!$B$3:$B$5,0),'2026 Forecast'!Z58,'2027 Forecast'!Z58,'2028 Forecast'!Z58)</f>
        <v>0</v>
      </c>
      <c r="AA58" s="543">
        <f>CHOOSE(MATCH('Lists and Mapping'!$C$10,'Lists and Mapping'!$B$3:$B$5,0),'2026 Forecast'!AA58,'2027 Forecast'!AA58,'2028 Forecast'!AA58)</f>
        <v>6.2918712000000001</v>
      </c>
      <c r="AB58" s="570">
        <f>CHOOSE(MATCH('Lists and Mapping'!$C$10,'Lists and Mapping'!$B$3:$B$5,0),'2026 Forecast'!AB58,'2027 Forecast'!AB58,'2028 Forecast'!AB58)</f>
        <v>3.3059432082552807</v>
      </c>
      <c r="AC58" s="570">
        <f>CHOOSE(MATCH('Lists and Mapping'!$C$10,'Lists and Mapping'!$B$3:$B$5,0),'2026 Forecast'!AC58,'2027 Forecast'!AC58,'2028 Forecast'!AC58)</f>
        <v>1.4023116015124177</v>
      </c>
      <c r="AD58" s="570">
        <f>CHOOSE(MATCH('Lists and Mapping'!$C$10,'Lists and Mapping'!$B$3:$B$5,0),'2026 Forecast'!AD58,'2027 Forecast'!AD58,'2028 Forecast'!AD58)</f>
        <v>0.1719</v>
      </c>
      <c r="AE58" s="570">
        <f>CHOOSE(MATCH('Lists and Mapping'!$C$10,'Lists and Mapping'!$B$3:$B$5,0),'2026 Forecast'!AE58,'2027 Forecast'!AE58,'2028 Forecast'!AE58)</f>
        <v>0.35034000000000004</v>
      </c>
      <c r="AF58" s="543">
        <f>CHOOSE(MATCH('Lists and Mapping'!$C$10,'Lists and Mapping'!$B$3:$B$5,0),'2026 Forecast'!AF58,'2027 Forecast'!AF58,'2028 Forecast'!AF58)</f>
        <v>2.5769999999999994E-3</v>
      </c>
      <c r="AG58" s="545">
        <f>CHOOSE(MATCH('Lists and Mapping'!$C$10,'Lists and Mapping'!$B$3:$B$5,0),'2026 Forecast'!AG58,'2027 Forecast'!AG58,'2028 Forecast'!AG58)</f>
        <v>11.524943009767696</v>
      </c>
      <c r="AH58" s="546">
        <f>CHOOSE(MATCH('Lists and Mapping'!$C$10,'Lists and Mapping'!$B$3:$B$5,0),'2026 Forecast'!AH58,'2027 Forecast'!AH58,'2028 Forecast'!AH58)</f>
        <v>20.972904</v>
      </c>
      <c r="AI58" s="546">
        <f>CHOOSE(MATCH('Lists and Mapping'!$C$10,'Lists and Mapping'!$B$3:$B$5,0),'2026 Forecast'!AI58,'2027 Forecast'!AI58,'2028 Forecast'!AI58)</f>
        <v>11.019810694184269</v>
      </c>
      <c r="AJ58" s="546">
        <f>CHOOSE(MATCH('Lists and Mapping'!$C$10,'Lists and Mapping'!$B$3:$B$5,0),'2026 Forecast'!AJ58,'2027 Forecast'!AJ58,'2028 Forecast'!AJ58)</f>
        <v>4.6743720050413922</v>
      </c>
      <c r="AK58" s="547">
        <f>CHOOSE(MATCH('Lists and Mapping'!$C$10,'Lists and Mapping'!$B$3:$B$5,0),'2026 Forecast'!AK58,'2027 Forecast'!AK58,'2028 Forecast'!AK58)</f>
        <v>38.416476699225655</v>
      </c>
      <c r="AL58" s="546">
        <f>CHOOSE(MATCH('Lists and Mapping'!$C$10,'Lists and Mapping'!$B$3:$B$5,0),'2026 Forecast'!AL58,'2027 Forecast'!AL58,'2028 Forecast'!AL58)</f>
        <v>1.1678000000000002</v>
      </c>
      <c r="AM58" s="546">
        <f>CHOOSE(MATCH('Lists and Mapping'!$C$10,'Lists and Mapping'!$B$3:$B$5,0),'2026 Forecast'!AM58,'2027 Forecast'!AM58,'2028 Forecast'!AM58)</f>
        <v>8.5899999999999987E-3</v>
      </c>
      <c r="AN58" s="547">
        <f>CHOOSE(MATCH('Lists and Mapping'!$C$10,'Lists and Mapping'!$B$3:$B$5,0),'2026 Forecast'!AN58,'2027 Forecast'!AN58,'2028 Forecast'!AN58)</f>
        <v>38.416476699225655</v>
      </c>
      <c r="AO58" s="446"/>
      <c r="AP58" s="446"/>
      <c r="AQ58" s="446"/>
      <c r="AR58" s="446"/>
      <c r="AS58" s="446"/>
      <c r="AT58" s="72"/>
      <c r="AU58" s="72"/>
      <c r="AV58" s="72"/>
      <c r="AW58" s="72"/>
      <c r="AX58" s="72"/>
      <c r="AY58" s="72"/>
      <c r="AZ58" s="72"/>
      <c r="BA58" s="72"/>
      <c r="BB58" s="72"/>
    </row>
    <row r="59" spans="2:54">
      <c r="B59" s="529" t="str">
        <f t="shared" si="0"/>
        <v>PLGUM 004</v>
      </c>
      <c r="C59" s="420"/>
      <c r="D59" s="590" t="s">
        <v>84</v>
      </c>
      <c r="E59" s="531">
        <f>CHOOSE(MATCH('Lists and Mapping'!$C$10,'Lists and Mapping'!$B$3:$B$5,0),'2026 Forecast'!E59,'2027 Forecast'!E59,'2028 Forecast'!E59)</f>
        <v>0</v>
      </c>
      <c r="F59" s="532">
        <f>CHOOSE(MATCH('Lists and Mapping'!$C$10,'Lists and Mapping'!$B$3:$B$5,0),'2026 Forecast'!F59,'2027 Forecast'!F59,'2028 Forecast'!F59)</f>
        <v>0.4</v>
      </c>
      <c r="G59" s="533">
        <f>CHOOSE(MATCH('Lists and Mapping'!$C$10,'Lists and Mapping'!$B$3:$B$5,0),'2026 Forecast'!G59,'2027 Forecast'!G59,'2028 Forecast'!G59)</f>
        <v>0</v>
      </c>
      <c r="H59" s="533">
        <f>CHOOSE(MATCH('Lists and Mapping'!$C$10,'Lists and Mapping'!$B$3:$B$5,0),'2026 Forecast'!H59,'2027 Forecast'!H59,'2028 Forecast'!H59)</f>
        <v>0</v>
      </c>
      <c r="I59" s="533">
        <f>CHOOSE(MATCH('Lists and Mapping'!$C$10,'Lists and Mapping'!$B$3:$B$5,0),'2026 Forecast'!I59,'2027 Forecast'!I59,'2028 Forecast'!I59)</f>
        <v>0</v>
      </c>
      <c r="J59" s="535">
        <f>CHOOSE(MATCH('Lists and Mapping'!$C$10,'Lists and Mapping'!$B$3:$B$5,0),'2026 Forecast'!J59,'2027 Forecast'!J59,'2028 Forecast'!J59)</f>
        <v>0</v>
      </c>
      <c r="K59" s="574">
        <f>CHOOSE(MATCH('Lists and Mapping'!$C$10,'Lists and Mapping'!$B$3:$B$5,0),'2026 Forecast'!K59,'2027 Forecast'!K59,'2028 Forecast'!K59)</f>
        <v>610</v>
      </c>
      <c r="L59" s="574">
        <f>CHOOSE(MATCH('Lists and Mapping'!$C$10,'Lists and Mapping'!$B$3:$B$5,0),'2026 Forecast'!L59,'2027 Forecast'!L59,'2028 Forecast'!L59)</f>
        <v>0</v>
      </c>
      <c r="M59" s="537">
        <f>CHOOSE(MATCH('Lists and Mapping'!$C$10,'Lists and Mapping'!$B$3:$B$5,0),'2026 Forecast'!M59,'2027 Forecast'!M59,'2028 Forecast'!M59)</f>
        <v>0</v>
      </c>
      <c r="N59" s="537">
        <f>CHOOSE(MATCH('Lists and Mapping'!$C$10,'Lists and Mapping'!$B$3:$B$5,0),'2026 Forecast'!N59,'2027 Forecast'!N59,'2028 Forecast'!N59)</f>
        <v>0</v>
      </c>
      <c r="O59" s="548">
        <f>CHOOSE(MATCH('Lists and Mapping'!$C$10,'Lists and Mapping'!$B$3:$B$5,0),'2026 Forecast'!O59,'2027 Forecast'!O59,'2028 Forecast'!O59)</f>
        <v>0</v>
      </c>
      <c r="P59" s="538">
        <f>CHOOSE(MATCH('Lists and Mapping'!$C$10,'Lists and Mapping'!$B$3:$B$5,0),'2026 Forecast'!P59,'2027 Forecast'!P59,'2028 Forecast'!P59)</f>
        <v>0</v>
      </c>
      <c r="Q59" s="539">
        <f>CHOOSE(MATCH('Lists and Mapping'!$C$10,'Lists and Mapping'!$B$3:$B$5,0),'2026 Forecast'!Q59,'2027 Forecast'!Q59,'2028 Forecast'!Q59)</f>
        <v>0</v>
      </c>
      <c r="R59" s="539">
        <f>CHOOSE(MATCH('Lists and Mapping'!$C$10,'Lists and Mapping'!$B$3:$B$5,0),'2026 Forecast'!R59,'2027 Forecast'!R59,'2028 Forecast'!R59)</f>
        <v>0</v>
      </c>
      <c r="S59" s="539">
        <f>CHOOSE(MATCH('Lists and Mapping'!$C$10,'Lists and Mapping'!$B$3:$B$5,0),'2026 Forecast'!S59,'2027 Forecast'!S59,'2028 Forecast'!S59)</f>
        <v>0</v>
      </c>
      <c r="T59" s="539">
        <f>CHOOSE(MATCH('Lists and Mapping'!$C$10,'Lists and Mapping'!$B$3:$B$5,0),'2026 Forecast'!T59,'2027 Forecast'!T59,'2028 Forecast'!T59)</f>
        <v>0</v>
      </c>
      <c r="U59" s="539">
        <f>CHOOSE(MATCH('Lists and Mapping'!$C$10,'Lists and Mapping'!$B$3:$B$5,0),'2026 Forecast'!U59,'2027 Forecast'!U59,'2028 Forecast'!U59)</f>
        <v>5.7754799999999995E-2</v>
      </c>
      <c r="V59" s="540">
        <f>CHOOSE(MATCH('Lists and Mapping'!$C$10,'Lists and Mapping'!$B$3:$B$5,0),'2026 Forecast'!V59,'2027 Forecast'!V59,'2028 Forecast'!V59)</f>
        <v>5.7754799999999995E-2</v>
      </c>
      <c r="W59" s="542">
        <f>CHOOSE(MATCH('Lists and Mapping'!$C$10,'Lists and Mapping'!$B$3:$B$5,0),'2026 Forecast'!W59,'2027 Forecast'!W59,'2028 Forecast'!W59)</f>
        <v>0</v>
      </c>
      <c r="X59" s="542">
        <f>CHOOSE(MATCH('Lists and Mapping'!$C$10,'Lists and Mapping'!$B$3:$B$5,0),'2026 Forecast'!X59,'2027 Forecast'!X59,'2028 Forecast'!X59)</f>
        <v>0</v>
      </c>
      <c r="Y59" s="542">
        <f>CHOOSE(MATCH('Lists and Mapping'!$C$10,'Lists and Mapping'!$B$3:$B$5,0),'2026 Forecast'!Y59,'2027 Forecast'!Y59,'2028 Forecast'!Y59)</f>
        <v>0</v>
      </c>
      <c r="Z59" s="540">
        <f>CHOOSE(MATCH('Lists and Mapping'!$C$10,'Lists and Mapping'!$B$3:$B$5,0),'2026 Forecast'!Z59,'2027 Forecast'!Z59,'2028 Forecast'!Z59)</f>
        <v>0</v>
      </c>
      <c r="AA59" s="543">
        <f>CHOOSE(MATCH('Lists and Mapping'!$C$10,'Lists and Mapping'!$B$3:$B$5,0),'2026 Forecast'!AA59,'2027 Forecast'!AA59,'2028 Forecast'!AA59)</f>
        <v>5.7754799999999995E-2</v>
      </c>
      <c r="AB59" s="570">
        <f>CHOOSE(MATCH('Lists and Mapping'!$C$10,'Lists and Mapping'!$B$3:$B$5,0),'2026 Forecast'!AB59,'2027 Forecast'!AB59,'2028 Forecast'!AB59)</f>
        <v>4.4079242776737082E-2</v>
      </c>
      <c r="AC59" s="570">
        <f>CHOOSE(MATCH('Lists and Mapping'!$C$10,'Lists and Mapping'!$B$3:$B$5,0),'2026 Forecast'!AC59,'2027 Forecast'!AC59,'2028 Forecast'!AC59)</f>
        <v>1.8697488020165572E-2</v>
      </c>
      <c r="AD59" s="570">
        <f>CHOOSE(MATCH('Lists and Mapping'!$C$10,'Lists and Mapping'!$B$3:$B$5,0),'2026 Forecast'!AD59,'2027 Forecast'!AD59,'2028 Forecast'!AD59)</f>
        <v>2.2920000000000002E-3</v>
      </c>
      <c r="AE59" s="570">
        <f>CHOOSE(MATCH('Lists and Mapping'!$C$10,'Lists and Mapping'!$B$3:$B$5,0),'2026 Forecast'!AE59,'2027 Forecast'!AE59,'2028 Forecast'!AE59)</f>
        <v>4.6712000000000004E-3</v>
      </c>
      <c r="AF59" s="543">
        <f>CHOOSE(MATCH('Lists and Mapping'!$C$10,'Lists and Mapping'!$B$3:$B$5,0),'2026 Forecast'!AF59,'2027 Forecast'!AF59,'2028 Forecast'!AF59)</f>
        <v>3.4359999999999996E-5</v>
      </c>
      <c r="AG59" s="545">
        <f>CHOOSE(MATCH('Lists and Mapping'!$C$10,'Lists and Mapping'!$B$3:$B$5,0),'2026 Forecast'!AG59,'2027 Forecast'!AG59,'2028 Forecast'!AG59)</f>
        <v>0.12752909079690267</v>
      </c>
      <c r="AH59" s="546">
        <f>CHOOSE(MATCH('Lists and Mapping'!$C$10,'Lists and Mapping'!$B$3:$B$5,0),'2026 Forecast'!AH59,'2027 Forecast'!AH59,'2028 Forecast'!AH59)</f>
        <v>14.438699999999999</v>
      </c>
      <c r="AI59" s="546">
        <f>CHOOSE(MATCH('Lists and Mapping'!$C$10,'Lists and Mapping'!$B$3:$B$5,0),'2026 Forecast'!AI59,'2027 Forecast'!AI59,'2028 Forecast'!AI59)</f>
        <v>11.019810694184271</v>
      </c>
      <c r="AJ59" s="546">
        <f>CHOOSE(MATCH('Lists and Mapping'!$C$10,'Lists and Mapping'!$B$3:$B$5,0),'2026 Forecast'!AJ59,'2027 Forecast'!AJ59,'2028 Forecast'!AJ59)</f>
        <v>4.6743720050413922</v>
      </c>
      <c r="AK59" s="547">
        <f>CHOOSE(MATCH('Lists and Mapping'!$C$10,'Lists and Mapping'!$B$3:$B$5,0),'2026 Forecast'!AK59,'2027 Forecast'!AK59,'2028 Forecast'!AK59)</f>
        <v>31.882272699225666</v>
      </c>
      <c r="AL59" s="546">
        <f>CHOOSE(MATCH('Lists and Mapping'!$C$10,'Lists and Mapping'!$B$3:$B$5,0),'2026 Forecast'!AL59,'2027 Forecast'!AL59,'2028 Forecast'!AL59)</f>
        <v>1.1678000000000002</v>
      </c>
      <c r="AM59" s="546">
        <f>CHOOSE(MATCH('Lists and Mapping'!$C$10,'Lists and Mapping'!$B$3:$B$5,0),'2026 Forecast'!AM59,'2027 Forecast'!AM59,'2028 Forecast'!AM59)</f>
        <v>8.5899999999999987E-3</v>
      </c>
      <c r="AN59" s="547">
        <f>CHOOSE(MATCH('Lists and Mapping'!$C$10,'Lists and Mapping'!$B$3:$B$5,0),'2026 Forecast'!AN59,'2027 Forecast'!AN59,'2028 Forecast'!AN59)</f>
        <v>31.882272699225666</v>
      </c>
      <c r="AO59" s="446"/>
      <c r="AP59" s="446"/>
      <c r="AQ59" s="446"/>
      <c r="AR59" s="446"/>
      <c r="AS59" s="446"/>
      <c r="AT59" s="72"/>
      <c r="AU59" s="72"/>
      <c r="AV59" s="72"/>
      <c r="AW59" s="72"/>
      <c r="AX59" s="72"/>
      <c r="AY59" s="72"/>
      <c r="AZ59" s="72"/>
      <c r="BA59" s="72"/>
      <c r="BB59" s="72"/>
    </row>
    <row r="60" spans="2:54">
      <c r="B60" s="529" t="str">
        <f t="shared" si="0"/>
        <v>PLGUM 005</v>
      </c>
      <c r="C60" s="420"/>
      <c r="D60" s="590" t="s">
        <v>86</v>
      </c>
      <c r="E60" s="531">
        <f>CHOOSE(MATCH('Lists and Mapping'!$C$10,'Lists and Mapping'!$B$3:$B$5,0),'2026 Forecast'!E60,'2027 Forecast'!E60,'2028 Forecast'!E60)</f>
        <v>0</v>
      </c>
      <c r="F60" s="532">
        <f>CHOOSE(MATCH('Lists and Mapping'!$C$10,'Lists and Mapping'!$B$3:$B$5,0),'2026 Forecast'!F60,'2027 Forecast'!F60,'2028 Forecast'!F60)</f>
        <v>16.2</v>
      </c>
      <c r="G60" s="533">
        <f>CHOOSE(MATCH('Lists and Mapping'!$C$10,'Lists and Mapping'!$B$3:$B$5,0),'2026 Forecast'!G60,'2027 Forecast'!G60,'2028 Forecast'!G60)</f>
        <v>0</v>
      </c>
      <c r="H60" s="533">
        <f>CHOOSE(MATCH('Lists and Mapping'!$C$10,'Lists and Mapping'!$B$3:$B$5,0),'2026 Forecast'!H60,'2027 Forecast'!H60,'2028 Forecast'!H60)</f>
        <v>0</v>
      </c>
      <c r="I60" s="533">
        <f>CHOOSE(MATCH('Lists and Mapping'!$C$10,'Lists and Mapping'!$B$3:$B$5,0),'2026 Forecast'!I60,'2027 Forecast'!I60,'2028 Forecast'!I60)</f>
        <v>0</v>
      </c>
      <c r="J60" s="535">
        <f>CHOOSE(MATCH('Lists and Mapping'!$C$10,'Lists and Mapping'!$B$3:$B$5,0),'2026 Forecast'!J60,'2027 Forecast'!J60,'2028 Forecast'!J60)</f>
        <v>0</v>
      </c>
      <c r="K60" s="574">
        <f>CHOOSE(MATCH('Lists and Mapping'!$C$10,'Lists and Mapping'!$B$3:$B$5,0),'2026 Forecast'!K60,'2027 Forecast'!K60,'2028 Forecast'!K60)</f>
        <v>18448</v>
      </c>
      <c r="L60" s="574">
        <f>CHOOSE(MATCH('Lists and Mapping'!$C$10,'Lists and Mapping'!$B$3:$B$5,0),'2026 Forecast'!L60,'2027 Forecast'!L60,'2028 Forecast'!L60)</f>
        <v>0</v>
      </c>
      <c r="M60" s="537">
        <f>CHOOSE(MATCH('Lists and Mapping'!$C$10,'Lists and Mapping'!$B$3:$B$5,0),'2026 Forecast'!M60,'2027 Forecast'!M60,'2028 Forecast'!M60)</f>
        <v>0</v>
      </c>
      <c r="N60" s="537">
        <f>CHOOSE(MATCH('Lists and Mapping'!$C$10,'Lists and Mapping'!$B$3:$B$5,0),'2026 Forecast'!N60,'2027 Forecast'!N60,'2028 Forecast'!N60)</f>
        <v>0</v>
      </c>
      <c r="O60" s="548">
        <f>CHOOSE(MATCH('Lists and Mapping'!$C$10,'Lists and Mapping'!$B$3:$B$5,0),'2026 Forecast'!O60,'2027 Forecast'!O60,'2028 Forecast'!O60)</f>
        <v>0</v>
      </c>
      <c r="P60" s="538">
        <f>CHOOSE(MATCH('Lists and Mapping'!$C$10,'Lists and Mapping'!$B$3:$B$5,0),'2026 Forecast'!P60,'2027 Forecast'!P60,'2028 Forecast'!P60)</f>
        <v>0</v>
      </c>
      <c r="Q60" s="539">
        <f>CHOOSE(MATCH('Lists and Mapping'!$C$10,'Lists and Mapping'!$B$3:$B$5,0),'2026 Forecast'!Q60,'2027 Forecast'!Q60,'2028 Forecast'!Q60)</f>
        <v>0</v>
      </c>
      <c r="R60" s="539">
        <f>CHOOSE(MATCH('Lists and Mapping'!$C$10,'Lists and Mapping'!$B$3:$B$5,0),'2026 Forecast'!R60,'2027 Forecast'!R60,'2028 Forecast'!R60)</f>
        <v>0</v>
      </c>
      <c r="S60" s="539">
        <f>CHOOSE(MATCH('Lists and Mapping'!$C$10,'Lists and Mapping'!$B$3:$B$5,0),'2026 Forecast'!S60,'2027 Forecast'!S60,'2028 Forecast'!S60)</f>
        <v>0</v>
      </c>
      <c r="T60" s="539">
        <f>CHOOSE(MATCH('Lists and Mapping'!$C$10,'Lists and Mapping'!$B$3:$B$5,0),'2026 Forecast'!T60,'2027 Forecast'!T60,'2028 Forecast'!T60)</f>
        <v>0</v>
      </c>
      <c r="U60" s="539">
        <f>CHOOSE(MATCH('Lists and Mapping'!$C$10,'Lists and Mapping'!$B$3:$B$5,0),'2026 Forecast'!U60,'2027 Forecast'!U60,'2028 Forecast'!U60)</f>
        <v>2.69572608</v>
      </c>
      <c r="V60" s="540">
        <f>CHOOSE(MATCH('Lists and Mapping'!$C$10,'Lists and Mapping'!$B$3:$B$5,0),'2026 Forecast'!V60,'2027 Forecast'!V60,'2028 Forecast'!V60)</f>
        <v>2.69572608</v>
      </c>
      <c r="W60" s="542">
        <f>CHOOSE(MATCH('Lists and Mapping'!$C$10,'Lists and Mapping'!$B$3:$B$5,0),'2026 Forecast'!W60,'2027 Forecast'!W60,'2028 Forecast'!W60)</f>
        <v>0</v>
      </c>
      <c r="X60" s="542">
        <f>CHOOSE(MATCH('Lists and Mapping'!$C$10,'Lists and Mapping'!$B$3:$B$5,0),'2026 Forecast'!X60,'2027 Forecast'!X60,'2028 Forecast'!X60)</f>
        <v>0</v>
      </c>
      <c r="Y60" s="542">
        <f>CHOOSE(MATCH('Lists and Mapping'!$C$10,'Lists and Mapping'!$B$3:$B$5,0),'2026 Forecast'!Y60,'2027 Forecast'!Y60,'2028 Forecast'!Y60)</f>
        <v>0</v>
      </c>
      <c r="Z60" s="540">
        <f>CHOOSE(MATCH('Lists and Mapping'!$C$10,'Lists and Mapping'!$B$3:$B$5,0),'2026 Forecast'!Z60,'2027 Forecast'!Z60,'2028 Forecast'!Z60)</f>
        <v>0</v>
      </c>
      <c r="AA60" s="543">
        <f>CHOOSE(MATCH('Lists and Mapping'!$C$10,'Lists and Mapping'!$B$3:$B$5,0),'2026 Forecast'!AA60,'2027 Forecast'!AA60,'2028 Forecast'!AA60)</f>
        <v>2.69572608</v>
      </c>
      <c r="AB60" s="570">
        <f>CHOOSE(MATCH('Lists and Mapping'!$C$10,'Lists and Mapping'!$B$3:$B$5,0),'2026 Forecast'!AB60,'2027 Forecast'!AB60,'2028 Forecast'!AB60)</f>
        <v>1.7852093324578515</v>
      </c>
      <c r="AC60" s="570">
        <f>CHOOSE(MATCH('Lists and Mapping'!$C$10,'Lists and Mapping'!$B$3:$B$5,0),'2026 Forecast'!AC60,'2027 Forecast'!AC60,'2028 Forecast'!AC60)</f>
        <v>0.7572482648167056</v>
      </c>
      <c r="AD60" s="570">
        <f>CHOOSE(MATCH('Lists and Mapping'!$C$10,'Lists and Mapping'!$B$3:$B$5,0),'2026 Forecast'!AD60,'2027 Forecast'!AD60,'2028 Forecast'!AD60)</f>
        <v>9.2825999999999992E-2</v>
      </c>
      <c r="AE60" s="570">
        <f>CHOOSE(MATCH('Lists and Mapping'!$C$10,'Lists and Mapping'!$B$3:$B$5,0),'2026 Forecast'!AE60,'2027 Forecast'!AE60,'2028 Forecast'!AE60)</f>
        <v>0.18918360000000001</v>
      </c>
      <c r="AF60" s="543">
        <f>CHOOSE(MATCH('Lists and Mapping'!$C$10,'Lists and Mapping'!$B$3:$B$5,0),'2026 Forecast'!AF60,'2027 Forecast'!AF60,'2028 Forecast'!AF60)</f>
        <v>1.3915799999999997E-3</v>
      </c>
      <c r="AG60" s="545">
        <f>CHOOSE(MATCH('Lists and Mapping'!$C$10,'Lists and Mapping'!$B$3:$B$5,0),'2026 Forecast'!AG60,'2027 Forecast'!AG60,'2028 Forecast'!AG60)</f>
        <v>5.5215848572745569</v>
      </c>
      <c r="AH60" s="546">
        <f>CHOOSE(MATCH('Lists and Mapping'!$C$10,'Lists and Mapping'!$B$3:$B$5,0),'2026 Forecast'!AH60,'2027 Forecast'!AH60,'2028 Forecast'!AH60)</f>
        <v>16.640284444444443</v>
      </c>
      <c r="AI60" s="546">
        <f>CHOOSE(MATCH('Lists and Mapping'!$C$10,'Lists and Mapping'!$B$3:$B$5,0),'2026 Forecast'!AI60,'2027 Forecast'!AI60,'2028 Forecast'!AI60)</f>
        <v>11.019810694184269</v>
      </c>
      <c r="AJ60" s="546">
        <f>CHOOSE(MATCH('Lists and Mapping'!$C$10,'Lists and Mapping'!$B$3:$B$5,0),'2026 Forecast'!AJ60,'2027 Forecast'!AJ60,'2028 Forecast'!AJ60)</f>
        <v>4.6743720050413922</v>
      </c>
      <c r="AK60" s="547">
        <f>CHOOSE(MATCH('Lists and Mapping'!$C$10,'Lists and Mapping'!$B$3:$B$5,0),'2026 Forecast'!AK60,'2027 Forecast'!AK60,'2028 Forecast'!AK60)</f>
        <v>34.083857143670102</v>
      </c>
      <c r="AL60" s="546">
        <f>CHOOSE(MATCH('Lists and Mapping'!$C$10,'Lists and Mapping'!$B$3:$B$5,0),'2026 Forecast'!AL60,'2027 Forecast'!AL60,'2028 Forecast'!AL60)</f>
        <v>1.1678000000000002</v>
      </c>
      <c r="AM60" s="546">
        <f>CHOOSE(MATCH('Lists and Mapping'!$C$10,'Lists and Mapping'!$B$3:$B$5,0),'2026 Forecast'!AM60,'2027 Forecast'!AM60,'2028 Forecast'!AM60)</f>
        <v>8.5899999999999987E-3</v>
      </c>
      <c r="AN60" s="547">
        <f>CHOOSE(MATCH('Lists and Mapping'!$C$10,'Lists and Mapping'!$B$3:$B$5,0),'2026 Forecast'!AN60,'2027 Forecast'!AN60,'2028 Forecast'!AN60)</f>
        <v>34.083857143670102</v>
      </c>
      <c r="AO60" s="446"/>
      <c r="AP60" s="446"/>
      <c r="AQ60" s="446"/>
      <c r="AR60" s="446"/>
      <c r="AS60" s="446"/>
      <c r="AT60" s="72"/>
      <c r="AU60" s="72"/>
      <c r="AV60" s="72"/>
      <c r="AW60" s="72"/>
      <c r="AX60" s="72"/>
      <c r="AY60" s="72"/>
      <c r="AZ60" s="72"/>
      <c r="BA60" s="72"/>
      <c r="BB60" s="72"/>
    </row>
    <row r="61" spans="2:54">
      <c r="B61" s="529" t="str">
        <f t="shared" si="0"/>
        <v>PLGUM 006</v>
      </c>
      <c r="C61" s="420"/>
      <c r="D61" s="590" t="s">
        <v>90</v>
      </c>
      <c r="E61" s="531">
        <f>CHOOSE(MATCH('Lists and Mapping'!$C$10,'Lists and Mapping'!$B$3:$B$5,0),'2026 Forecast'!E61,'2027 Forecast'!E61,'2028 Forecast'!E61)</f>
        <v>0</v>
      </c>
      <c r="F61" s="532">
        <f>CHOOSE(MATCH('Lists and Mapping'!$C$10,'Lists and Mapping'!$B$3:$B$5,0),'2026 Forecast'!F61,'2027 Forecast'!F61,'2028 Forecast'!F61)</f>
        <v>0.8</v>
      </c>
      <c r="G61" s="533">
        <f>CHOOSE(MATCH('Lists and Mapping'!$C$10,'Lists and Mapping'!$B$3:$B$5,0),'2026 Forecast'!G61,'2027 Forecast'!G61,'2028 Forecast'!G61)</f>
        <v>0</v>
      </c>
      <c r="H61" s="533">
        <f>CHOOSE(MATCH('Lists and Mapping'!$C$10,'Lists and Mapping'!$B$3:$B$5,0),'2026 Forecast'!H61,'2027 Forecast'!H61,'2028 Forecast'!H61)</f>
        <v>0</v>
      </c>
      <c r="I61" s="533">
        <f>CHOOSE(MATCH('Lists and Mapping'!$C$10,'Lists and Mapping'!$B$3:$B$5,0),'2026 Forecast'!I61,'2027 Forecast'!I61,'2028 Forecast'!I61)</f>
        <v>0</v>
      </c>
      <c r="J61" s="535">
        <f>CHOOSE(MATCH('Lists and Mapping'!$C$10,'Lists and Mapping'!$B$3:$B$5,0),'2026 Forecast'!J61,'2027 Forecast'!J61,'2028 Forecast'!J61)</f>
        <v>0</v>
      </c>
      <c r="K61" s="574">
        <f>CHOOSE(MATCH('Lists and Mapping'!$C$10,'Lists and Mapping'!$B$3:$B$5,0),'2026 Forecast'!K61,'2027 Forecast'!K61,'2028 Forecast'!K61)</f>
        <v>746</v>
      </c>
      <c r="L61" s="574">
        <f>CHOOSE(MATCH('Lists and Mapping'!$C$10,'Lists and Mapping'!$B$3:$B$5,0),'2026 Forecast'!L61,'2027 Forecast'!L61,'2028 Forecast'!L61)</f>
        <v>0</v>
      </c>
      <c r="M61" s="537">
        <f>CHOOSE(MATCH('Lists and Mapping'!$C$10,'Lists and Mapping'!$B$3:$B$5,0),'2026 Forecast'!M61,'2027 Forecast'!M61,'2028 Forecast'!M61)</f>
        <v>0</v>
      </c>
      <c r="N61" s="537">
        <f>CHOOSE(MATCH('Lists and Mapping'!$C$10,'Lists and Mapping'!$B$3:$B$5,0),'2026 Forecast'!N61,'2027 Forecast'!N61,'2028 Forecast'!N61)</f>
        <v>0</v>
      </c>
      <c r="O61" s="548">
        <f>CHOOSE(MATCH('Lists and Mapping'!$C$10,'Lists and Mapping'!$B$3:$B$5,0),'2026 Forecast'!O61,'2027 Forecast'!O61,'2028 Forecast'!O61)</f>
        <v>0</v>
      </c>
      <c r="P61" s="538">
        <f>CHOOSE(MATCH('Lists and Mapping'!$C$10,'Lists and Mapping'!$B$3:$B$5,0),'2026 Forecast'!P61,'2027 Forecast'!P61,'2028 Forecast'!P61)</f>
        <v>0</v>
      </c>
      <c r="Q61" s="539">
        <f>CHOOSE(MATCH('Lists and Mapping'!$C$10,'Lists and Mapping'!$B$3:$B$5,0),'2026 Forecast'!Q61,'2027 Forecast'!Q61,'2028 Forecast'!Q61)</f>
        <v>0</v>
      </c>
      <c r="R61" s="539">
        <f>CHOOSE(MATCH('Lists and Mapping'!$C$10,'Lists and Mapping'!$B$3:$B$5,0),'2026 Forecast'!R61,'2027 Forecast'!R61,'2028 Forecast'!R61)</f>
        <v>0</v>
      </c>
      <c r="S61" s="539">
        <f>CHOOSE(MATCH('Lists and Mapping'!$C$10,'Lists and Mapping'!$B$3:$B$5,0),'2026 Forecast'!S61,'2027 Forecast'!S61,'2028 Forecast'!S61)</f>
        <v>0</v>
      </c>
      <c r="T61" s="539">
        <f>CHOOSE(MATCH('Lists and Mapping'!$C$10,'Lists and Mapping'!$B$3:$B$5,0),'2026 Forecast'!T61,'2027 Forecast'!T61,'2028 Forecast'!T61)</f>
        <v>0</v>
      </c>
      <c r="U61" s="539">
        <f>CHOOSE(MATCH('Lists and Mapping'!$C$10,'Lists and Mapping'!$B$3:$B$5,0),'2026 Forecast'!U61,'2027 Forecast'!U61,'2028 Forecast'!U61)</f>
        <v>0.11924063999999999</v>
      </c>
      <c r="V61" s="540">
        <f>CHOOSE(MATCH('Lists and Mapping'!$C$10,'Lists and Mapping'!$B$3:$B$5,0),'2026 Forecast'!V61,'2027 Forecast'!V61,'2028 Forecast'!V61)</f>
        <v>0.11924063999999999</v>
      </c>
      <c r="W61" s="542">
        <f>CHOOSE(MATCH('Lists and Mapping'!$C$10,'Lists and Mapping'!$B$3:$B$5,0),'2026 Forecast'!W61,'2027 Forecast'!W61,'2028 Forecast'!W61)</f>
        <v>0</v>
      </c>
      <c r="X61" s="542">
        <f>CHOOSE(MATCH('Lists and Mapping'!$C$10,'Lists and Mapping'!$B$3:$B$5,0),'2026 Forecast'!X61,'2027 Forecast'!X61,'2028 Forecast'!X61)</f>
        <v>0</v>
      </c>
      <c r="Y61" s="542">
        <f>CHOOSE(MATCH('Lists and Mapping'!$C$10,'Lists and Mapping'!$B$3:$B$5,0),'2026 Forecast'!Y61,'2027 Forecast'!Y61,'2028 Forecast'!Y61)</f>
        <v>0</v>
      </c>
      <c r="Z61" s="540">
        <f>CHOOSE(MATCH('Lists and Mapping'!$C$10,'Lists and Mapping'!$B$3:$B$5,0),'2026 Forecast'!Z61,'2027 Forecast'!Z61,'2028 Forecast'!Z61)</f>
        <v>0</v>
      </c>
      <c r="AA61" s="543">
        <f>CHOOSE(MATCH('Lists and Mapping'!$C$10,'Lists and Mapping'!$B$3:$B$5,0),'2026 Forecast'!AA61,'2027 Forecast'!AA61,'2028 Forecast'!AA61)</f>
        <v>0.11924063999999999</v>
      </c>
      <c r="AB61" s="570">
        <f>CHOOSE(MATCH('Lists and Mapping'!$C$10,'Lists and Mapping'!$B$3:$B$5,0),'2026 Forecast'!AB61,'2027 Forecast'!AB61,'2028 Forecast'!AB61)</f>
        <v>8.8158485553474164E-2</v>
      </c>
      <c r="AC61" s="570">
        <f>CHOOSE(MATCH('Lists and Mapping'!$C$10,'Lists and Mapping'!$B$3:$B$5,0),'2026 Forecast'!AC61,'2027 Forecast'!AC61,'2028 Forecast'!AC61)</f>
        <v>3.7394976040331145E-2</v>
      </c>
      <c r="AD61" s="570">
        <f>CHOOSE(MATCH('Lists and Mapping'!$C$10,'Lists and Mapping'!$B$3:$B$5,0),'2026 Forecast'!AD61,'2027 Forecast'!AD61,'2028 Forecast'!AD61)</f>
        <v>4.5840000000000004E-3</v>
      </c>
      <c r="AE61" s="570">
        <f>CHOOSE(MATCH('Lists and Mapping'!$C$10,'Lists and Mapping'!$B$3:$B$5,0),'2026 Forecast'!AE61,'2027 Forecast'!AE61,'2028 Forecast'!AE61)</f>
        <v>9.3424000000000007E-3</v>
      </c>
      <c r="AF61" s="543">
        <f>CHOOSE(MATCH('Lists and Mapping'!$C$10,'Lists and Mapping'!$B$3:$B$5,0),'2026 Forecast'!AF61,'2027 Forecast'!AF61,'2028 Forecast'!AF61)</f>
        <v>6.8719999999999993E-5</v>
      </c>
      <c r="AG61" s="545">
        <f>CHOOSE(MATCH('Lists and Mapping'!$C$10,'Lists and Mapping'!$B$3:$B$5,0),'2026 Forecast'!AG61,'2027 Forecast'!AG61,'2028 Forecast'!AG61)</f>
        <v>0.25878922159380535</v>
      </c>
      <c r="AH61" s="546">
        <f>CHOOSE(MATCH('Lists and Mapping'!$C$10,'Lists and Mapping'!$B$3:$B$5,0),'2026 Forecast'!AH61,'2027 Forecast'!AH61,'2028 Forecast'!AH61)</f>
        <v>14.905079999999998</v>
      </c>
      <c r="AI61" s="546">
        <f>CHOOSE(MATCH('Lists and Mapping'!$C$10,'Lists and Mapping'!$B$3:$B$5,0),'2026 Forecast'!AI61,'2027 Forecast'!AI61,'2028 Forecast'!AI61)</f>
        <v>11.019810694184271</v>
      </c>
      <c r="AJ61" s="546">
        <f>CHOOSE(MATCH('Lists and Mapping'!$C$10,'Lists and Mapping'!$B$3:$B$5,0),'2026 Forecast'!AJ61,'2027 Forecast'!AJ61,'2028 Forecast'!AJ61)</f>
        <v>4.6743720050413922</v>
      </c>
      <c r="AK61" s="547">
        <f>CHOOSE(MATCH('Lists and Mapping'!$C$10,'Lists and Mapping'!$B$3:$B$5,0),'2026 Forecast'!AK61,'2027 Forecast'!AK61,'2028 Forecast'!AK61)</f>
        <v>32.348652699225667</v>
      </c>
      <c r="AL61" s="546">
        <f>CHOOSE(MATCH('Lists and Mapping'!$C$10,'Lists and Mapping'!$B$3:$B$5,0),'2026 Forecast'!AL61,'2027 Forecast'!AL61,'2028 Forecast'!AL61)</f>
        <v>1.1678000000000002</v>
      </c>
      <c r="AM61" s="546">
        <f>CHOOSE(MATCH('Lists and Mapping'!$C$10,'Lists and Mapping'!$B$3:$B$5,0),'2026 Forecast'!AM61,'2027 Forecast'!AM61,'2028 Forecast'!AM61)</f>
        <v>8.5899999999999987E-3</v>
      </c>
      <c r="AN61" s="547">
        <f>CHOOSE(MATCH('Lists and Mapping'!$C$10,'Lists and Mapping'!$B$3:$B$5,0),'2026 Forecast'!AN61,'2027 Forecast'!AN61,'2028 Forecast'!AN61)</f>
        <v>32.348652699225667</v>
      </c>
      <c r="AO61" s="446"/>
      <c r="AP61" s="446"/>
      <c r="AQ61" s="446"/>
      <c r="AR61" s="446"/>
      <c r="AS61" s="446"/>
      <c r="AT61" s="72"/>
      <c r="AU61" s="72"/>
      <c r="AV61" s="72"/>
      <c r="AW61" s="72"/>
      <c r="AX61" s="72"/>
      <c r="AY61" s="72"/>
      <c r="AZ61" s="72"/>
      <c r="BA61" s="72"/>
      <c r="BB61" s="72"/>
    </row>
    <row r="62" spans="2:54">
      <c r="B62" s="529" t="str">
        <f t="shared" si="0"/>
        <v>PLGUM 007</v>
      </c>
      <c r="C62" s="420"/>
      <c r="D62" s="590" t="s">
        <v>92</v>
      </c>
      <c r="E62" s="531">
        <f>CHOOSE(MATCH('Lists and Mapping'!$C$10,'Lists and Mapping'!$B$3:$B$5,0),'2026 Forecast'!E62,'2027 Forecast'!E62,'2028 Forecast'!E62)</f>
        <v>0</v>
      </c>
      <c r="F62" s="532">
        <f>CHOOSE(MATCH('Lists and Mapping'!$C$10,'Lists and Mapping'!$B$3:$B$5,0),'2026 Forecast'!F62,'2027 Forecast'!F62,'2028 Forecast'!F62)</f>
        <v>1.9</v>
      </c>
      <c r="G62" s="533">
        <f>CHOOSE(MATCH('Lists and Mapping'!$C$10,'Lists and Mapping'!$B$3:$B$5,0),'2026 Forecast'!G62,'2027 Forecast'!G62,'2028 Forecast'!G62)</f>
        <v>0</v>
      </c>
      <c r="H62" s="533">
        <f>CHOOSE(MATCH('Lists and Mapping'!$C$10,'Lists and Mapping'!$B$3:$B$5,0),'2026 Forecast'!H62,'2027 Forecast'!H62,'2028 Forecast'!H62)</f>
        <v>0</v>
      </c>
      <c r="I62" s="533">
        <f>CHOOSE(MATCH('Lists and Mapping'!$C$10,'Lists and Mapping'!$B$3:$B$5,0),'2026 Forecast'!I62,'2027 Forecast'!I62,'2028 Forecast'!I62)</f>
        <v>0</v>
      </c>
      <c r="J62" s="535">
        <f>CHOOSE(MATCH('Lists and Mapping'!$C$10,'Lists and Mapping'!$B$3:$B$5,0),'2026 Forecast'!J62,'2027 Forecast'!J62,'2028 Forecast'!J62)</f>
        <v>0</v>
      </c>
      <c r="K62" s="574">
        <f>CHOOSE(MATCH('Lists and Mapping'!$C$10,'Lists and Mapping'!$B$3:$B$5,0),'2026 Forecast'!K62,'2027 Forecast'!K62,'2028 Forecast'!K62)</f>
        <v>1136</v>
      </c>
      <c r="L62" s="574">
        <f>CHOOSE(MATCH('Lists and Mapping'!$C$10,'Lists and Mapping'!$B$3:$B$5,0),'2026 Forecast'!L62,'2027 Forecast'!L62,'2028 Forecast'!L62)</f>
        <v>0</v>
      </c>
      <c r="M62" s="537">
        <f>CHOOSE(MATCH('Lists and Mapping'!$C$10,'Lists and Mapping'!$B$3:$B$5,0),'2026 Forecast'!M62,'2027 Forecast'!M62,'2028 Forecast'!M62)</f>
        <v>0</v>
      </c>
      <c r="N62" s="537">
        <f>CHOOSE(MATCH('Lists and Mapping'!$C$10,'Lists and Mapping'!$B$3:$B$5,0),'2026 Forecast'!N62,'2027 Forecast'!N62,'2028 Forecast'!N62)</f>
        <v>0</v>
      </c>
      <c r="O62" s="548">
        <f>CHOOSE(MATCH('Lists and Mapping'!$C$10,'Lists and Mapping'!$B$3:$B$5,0),'2026 Forecast'!O62,'2027 Forecast'!O62,'2028 Forecast'!O62)</f>
        <v>0</v>
      </c>
      <c r="P62" s="538">
        <f>CHOOSE(MATCH('Lists and Mapping'!$C$10,'Lists and Mapping'!$B$3:$B$5,0),'2026 Forecast'!P62,'2027 Forecast'!P62,'2028 Forecast'!P62)</f>
        <v>0</v>
      </c>
      <c r="Q62" s="539">
        <f>CHOOSE(MATCH('Lists and Mapping'!$C$10,'Lists and Mapping'!$B$3:$B$5,0),'2026 Forecast'!Q62,'2027 Forecast'!Q62,'2028 Forecast'!Q62)</f>
        <v>0</v>
      </c>
      <c r="R62" s="539">
        <f>CHOOSE(MATCH('Lists and Mapping'!$C$10,'Lists and Mapping'!$B$3:$B$5,0),'2026 Forecast'!R62,'2027 Forecast'!R62,'2028 Forecast'!R62)</f>
        <v>0</v>
      </c>
      <c r="S62" s="539">
        <f>CHOOSE(MATCH('Lists and Mapping'!$C$10,'Lists and Mapping'!$B$3:$B$5,0),'2026 Forecast'!S62,'2027 Forecast'!S62,'2028 Forecast'!S62)</f>
        <v>0</v>
      </c>
      <c r="T62" s="539">
        <f>CHOOSE(MATCH('Lists and Mapping'!$C$10,'Lists and Mapping'!$B$3:$B$5,0),'2026 Forecast'!T62,'2027 Forecast'!T62,'2028 Forecast'!T62)</f>
        <v>0</v>
      </c>
      <c r="U62" s="539">
        <f>CHOOSE(MATCH('Lists and Mapping'!$C$10,'Lists and Mapping'!$B$3:$B$5,0),'2026 Forecast'!U62,'2027 Forecast'!U62,'2028 Forecast'!U62)</f>
        <v>0.24755711999999999</v>
      </c>
      <c r="V62" s="540">
        <f>CHOOSE(MATCH('Lists and Mapping'!$C$10,'Lists and Mapping'!$B$3:$B$5,0),'2026 Forecast'!V62,'2027 Forecast'!V62,'2028 Forecast'!V62)</f>
        <v>0.24755711999999999</v>
      </c>
      <c r="W62" s="542">
        <f>CHOOSE(MATCH('Lists and Mapping'!$C$10,'Lists and Mapping'!$B$3:$B$5,0),'2026 Forecast'!W62,'2027 Forecast'!W62,'2028 Forecast'!W62)</f>
        <v>0</v>
      </c>
      <c r="X62" s="542">
        <f>CHOOSE(MATCH('Lists and Mapping'!$C$10,'Lists and Mapping'!$B$3:$B$5,0),'2026 Forecast'!X62,'2027 Forecast'!X62,'2028 Forecast'!X62)</f>
        <v>0</v>
      </c>
      <c r="Y62" s="542">
        <f>CHOOSE(MATCH('Lists and Mapping'!$C$10,'Lists and Mapping'!$B$3:$B$5,0),'2026 Forecast'!Y62,'2027 Forecast'!Y62,'2028 Forecast'!Y62)</f>
        <v>0</v>
      </c>
      <c r="Z62" s="540">
        <f>CHOOSE(MATCH('Lists and Mapping'!$C$10,'Lists and Mapping'!$B$3:$B$5,0),'2026 Forecast'!Z62,'2027 Forecast'!Z62,'2028 Forecast'!Z62)</f>
        <v>0</v>
      </c>
      <c r="AA62" s="543">
        <f>CHOOSE(MATCH('Lists and Mapping'!$C$10,'Lists and Mapping'!$B$3:$B$5,0),'2026 Forecast'!AA62,'2027 Forecast'!AA62,'2028 Forecast'!AA62)</f>
        <v>0.24755711999999999</v>
      </c>
      <c r="AB62" s="570">
        <f>CHOOSE(MATCH('Lists and Mapping'!$C$10,'Lists and Mapping'!$B$3:$B$5,0),'2026 Forecast'!AB62,'2027 Forecast'!AB62,'2028 Forecast'!AB62)</f>
        <v>0.2093764031895011</v>
      </c>
      <c r="AC62" s="570">
        <f>CHOOSE(MATCH('Lists and Mapping'!$C$10,'Lists and Mapping'!$B$3:$B$5,0),'2026 Forecast'!AC62,'2027 Forecast'!AC62,'2028 Forecast'!AC62)</f>
        <v>8.8813068095786457E-2</v>
      </c>
      <c r="AD62" s="570">
        <f>CHOOSE(MATCH('Lists and Mapping'!$C$10,'Lists and Mapping'!$B$3:$B$5,0),'2026 Forecast'!AD62,'2027 Forecast'!AD62,'2028 Forecast'!AD62)</f>
        <v>1.0886999999999999E-2</v>
      </c>
      <c r="AE62" s="570">
        <f>CHOOSE(MATCH('Lists and Mapping'!$C$10,'Lists and Mapping'!$B$3:$B$5,0),'2026 Forecast'!AE62,'2027 Forecast'!AE62,'2028 Forecast'!AE62)</f>
        <v>2.2188200000000002E-2</v>
      </c>
      <c r="AF62" s="543">
        <f>CHOOSE(MATCH('Lists and Mapping'!$C$10,'Lists and Mapping'!$B$3:$B$5,0),'2026 Forecast'!AF62,'2027 Forecast'!AF62,'2028 Forecast'!AF62)</f>
        <v>1.6320999999999998E-4</v>
      </c>
      <c r="AG62" s="545">
        <f>CHOOSE(MATCH('Lists and Mapping'!$C$10,'Lists and Mapping'!$B$3:$B$5,0),'2026 Forecast'!AG62,'2027 Forecast'!AG62,'2028 Forecast'!AG62)</f>
        <v>0.57898500128528751</v>
      </c>
      <c r="AH62" s="546">
        <f>CHOOSE(MATCH('Lists and Mapping'!$C$10,'Lists and Mapping'!$B$3:$B$5,0),'2026 Forecast'!AH62,'2027 Forecast'!AH62,'2028 Forecast'!AH62)</f>
        <v>13.029322105263159</v>
      </c>
      <c r="AI62" s="546">
        <f>CHOOSE(MATCH('Lists and Mapping'!$C$10,'Lists and Mapping'!$B$3:$B$5,0),'2026 Forecast'!AI62,'2027 Forecast'!AI62,'2028 Forecast'!AI62)</f>
        <v>11.019810694184269</v>
      </c>
      <c r="AJ62" s="546">
        <f>CHOOSE(MATCH('Lists and Mapping'!$C$10,'Lists and Mapping'!$B$3:$B$5,0),'2026 Forecast'!AJ62,'2027 Forecast'!AJ62,'2028 Forecast'!AJ62)</f>
        <v>4.6743720050413922</v>
      </c>
      <c r="AK62" s="547">
        <f>CHOOSE(MATCH('Lists and Mapping'!$C$10,'Lists and Mapping'!$B$3:$B$5,0),'2026 Forecast'!AK62,'2027 Forecast'!AK62,'2028 Forecast'!AK62)</f>
        <v>30.472894804488821</v>
      </c>
      <c r="AL62" s="546">
        <f>CHOOSE(MATCH('Lists and Mapping'!$C$10,'Lists and Mapping'!$B$3:$B$5,0),'2026 Forecast'!AL62,'2027 Forecast'!AL62,'2028 Forecast'!AL62)</f>
        <v>1.1678000000000002</v>
      </c>
      <c r="AM62" s="546">
        <f>CHOOSE(MATCH('Lists and Mapping'!$C$10,'Lists and Mapping'!$B$3:$B$5,0),'2026 Forecast'!AM62,'2027 Forecast'!AM62,'2028 Forecast'!AM62)</f>
        <v>8.5899999999999987E-3</v>
      </c>
      <c r="AN62" s="547">
        <f>CHOOSE(MATCH('Lists and Mapping'!$C$10,'Lists and Mapping'!$B$3:$B$5,0),'2026 Forecast'!AN62,'2027 Forecast'!AN62,'2028 Forecast'!AN62)</f>
        <v>30.472894804488821</v>
      </c>
      <c r="AO62" s="446"/>
      <c r="AP62" s="446"/>
      <c r="AQ62" s="446"/>
      <c r="AR62" s="446"/>
      <c r="AS62" s="446"/>
      <c r="AT62" s="72"/>
      <c r="AU62" s="72"/>
      <c r="AV62" s="72"/>
      <c r="AW62" s="72"/>
      <c r="AX62" s="72"/>
      <c r="AY62" s="72"/>
      <c r="AZ62" s="72"/>
      <c r="BA62" s="72"/>
      <c r="BB62" s="72"/>
    </row>
    <row r="63" spans="2:54">
      <c r="B63" s="529" t="str">
        <f t="shared" si="0"/>
        <v>PLGUM 010</v>
      </c>
      <c r="C63" s="420"/>
      <c r="D63" s="590" t="s">
        <v>96</v>
      </c>
      <c r="E63" s="531">
        <f>CHOOSE(MATCH('Lists and Mapping'!$C$10,'Lists and Mapping'!$B$3:$B$5,0),'2026 Forecast'!E63,'2027 Forecast'!E63,'2028 Forecast'!E63)</f>
        <v>0</v>
      </c>
      <c r="F63" s="532">
        <f>CHOOSE(MATCH('Lists and Mapping'!$C$10,'Lists and Mapping'!$B$3:$B$5,0),'2026 Forecast'!F63,'2027 Forecast'!F63,'2028 Forecast'!F63)</f>
        <v>0</v>
      </c>
      <c r="G63" s="533">
        <f>CHOOSE(MATCH('Lists and Mapping'!$C$10,'Lists and Mapping'!$B$3:$B$5,0),'2026 Forecast'!G63,'2027 Forecast'!G63,'2028 Forecast'!G63)</f>
        <v>0</v>
      </c>
      <c r="H63" s="533">
        <f>CHOOSE(MATCH('Lists and Mapping'!$C$10,'Lists and Mapping'!$B$3:$B$5,0),'2026 Forecast'!H63,'2027 Forecast'!H63,'2028 Forecast'!H63)</f>
        <v>0</v>
      </c>
      <c r="I63" s="533">
        <f>CHOOSE(MATCH('Lists and Mapping'!$C$10,'Lists and Mapping'!$B$3:$B$5,0),'2026 Forecast'!I63,'2027 Forecast'!I63,'2028 Forecast'!I63)</f>
        <v>0</v>
      </c>
      <c r="J63" s="535">
        <f>CHOOSE(MATCH('Lists and Mapping'!$C$10,'Lists and Mapping'!$B$3:$B$5,0),'2026 Forecast'!J63,'2027 Forecast'!J63,'2028 Forecast'!J63)</f>
        <v>0</v>
      </c>
      <c r="K63" s="574">
        <f>CHOOSE(MATCH('Lists and Mapping'!$C$10,'Lists and Mapping'!$B$3:$B$5,0),'2026 Forecast'!K63,'2027 Forecast'!K63,'2028 Forecast'!K63)</f>
        <v>35</v>
      </c>
      <c r="L63" s="574">
        <f>CHOOSE(MATCH('Lists and Mapping'!$C$10,'Lists and Mapping'!$B$3:$B$5,0),'2026 Forecast'!L63,'2027 Forecast'!L63,'2028 Forecast'!L63)</f>
        <v>0</v>
      </c>
      <c r="M63" s="537">
        <f>CHOOSE(MATCH('Lists and Mapping'!$C$10,'Lists and Mapping'!$B$3:$B$5,0),'2026 Forecast'!M63,'2027 Forecast'!M63,'2028 Forecast'!M63)</f>
        <v>0</v>
      </c>
      <c r="N63" s="537">
        <f>CHOOSE(MATCH('Lists and Mapping'!$C$10,'Lists and Mapping'!$B$3:$B$5,0),'2026 Forecast'!N63,'2027 Forecast'!N63,'2028 Forecast'!N63)</f>
        <v>0</v>
      </c>
      <c r="O63" s="548">
        <f>CHOOSE(MATCH('Lists and Mapping'!$C$10,'Lists and Mapping'!$B$3:$B$5,0),'2026 Forecast'!O63,'2027 Forecast'!O63,'2028 Forecast'!O63)</f>
        <v>0</v>
      </c>
      <c r="P63" s="538">
        <f>CHOOSE(MATCH('Lists and Mapping'!$C$10,'Lists and Mapping'!$B$3:$B$5,0),'2026 Forecast'!P63,'2027 Forecast'!P63,'2028 Forecast'!P63)</f>
        <v>0</v>
      </c>
      <c r="Q63" s="539">
        <f>CHOOSE(MATCH('Lists and Mapping'!$C$10,'Lists and Mapping'!$B$3:$B$5,0),'2026 Forecast'!Q63,'2027 Forecast'!Q63,'2028 Forecast'!Q63)</f>
        <v>0</v>
      </c>
      <c r="R63" s="539">
        <f>CHOOSE(MATCH('Lists and Mapping'!$C$10,'Lists and Mapping'!$B$3:$B$5,0),'2026 Forecast'!R63,'2027 Forecast'!R63,'2028 Forecast'!R63)</f>
        <v>0</v>
      </c>
      <c r="S63" s="539">
        <f>CHOOSE(MATCH('Lists and Mapping'!$C$10,'Lists and Mapping'!$B$3:$B$5,0),'2026 Forecast'!S63,'2027 Forecast'!S63,'2028 Forecast'!S63)</f>
        <v>0</v>
      </c>
      <c r="T63" s="539">
        <f>CHOOSE(MATCH('Lists and Mapping'!$C$10,'Lists and Mapping'!$B$3:$B$5,0),'2026 Forecast'!T63,'2027 Forecast'!T63,'2028 Forecast'!T63)</f>
        <v>0</v>
      </c>
      <c r="U63" s="539">
        <f>CHOOSE(MATCH('Lists and Mapping'!$C$10,'Lists and Mapping'!$B$3:$B$5,0),'2026 Forecast'!U63,'2027 Forecast'!U63,'2028 Forecast'!U63)</f>
        <v>3.7589999999999998E-3</v>
      </c>
      <c r="V63" s="540">
        <f>CHOOSE(MATCH('Lists and Mapping'!$C$10,'Lists and Mapping'!$B$3:$B$5,0),'2026 Forecast'!V63,'2027 Forecast'!V63,'2028 Forecast'!V63)</f>
        <v>3.7589999999999998E-3</v>
      </c>
      <c r="W63" s="542">
        <f>CHOOSE(MATCH('Lists and Mapping'!$C$10,'Lists and Mapping'!$B$3:$B$5,0),'2026 Forecast'!W63,'2027 Forecast'!W63,'2028 Forecast'!W63)</f>
        <v>0</v>
      </c>
      <c r="X63" s="542">
        <f>CHOOSE(MATCH('Lists and Mapping'!$C$10,'Lists and Mapping'!$B$3:$B$5,0),'2026 Forecast'!X63,'2027 Forecast'!X63,'2028 Forecast'!X63)</f>
        <v>0</v>
      </c>
      <c r="Y63" s="542">
        <f>CHOOSE(MATCH('Lists and Mapping'!$C$10,'Lists and Mapping'!$B$3:$B$5,0),'2026 Forecast'!Y63,'2027 Forecast'!Y63,'2028 Forecast'!Y63)</f>
        <v>0</v>
      </c>
      <c r="Z63" s="540">
        <f>CHOOSE(MATCH('Lists and Mapping'!$C$10,'Lists and Mapping'!$B$3:$B$5,0),'2026 Forecast'!Z63,'2027 Forecast'!Z63,'2028 Forecast'!Z63)</f>
        <v>0</v>
      </c>
      <c r="AA63" s="543">
        <f>CHOOSE(MATCH('Lists and Mapping'!$C$10,'Lists and Mapping'!$B$3:$B$5,0),'2026 Forecast'!AA63,'2027 Forecast'!AA63,'2028 Forecast'!AA63)</f>
        <v>3.7589999999999998E-3</v>
      </c>
      <c r="AB63" s="570">
        <f>CHOOSE(MATCH('Lists and Mapping'!$C$10,'Lists and Mapping'!$B$3:$B$5,0),'2026 Forecast'!AB63,'2027 Forecast'!AB63,'2028 Forecast'!AB63)</f>
        <v>0</v>
      </c>
      <c r="AC63" s="570">
        <f>CHOOSE(MATCH('Lists and Mapping'!$C$10,'Lists and Mapping'!$B$3:$B$5,0),'2026 Forecast'!AC63,'2027 Forecast'!AC63,'2028 Forecast'!AC63)</f>
        <v>0</v>
      </c>
      <c r="AD63" s="570">
        <f>CHOOSE(MATCH('Lists and Mapping'!$C$10,'Lists and Mapping'!$B$3:$B$5,0),'2026 Forecast'!AD63,'2027 Forecast'!AD63,'2028 Forecast'!AD63)</f>
        <v>0</v>
      </c>
      <c r="AE63" s="570">
        <f>CHOOSE(MATCH('Lists and Mapping'!$C$10,'Lists and Mapping'!$B$3:$B$5,0),'2026 Forecast'!AE63,'2027 Forecast'!AE63,'2028 Forecast'!AE63)</f>
        <v>0</v>
      </c>
      <c r="AF63" s="543">
        <f>CHOOSE(MATCH('Lists and Mapping'!$C$10,'Lists and Mapping'!$B$3:$B$5,0),'2026 Forecast'!AF63,'2027 Forecast'!AF63,'2028 Forecast'!AF63)</f>
        <v>0</v>
      </c>
      <c r="AG63" s="545">
        <f>CHOOSE(MATCH('Lists and Mapping'!$C$10,'Lists and Mapping'!$B$3:$B$5,0),'2026 Forecast'!AG63,'2027 Forecast'!AG63,'2028 Forecast'!AG63)</f>
        <v>3.7589999999999998E-3</v>
      </c>
      <c r="AH63" s="546" t="e">
        <f>CHOOSE(MATCH('Lists and Mapping'!$C$10,'Lists and Mapping'!$B$3:$B$5,0),'2026 Forecast'!AH63,'2027 Forecast'!AH63,'2028 Forecast'!AH63)</f>
        <v>#DIV/0!</v>
      </c>
      <c r="AI63" s="546" t="e">
        <f>CHOOSE(MATCH('Lists and Mapping'!$C$10,'Lists and Mapping'!$B$3:$B$5,0),'2026 Forecast'!AI63,'2027 Forecast'!AI63,'2028 Forecast'!AI63)</f>
        <v>#DIV/0!</v>
      </c>
      <c r="AJ63" s="546" t="e">
        <f>CHOOSE(MATCH('Lists and Mapping'!$C$10,'Lists and Mapping'!$B$3:$B$5,0),'2026 Forecast'!AJ63,'2027 Forecast'!AJ63,'2028 Forecast'!AJ63)</f>
        <v>#DIV/0!</v>
      </c>
      <c r="AK63" s="547" t="e">
        <f>CHOOSE(MATCH('Lists and Mapping'!$C$10,'Lists and Mapping'!$B$3:$B$5,0),'2026 Forecast'!AK63,'2027 Forecast'!AK63,'2028 Forecast'!AK63)</f>
        <v>#DIV/0!</v>
      </c>
      <c r="AL63" s="546" t="e">
        <f>CHOOSE(MATCH('Lists and Mapping'!$C$10,'Lists and Mapping'!$B$3:$B$5,0),'2026 Forecast'!AL63,'2027 Forecast'!AL63,'2028 Forecast'!AL63)</f>
        <v>#DIV/0!</v>
      </c>
      <c r="AM63" s="546" t="e">
        <f>CHOOSE(MATCH('Lists and Mapping'!$C$10,'Lists and Mapping'!$B$3:$B$5,0),'2026 Forecast'!AM63,'2027 Forecast'!AM63,'2028 Forecast'!AM63)</f>
        <v>#DIV/0!</v>
      </c>
      <c r="AN63" s="547" t="e">
        <f>CHOOSE(MATCH('Lists and Mapping'!$C$10,'Lists and Mapping'!$B$3:$B$5,0),'2026 Forecast'!AN63,'2027 Forecast'!AN63,'2028 Forecast'!AN63)</f>
        <v>#DIV/0!</v>
      </c>
      <c r="AO63" s="446"/>
      <c r="AP63" s="446"/>
      <c r="AQ63" s="446"/>
      <c r="AR63" s="446"/>
      <c r="AS63" s="446"/>
      <c r="AT63" s="72"/>
      <c r="AU63" s="72"/>
      <c r="AV63" s="72"/>
      <c r="AW63" s="72"/>
      <c r="AX63" s="72"/>
      <c r="AY63" s="72"/>
      <c r="AZ63" s="72"/>
      <c r="BA63" s="72"/>
      <c r="BB63" s="72"/>
    </row>
    <row r="64" spans="2:54">
      <c r="B64" s="529" t="str">
        <f t="shared" si="0"/>
        <v>PLGUM 011</v>
      </c>
      <c r="C64" s="420"/>
      <c r="D64" s="590" t="s">
        <v>99</v>
      </c>
      <c r="E64" s="531">
        <f>CHOOSE(MATCH('Lists and Mapping'!$C$10,'Lists and Mapping'!$B$3:$B$5,0),'2026 Forecast'!E64,'2027 Forecast'!E64,'2028 Forecast'!E64)</f>
        <v>0</v>
      </c>
      <c r="F64" s="532">
        <f>CHOOSE(MATCH('Lists and Mapping'!$C$10,'Lists and Mapping'!$B$3:$B$5,0),'2026 Forecast'!F64,'2027 Forecast'!F64,'2028 Forecast'!F64)</f>
        <v>16.399999999999999</v>
      </c>
      <c r="G64" s="533">
        <f>CHOOSE(MATCH('Lists and Mapping'!$C$10,'Lists and Mapping'!$B$3:$B$5,0),'2026 Forecast'!G64,'2027 Forecast'!G64,'2028 Forecast'!G64)</f>
        <v>0</v>
      </c>
      <c r="H64" s="533">
        <f>CHOOSE(MATCH('Lists and Mapping'!$C$10,'Lists and Mapping'!$B$3:$B$5,0),'2026 Forecast'!H64,'2027 Forecast'!H64,'2028 Forecast'!H64)</f>
        <v>0</v>
      </c>
      <c r="I64" s="533">
        <f>CHOOSE(MATCH('Lists and Mapping'!$C$10,'Lists and Mapping'!$B$3:$B$5,0),'2026 Forecast'!I64,'2027 Forecast'!I64,'2028 Forecast'!I64)</f>
        <v>0</v>
      </c>
      <c r="J64" s="535">
        <f>CHOOSE(MATCH('Lists and Mapping'!$C$10,'Lists and Mapping'!$B$3:$B$5,0),'2026 Forecast'!J64,'2027 Forecast'!J64,'2028 Forecast'!J64)</f>
        <v>0</v>
      </c>
      <c r="K64" s="574">
        <f>CHOOSE(MATCH('Lists and Mapping'!$C$10,'Lists and Mapping'!$B$3:$B$5,0),'2026 Forecast'!K64,'2027 Forecast'!K64,'2028 Forecast'!K64)</f>
        <v>48238</v>
      </c>
      <c r="L64" s="574">
        <f>CHOOSE(MATCH('Lists and Mapping'!$C$10,'Lists and Mapping'!$B$3:$B$5,0),'2026 Forecast'!L64,'2027 Forecast'!L64,'2028 Forecast'!L64)</f>
        <v>0</v>
      </c>
      <c r="M64" s="537">
        <f>CHOOSE(MATCH('Lists and Mapping'!$C$10,'Lists and Mapping'!$B$3:$B$5,0),'2026 Forecast'!M64,'2027 Forecast'!M64,'2028 Forecast'!M64)</f>
        <v>0</v>
      </c>
      <c r="N64" s="537">
        <f>CHOOSE(MATCH('Lists and Mapping'!$C$10,'Lists and Mapping'!$B$3:$B$5,0),'2026 Forecast'!N64,'2027 Forecast'!N64,'2028 Forecast'!N64)</f>
        <v>0</v>
      </c>
      <c r="O64" s="548">
        <f>CHOOSE(MATCH('Lists and Mapping'!$C$10,'Lists and Mapping'!$B$3:$B$5,0),'2026 Forecast'!O64,'2027 Forecast'!O64,'2028 Forecast'!O64)</f>
        <v>0</v>
      </c>
      <c r="P64" s="538">
        <f>CHOOSE(MATCH('Lists and Mapping'!$C$10,'Lists and Mapping'!$B$3:$B$5,0),'2026 Forecast'!P64,'2027 Forecast'!P64,'2028 Forecast'!P64)</f>
        <v>0</v>
      </c>
      <c r="Q64" s="539">
        <f>CHOOSE(MATCH('Lists and Mapping'!$C$10,'Lists and Mapping'!$B$3:$B$5,0),'2026 Forecast'!Q64,'2027 Forecast'!Q64,'2028 Forecast'!Q64)</f>
        <v>0</v>
      </c>
      <c r="R64" s="539">
        <f>CHOOSE(MATCH('Lists and Mapping'!$C$10,'Lists and Mapping'!$B$3:$B$5,0),'2026 Forecast'!R64,'2027 Forecast'!R64,'2028 Forecast'!R64)</f>
        <v>0</v>
      </c>
      <c r="S64" s="539">
        <f>CHOOSE(MATCH('Lists and Mapping'!$C$10,'Lists and Mapping'!$B$3:$B$5,0),'2026 Forecast'!S64,'2027 Forecast'!S64,'2028 Forecast'!S64)</f>
        <v>0</v>
      </c>
      <c r="T64" s="539">
        <f>CHOOSE(MATCH('Lists and Mapping'!$C$10,'Lists and Mapping'!$B$3:$B$5,0),'2026 Forecast'!T64,'2027 Forecast'!T64,'2028 Forecast'!T64)</f>
        <v>0</v>
      </c>
      <c r="U64" s="539">
        <f>CHOOSE(MATCH('Lists and Mapping'!$C$10,'Lists and Mapping'!$B$3:$B$5,0),'2026 Forecast'!U64,'2027 Forecast'!U64,'2028 Forecast'!U64)</f>
        <v>6.5133379199999997</v>
      </c>
      <c r="V64" s="540">
        <f>CHOOSE(MATCH('Lists and Mapping'!$C$10,'Lists and Mapping'!$B$3:$B$5,0),'2026 Forecast'!V64,'2027 Forecast'!V64,'2028 Forecast'!V64)</f>
        <v>6.5133379199999997</v>
      </c>
      <c r="W64" s="542">
        <f>CHOOSE(MATCH('Lists and Mapping'!$C$10,'Lists and Mapping'!$B$3:$B$5,0),'2026 Forecast'!W64,'2027 Forecast'!W64,'2028 Forecast'!W64)</f>
        <v>0</v>
      </c>
      <c r="X64" s="542">
        <f>CHOOSE(MATCH('Lists and Mapping'!$C$10,'Lists and Mapping'!$B$3:$B$5,0),'2026 Forecast'!X64,'2027 Forecast'!X64,'2028 Forecast'!X64)</f>
        <v>0</v>
      </c>
      <c r="Y64" s="542">
        <f>CHOOSE(MATCH('Lists and Mapping'!$C$10,'Lists and Mapping'!$B$3:$B$5,0),'2026 Forecast'!Y64,'2027 Forecast'!Y64,'2028 Forecast'!Y64)</f>
        <v>0</v>
      </c>
      <c r="Z64" s="540">
        <f>CHOOSE(MATCH('Lists and Mapping'!$C$10,'Lists and Mapping'!$B$3:$B$5,0),'2026 Forecast'!Z64,'2027 Forecast'!Z64,'2028 Forecast'!Z64)</f>
        <v>0</v>
      </c>
      <c r="AA64" s="543">
        <f>CHOOSE(MATCH('Lists and Mapping'!$C$10,'Lists and Mapping'!$B$3:$B$5,0),'2026 Forecast'!AA64,'2027 Forecast'!AA64,'2028 Forecast'!AA64)</f>
        <v>6.5133379199999997</v>
      </c>
      <c r="AB64" s="570">
        <f>CHOOSE(MATCH('Lists and Mapping'!$C$10,'Lists and Mapping'!$B$3:$B$5,0),'2026 Forecast'!AB64,'2027 Forecast'!AB64,'2028 Forecast'!AB64)</f>
        <v>1.80724895384622</v>
      </c>
      <c r="AC64" s="570">
        <f>CHOOSE(MATCH('Lists and Mapping'!$C$10,'Lists and Mapping'!$B$3:$B$5,0),'2026 Forecast'!AC64,'2027 Forecast'!AC64,'2028 Forecast'!AC64)</f>
        <v>0.76659700882678827</v>
      </c>
      <c r="AD64" s="570">
        <f>CHOOSE(MATCH('Lists and Mapping'!$C$10,'Lists and Mapping'!$B$3:$B$5,0),'2026 Forecast'!AD64,'2027 Forecast'!AD64,'2028 Forecast'!AD64)</f>
        <v>9.3971999999999986E-2</v>
      </c>
      <c r="AE64" s="570">
        <f>CHOOSE(MATCH('Lists and Mapping'!$C$10,'Lists and Mapping'!$B$3:$B$5,0),'2026 Forecast'!AE64,'2027 Forecast'!AE64,'2028 Forecast'!AE64)</f>
        <v>0.1915192</v>
      </c>
      <c r="AF64" s="543">
        <f>CHOOSE(MATCH('Lists and Mapping'!$C$10,'Lists and Mapping'!$B$3:$B$5,0),'2026 Forecast'!AF64,'2027 Forecast'!AF64,'2028 Forecast'!AF64)</f>
        <v>1.4087599999999996E-3</v>
      </c>
      <c r="AG64" s="545">
        <f>CHOOSE(MATCH('Lists and Mapping'!$C$10,'Lists and Mapping'!$B$3:$B$5,0),'2026 Forecast'!AG64,'2027 Forecast'!AG64,'2028 Forecast'!AG64)</f>
        <v>9.3740838426730075</v>
      </c>
      <c r="AH64" s="546">
        <f>CHOOSE(MATCH('Lists and Mapping'!$C$10,'Lists and Mapping'!$B$3:$B$5,0),'2026 Forecast'!AH64,'2027 Forecast'!AH64,'2028 Forecast'!AH64)</f>
        <v>39.715475121951222</v>
      </c>
      <c r="AI64" s="546">
        <f>CHOOSE(MATCH('Lists and Mapping'!$C$10,'Lists and Mapping'!$B$3:$B$5,0),'2026 Forecast'!AI64,'2027 Forecast'!AI64,'2028 Forecast'!AI64)</f>
        <v>11.019810694184269</v>
      </c>
      <c r="AJ64" s="546">
        <f>CHOOSE(MATCH('Lists and Mapping'!$C$10,'Lists and Mapping'!$B$3:$B$5,0),'2026 Forecast'!AJ64,'2027 Forecast'!AJ64,'2028 Forecast'!AJ64)</f>
        <v>4.6743720050413922</v>
      </c>
      <c r="AK64" s="547">
        <f>CHOOSE(MATCH('Lists and Mapping'!$C$10,'Lists and Mapping'!$B$3:$B$5,0),'2026 Forecast'!AK64,'2027 Forecast'!AK64,'2028 Forecast'!AK64)</f>
        <v>57.159047821176877</v>
      </c>
      <c r="AL64" s="546">
        <f>CHOOSE(MATCH('Lists and Mapping'!$C$10,'Lists and Mapping'!$B$3:$B$5,0),'2026 Forecast'!AL64,'2027 Forecast'!AL64,'2028 Forecast'!AL64)</f>
        <v>1.1678000000000002</v>
      </c>
      <c r="AM64" s="546">
        <f>CHOOSE(MATCH('Lists and Mapping'!$C$10,'Lists and Mapping'!$B$3:$B$5,0),'2026 Forecast'!AM64,'2027 Forecast'!AM64,'2028 Forecast'!AM64)</f>
        <v>8.5899999999999987E-3</v>
      </c>
      <c r="AN64" s="547">
        <f>CHOOSE(MATCH('Lists and Mapping'!$C$10,'Lists and Mapping'!$B$3:$B$5,0),'2026 Forecast'!AN64,'2027 Forecast'!AN64,'2028 Forecast'!AN64)</f>
        <v>57.159047821176877</v>
      </c>
      <c r="AO64" s="446"/>
      <c r="AP64" s="446"/>
      <c r="AQ64" s="446"/>
      <c r="AR64" s="446"/>
      <c r="AS64" s="446"/>
      <c r="AT64" s="72"/>
      <c r="AU64" s="72"/>
      <c r="AV64" s="72"/>
      <c r="AW64" s="72"/>
      <c r="AX64" s="72"/>
      <c r="AY64" s="72"/>
      <c r="AZ64" s="72"/>
      <c r="BA64" s="72"/>
      <c r="BB64" s="72"/>
    </row>
    <row r="65" spans="1:55">
      <c r="B65" s="529" t="str">
        <f t="shared" si="0"/>
        <v>PLGUM 012</v>
      </c>
      <c r="C65" s="420"/>
      <c r="D65" s="590" t="s">
        <v>100</v>
      </c>
      <c r="E65" s="531">
        <f>CHOOSE(MATCH('Lists and Mapping'!$C$10,'Lists and Mapping'!$B$3:$B$5,0),'2026 Forecast'!E65,'2027 Forecast'!E65,'2028 Forecast'!E65)</f>
        <v>0</v>
      </c>
      <c r="F65" s="532">
        <f>CHOOSE(MATCH('Lists and Mapping'!$C$10,'Lists and Mapping'!$B$3:$B$5,0),'2026 Forecast'!F65,'2027 Forecast'!F65,'2028 Forecast'!F65)</f>
        <v>105.9</v>
      </c>
      <c r="G65" s="533">
        <f>CHOOSE(MATCH('Lists and Mapping'!$C$10,'Lists and Mapping'!$B$3:$B$5,0),'2026 Forecast'!G65,'2027 Forecast'!G65,'2028 Forecast'!G65)</f>
        <v>0</v>
      </c>
      <c r="H65" s="533">
        <f>CHOOSE(MATCH('Lists and Mapping'!$C$10,'Lists and Mapping'!$B$3:$B$5,0),'2026 Forecast'!H65,'2027 Forecast'!H65,'2028 Forecast'!H65)</f>
        <v>0</v>
      </c>
      <c r="I65" s="533">
        <f>CHOOSE(MATCH('Lists and Mapping'!$C$10,'Lists and Mapping'!$B$3:$B$5,0),'2026 Forecast'!I65,'2027 Forecast'!I65,'2028 Forecast'!I65)</f>
        <v>0</v>
      </c>
      <c r="J65" s="535">
        <f>CHOOSE(MATCH('Lists and Mapping'!$C$10,'Lists and Mapping'!$B$3:$B$5,0),'2026 Forecast'!J65,'2027 Forecast'!J65,'2028 Forecast'!J65)</f>
        <v>0</v>
      </c>
      <c r="K65" s="574">
        <f>CHOOSE(MATCH('Lists and Mapping'!$C$10,'Lists and Mapping'!$B$3:$B$5,0),'2026 Forecast'!K65,'2027 Forecast'!K65,'2028 Forecast'!K65)</f>
        <v>239243</v>
      </c>
      <c r="L65" s="574">
        <f>CHOOSE(MATCH('Lists and Mapping'!$C$10,'Lists and Mapping'!$B$3:$B$5,0),'2026 Forecast'!L65,'2027 Forecast'!L65,'2028 Forecast'!L65)</f>
        <v>0</v>
      </c>
      <c r="M65" s="537">
        <f>CHOOSE(MATCH('Lists and Mapping'!$C$10,'Lists and Mapping'!$B$3:$B$5,0),'2026 Forecast'!M65,'2027 Forecast'!M65,'2028 Forecast'!M65)</f>
        <v>0</v>
      </c>
      <c r="N65" s="537">
        <f>CHOOSE(MATCH('Lists and Mapping'!$C$10,'Lists and Mapping'!$B$3:$B$5,0),'2026 Forecast'!N65,'2027 Forecast'!N65,'2028 Forecast'!N65)</f>
        <v>0</v>
      </c>
      <c r="O65" s="548">
        <f>CHOOSE(MATCH('Lists and Mapping'!$C$10,'Lists and Mapping'!$B$3:$B$5,0),'2026 Forecast'!O65,'2027 Forecast'!O65,'2028 Forecast'!O65)</f>
        <v>0</v>
      </c>
      <c r="P65" s="538">
        <f>CHOOSE(MATCH('Lists and Mapping'!$C$10,'Lists and Mapping'!$B$3:$B$5,0),'2026 Forecast'!P65,'2027 Forecast'!P65,'2028 Forecast'!P65)</f>
        <v>0</v>
      </c>
      <c r="Q65" s="539">
        <f>CHOOSE(MATCH('Lists and Mapping'!$C$10,'Lists and Mapping'!$B$3:$B$5,0),'2026 Forecast'!Q65,'2027 Forecast'!Q65,'2028 Forecast'!Q65)</f>
        <v>0</v>
      </c>
      <c r="R65" s="539">
        <f>CHOOSE(MATCH('Lists and Mapping'!$C$10,'Lists and Mapping'!$B$3:$B$5,0),'2026 Forecast'!R65,'2027 Forecast'!R65,'2028 Forecast'!R65)</f>
        <v>0</v>
      </c>
      <c r="S65" s="539">
        <f>CHOOSE(MATCH('Lists and Mapping'!$C$10,'Lists and Mapping'!$B$3:$B$5,0),'2026 Forecast'!S65,'2027 Forecast'!S65,'2028 Forecast'!S65)</f>
        <v>0</v>
      </c>
      <c r="T65" s="539">
        <f>CHOOSE(MATCH('Lists and Mapping'!$C$10,'Lists and Mapping'!$B$3:$B$5,0),'2026 Forecast'!T65,'2027 Forecast'!T65,'2028 Forecast'!T65)</f>
        <v>0</v>
      </c>
      <c r="U65" s="539">
        <f>CHOOSE(MATCH('Lists and Mapping'!$C$10,'Lists and Mapping'!$B$3:$B$5,0),'2026 Forecast'!U65,'2027 Forecast'!U65,'2028 Forecast'!U65)</f>
        <v>32.632251599999996</v>
      </c>
      <c r="V65" s="540">
        <f>CHOOSE(MATCH('Lists and Mapping'!$C$10,'Lists and Mapping'!$B$3:$B$5,0),'2026 Forecast'!V65,'2027 Forecast'!V65,'2028 Forecast'!V65)</f>
        <v>32.632251599999996</v>
      </c>
      <c r="W65" s="542">
        <f>CHOOSE(MATCH('Lists and Mapping'!$C$10,'Lists and Mapping'!$B$3:$B$5,0),'2026 Forecast'!W65,'2027 Forecast'!W65,'2028 Forecast'!W65)</f>
        <v>0</v>
      </c>
      <c r="X65" s="542">
        <f>CHOOSE(MATCH('Lists and Mapping'!$C$10,'Lists and Mapping'!$B$3:$B$5,0),'2026 Forecast'!X65,'2027 Forecast'!X65,'2028 Forecast'!X65)</f>
        <v>0</v>
      </c>
      <c r="Y65" s="542">
        <f>CHOOSE(MATCH('Lists and Mapping'!$C$10,'Lists and Mapping'!$B$3:$B$5,0),'2026 Forecast'!Y65,'2027 Forecast'!Y65,'2028 Forecast'!Y65)</f>
        <v>0</v>
      </c>
      <c r="Z65" s="540">
        <f>CHOOSE(MATCH('Lists and Mapping'!$C$10,'Lists and Mapping'!$B$3:$B$5,0),'2026 Forecast'!Z65,'2027 Forecast'!Z65,'2028 Forecast'!Z65)</f>
        <v>0</v>
      </c>
      <c r="AA65" s="543">
        <f>CHOOSE(MATCH('Lists and Mapping'!$C$10,'Lists and Mapping'!$B$3:$B$5,0),'2026 Forecast'!AA65,'2027 Forecast'!AA65,'2028 Forecast'!AA65)</f>
        <v>32.632251599999996</v>
      </c>
      <c r="AB65" s="570">
        <f>CHOOSE(MATCH('Lists and Mapping'!$C$10,'Lists and Mapping'!$B$3:$B$5,0),'2026 Forecast'!AB65,'2027 Forecast'!AB65,'2028 Forecast'!AB65)</f>
        <v>11.669979525141141</v>
      </c>
      <c r="AC65" s="570">
        <f>CHOOSE(MATCH('Lists and Mapping'!$C$10,'Lists and Mapping'!$B$3:$B$5,0),'2026 Forecast'!AC65,'2027 Forecast'!AC65,'2028 Forecast'!AC65)</f>
        <v>4.9501599533388347</v>
      </c>
      <c r="AD65" s="570">
        <f>CHOOSE(MATCH('Lists and Mapping'!$C$10,'Lists and Mapping'!$B$3:$B$5,0),'2026 Forecast'!AD65,'2027 Forecast'!AD65,'2028 Forecast'!AD65)</f>
        <v>0.60680699999999999</v>
      </c>
      <c r="AE65" s="570">
        <f>CHOOSE(MATCH('Lists and Mapping'!$C$10,'Lists and Mapping'!$B$3:$B$5,0),'2026 Forecast'!AE65,'2027 Forecast'!AE65,'2028 Forecast'!AE65)</f>
        <v>1.2367002000000002</v>
      </c>
      <c r="AF65" s="543">
        <f>CHOOSE(MATCH('Lists and Mapping'!$C$10,'Lists and Mapping'!$B$3:$B$5,0),'2026 Forecast'!AF65,'2027 Forecast'!AF65,'2028 Forecast'!AF65)</f>
        <v>9.0968099999999986E-3</v>
      </c>
      <c r="AG65" s="545">
        <f>CHOOSE(MATCH('Lists and Mapping'!$C$10,'Lists and Mapping'!$B$3:$B$5,0),'2026 Forecast'!AG65,'2027 Forecast'!AG65,'2028 Forecast'!AG65)</f>
        <v>51.104995088479974</v>
      </c>
      <c r="AH65" s="546">
        <f>CHOOSE(MATCH('Lists and Mapping'!$C$10,'Lists and Mapping'!$B$3:$B$5,0),'2026 Forecast'!AH65,'2027 Forecast'!AH65,'2028 Forecast'!AH65)</f>
        <v>30.814213031161469</v>
      </c>
      <c r="AI65" s="546">
        <f>CHOOSE(MATCH('Lists and Mapping'!$C$10,'Lists and Mapping'!$B$3:$B$5,0),'2026 Forecast'!AI65,'2027 Forecast'!AI65,'2028 Forecast'!AI65)</f>
        <v>11.019810694184269</v>
      </c>
      <c r="AJ65" s="546">
        <f>CHOOSE(MATCH('Lists and Mapping'!$C$10,'Lists and Mapping'!$B$3:$B$5,0),'2026 Forecast'!AJ65,'2027 Forecast'!AJ65,'2028 Forecast'!AJ65)</f>
        <v>4.6743720050413922</v>
      </c>
      <c r="AK65" s="547">
        <f>CHOOSE(MATCH('Lists and Mapping'!$C$10,'Lists and Mapping'!$B$3:$B$5,0),'2026 Forecast'!AK65,'2027 Forecast'!AK65,'2028 Forecast'!AK65)</f>
        <v>48.257785730387134</v>
      </c>
      <c r="AL65" s="546">
        <f>CHOOSE(MATCH('Lists and Mapping'!$C$10,'Lists and Mapping'!$B$3:$B$5,0),'2026 Forecast'!AL65,'2027 Forecast'!AL65,'2028 Forecast'!AL65)</f>
        <v>1.1678000000000002</v>
      </c>
      <c r="AM65" s="546">
        <f>CHOOSE(MATCH('Lists and Mapping'!$C$10,'Lists and Mapping'!$B$3:$B$5,0),'2026 Forecast'!AM65,'2027 Forecast'!AM65,'2028 Forecast'!AM65)</f>
        <v>8.5899999999999987E-3</v>
      </c>
      <c r="AN65" s="547">
        <f>CHOOSE(MATCH('Lists and Mapping'!$C$10,'Lists and Mapping'!$B$3:$B$5,0),'2026 Forecast'!AN65,'2027 Forecast'!AN65,'2028 Forecast'!AN65)</f>
        <v>48.257785730387134</v>
      </c>
      <c r="AO65" s="446"/>
      <c r="AP65" s="446"/>
      <c r="AQ65" s="446"/>
      <c r="AR65" s="446"/>
      <c r="AS65" s="446"/>
      <c r="AT65" s="72"/>
      <c r="AU65" s="72"/>
      <c r="AV65" s="72"/>
      <c r="AW65" s="72"/>
      <c r="AX65" s="72"/>
      <c r="AY65" s="72"/>
      <c r="AZ65" s="72"/>
      <c r="BA65" s="72"/>
      <c r="BB65" s="72"/>
    </row>
    <row r="66" spans="1:55">
      <c r="B66" s="529" t="str">
        <f t="shared" si="0"/>
        <v>PLGUM 013</v>
      </c>
      <c r="C66" s="420"/>
      <c r="D66" s="590" t="s">
        <v>101</v>
      </c>
      <c r="E66" s="531">
        <f>CHOOSE(MATCH('Lists and Mapping'!$C$10,'Lists and Mapping'!$B$3:$B$5,0),'2026 Forecast'!E66,'2027 Forecast'!E66,'2028 Forecast'!E66)</f>
        <v>0</v>
      </c>
      <c r="F66" s="532">
        <f>CHOOSE(MATCH('Lists and Mapping'!$C$10,'Lists and Mapping'!$B$3:$B$5,0),'2026 Forecast'!F66,'2027 Forecast'!F66,'2028 Forecast'!F66)</f>
        <v>0.4</v>
      </c>
      <c r="G66" s="533">
        <f>CHOOSE(MATCH('Lists and Mapping'!$C$10,'Lists and Mapping'!$B$3:$B$5,0),'2026 Forecast'!G66,'2027 Forecast'!G66,'2028 Forecast'!G66)</f>
        <v>0</v>
      </c>
      <c r="H66" s="533">
        <f>CHOOSE(MATCH('Lists and Mapping'!$C$10,'Lists and Mapping'!$B$3:$B$5,0),'2026 Forecast'!H66,'2027 Forecast'!H66,'2028 Forecast'!H66)</f>
        <v>0</v>
      </c>
      <c r="I66" s="533">
        <f>CHOOSE(MATCH('Lists and Mapping'!$C$10,'Lists and Mapping'!$B$3:$B$5,0),'2026 Forecast'!I66,'2027 Forecast'!I66,'2028 Forecast'!I66)</f>
        <v>0</v>
      </c>
      <c r="J66" s="535">
        <f>CHOOSE(MATCH('Lists and Mapping'!$C$10,'Lists and Mapping'!$B$3:$B$5,0),'2026 Forecast'!J66,'2027 Forecast'!J66,'2028 Forecast'!J66)</f>
        <v>0</v>
      </c>
      <c r="K66" s="574">
        <f>CHOOSE(MATCH('Lists and Mapping'!$C$10,'Lists and Mapping'!$B$3:$B$5,0),'2026 Forecast'!K66,'2027 Forecast'!K66,'2028 Forecast'!K66)</f>
        <v>736</v>
      </c>
      <c r="L66" s="574">
        <f>CHOOSE(MATCH('Lists and Mapping'!$C$10,'Lists and Mapping'!$B$3:$B$5,0),'2026 Forecast'!L66,'2027 Forecast'!L66,'2028 Forecast'!L66)</f>
        <v>0</v>
      </c>
      <c r="M66" s="537">
        <f>CHOOSE(MATCH('Lists and Mapping'!$C$10,'Lists and Mapping'!$B$3:$B$5,0),'2026 Forecast'!M66,'2027 Forecast'!M66,'2028 Forecast'!M66)</f>
        <v>0</v>
      </c>
      <c r="N66" s="537">
        <f>CHOOSE(MATCH('Lists and Mapping'!$C$10,'Lists and Mapping'!$B$3:$B$5,0),'2026 Forecast'!N66,'2027 Forecast'!N66,'2028 Forecast'!N66)</f>
        <v>0</v>
      </c>
      <c r="O66" s="548">
        <f>CHOOSE(MATCH('Lists and Mapping'!$C$10,'Lists and Mapping'!$B$3:$B$5,0),'2026 Forecast'!O66,'2027 Forecast'!O66,'2028 Forecast'!O66)</f>
        <v>0</v>
      </c>
      <c r="P66" s="538">
        <f>CHOOSE(MATCH('Lists and Mapping'!$C$10,'Lists and Mapping'!$B$3:$B$5,0),'2026 Forecast'!P66,'2027 Forecast'!P66,'2028 Forecast'!P66)</f>
        <v>0</v>
      </c>
      <c r="Q66" s="539">
        <f>CHOOSE(MATCH('Lists and Mapping'!$C$10,'Lists and Mapping'!$B$3:$B$5,0),'2026 Forecast'!Q66,'2027 Forecast'!Q66,'2028 Forecast'!Q66)</f>
        <v>0</v>
      </c>
      <c r="R66" s="539">
        <f>CHOOSE(MATCH('Lists and Mapping'!$C$10,'Lists and Mapping'!$B$3:$B$5,0),'2026 Forecast'!R66,'2027 Forecast'!R66,'2028 Forecast'!R66)</f>
        <v>0</v>
      </c>
      <c r="S66" s="539">
        <f>CHOOSE(MATCH('Lists and Mapping'!$C$10,'Lists and Mapping'!$B$3:$B$5,0),'2026 Forecast'!S66,'2027 Forecast'!S66,'2028 Forecast'!S66)</f>
        <v>0</v>
      </c>
      <c r="T66" s="539">
        <f>CHOOSE(MATCH('Lists and Mapping'!$C$10,'Lists and Mapping'!$B$3:$B$5,0),'2026 Forecast'!T66,'2027 Forecast'!T66,'2028 Forecast'!T66)</f>
        <v>0</v>
      </c>
      <c r="U66" s="539">
        <f>CHOOSE(MATCH('Lists and Mapping'!$C$10,'Lists and Mapping'!$B$3:$B$5,0),'2026 Forecast'!U66,'2027 Forecast'!U66,'2028 Forecast'!U66)</f>
        <v>9.6180480000000013E-2</v>
      </c>
      <c r="V66" s="540">
        <f>CHOOSE(MATCH('Lists and Mapping'!$C$10,'Lists and Mapping'!$B$3:$B$5,0),'2026 Forecast'!V66,'2027 Forecast'!V66,'2028 Forecast'!V66)</f>
        <v>9.6180480000000013E-2</v>
      </c>
      <c r="W66" s="542">
        <f>CHOOSE(MATCH('Lists and Mapping'!$C$10,'Lists and Mapping'!$B$3:$B$5,0),'2026 Forecast'!W66,'2027 Forecast'!W66,'2028 Forecast'!W66)</f>
        <v>0</v>
      </c>
      <c r="X66" s="542">
        <f>CHOOSE(MATCH('Lists and Mapping'!$C$10,'Lists and Mapping'!$B$3:$B$5,0),'2026 Forecast'!X66,'2027 Forecast'!X66,'2028 Forecast'!X66)</f>
        <v>0</v>
      </c>
      <c r="Y66" s="542">
        <f>CHOOSE(MATCH('Lists and Mapping'!$C$10,'Lists and Mapping'!$B$3:$B$5,0),'2026 Forecast'!Y66,'2027 Forecast'!Y66,'2028 Forecast'!Y66)</f>
        <v>0</v>
      </c>
      <c r="Z66" s="540">
        <f>CHOOSE(MATCH('Lists and Mapping'!$C$10,'Lists and Mapping'!$B$3:$B$5,0),'2026 Forecast'!Z66,'2027 Forecast'!Z66,'2028 Forecast'!Z66)</f>
        <v>0</v>
      </c>
      <c r="AA66" s="543">
        <f>CHOOSE(MATCH('Lists and Mapping'!$C$10,'Lists and Mapping'!$B$3:$B$5,0),'2026 Forecast'!AA66,'2027 Forecast'!AA66,'2028 Forecast'!AA66)</f>
        <v>9.6180480000000013E-2</v>
      </c>
      <c r="AB66" s="570">
        <f>CHOOSE(MATCH('Lists and Mapping'!$C$10,'Lists and Mapping'!$B$3:$B$5,0),'2026 Forecast'!AB66,'2027 Forecast'!AB66,'2028 Forecast'!AB66)</f>
        <v>4.4079242776737082E-2</v>
      </c>
      <c r="AC66" s="570">
        <f>CHOOSE(MATCH('Lists and Mapping'!$C$10,'Lists and Mapping'!$B$3:$B$5,0),'2026 Forecast'!AC66,'2027 Forecast'!AC66,'2028 Forecast'!AC66)</f>
        <v>1.8697488020165572E-2</v>
      </c>
      <c r="AD66" s="570">
        <f>CHOOSE(MATCH('Lists and Mapping'!$C$10,'Lists and Mapping'!$B$3:$B$5,0),'2026 Forecast'!AD66,'2027 Forecast'!AD66,'2028 Forecast'!AD66)</f>
        <v>2.2920000000000002E-3</v>
      </c>
      <c r="AE66" s="570">
        <f>CHOOSE(MATCH('Lists and Mapping'!$C$10,'Lists and Mapping'!$B$3:$B$5,0),'2026 Forecast'!AE66,'2027 Forecast'!AE66,'2028 Forecast'!AE66)</f>
        <v>4.6712000000000004E-3</v>
      </c>
      <c r="AF66" s="543">
        <f>CHOOSE(MATCH('Lists and Mapping'!$C$10,'Lists and Mapping'!$B$3:$B$5,0),'2026 Forecast'!AF66,'2027 Forecast'!AF66,'2028 Forecast'!AF66)</f>
        <v>3.4359999999999996E-5</v>
      </c>
      <c r="AG66" s="545">
        <f>CHOOSE(MATCH('Lists and Mapping'!$C$10,'Lists and Mapping'!$B$3:$B$5,0),'2026 Forecast'!AG66,'2027 Forecast'!AG66,'2028 Forecast'!AG66)</f>
        <v>0.16595477079690268</v>
      </c>
      <c r="AH66" s="546">
        <f>CHOOSE(MATCH('Lists and Mapping'!$C$10,'Lists and Mapping'!$B$3:$B$5,0),'2026 Forecast'!AH66,'2027 Forecast'!AH66,'2028 Forecast'!AH66)</f>
        <v>24.045120000000004</v>
      </c>
      <c r="AI66" s="546">
        <f>CHOOSE(MATCH('Lists and Mapping'!$C$10,'Lists and Mapping'!$B$3:$B$5,0),'2026 Forecast'!AI66,'2027 Forecast'!AI66,'2028 Forecast'!AI66)</f>
        <v>11.019810694184271</v>
      </c>
      <c r="AJ66" s="546">
        <f>CHOOSE(MATCH('Lists and Mapping'!$C$10,'Lists and Mapping'!$B$3:$B$5,0),'2026 Forecast'!AJ66,'2027 Forecast'!AJ66,'2028 Forecast'!AJ66)</f>
        <v>4.6743720050413922</v>
      </c>
      <c r="AK66" s="547">
        <f>CHOOSE(MATCH('Lists and Mapping'!$C$10,'Lists and Mapping'!$B$3:$B$5,0),'2026 Forecast'!AK66,'2027 Forecast'!AK66,'2028 Forecast'!AK66)</f>
        <v>41.488692699225673</v>
      </c>
      <c r="AL66" s="546">
        <f>CHOOSE(MATCH('Lists and Mapping'!$C$10,'Lists and Mapping'!$B$3:$B$5,0),'2026 Forecast'!AL66,'2027 Forecast'!AL66,'2028 Forecast'!AL66)</f>
        <v>1.1678000000000002</v>
      </c>
      <c r="AM66" s="546">
        <f>CHOOSE(MATCH('Lists and Mapping'!$C$10,'Lists and Mapping'!$B$3:$B$5,0),'2026 Forecast'!AM66,'2027 Forecast'!AM66,'2028 Forecast'!AM66)</f>
        <v>8.5899999999999987E-3</v>
      </c>
      <c r="AN66" s="547">
        <f>CHOOSE(MATCH('Lists and Mapping'!$C$10,'Lists and Mapping'!$B$3:$B$5,0),'2026 Forecast'!AN66,'2027 Forecast'!AN66,'2028 Forecast'!AN66)</f>
        <v>41.488692699225673</v>
      </c>
      <c r="AO66" s="446"/>
      <c r="AP66" s="446"/>
      <c r="AQ66" s="446"/>
      <c r="AR66" s="446"/>
      <c r="AS66" s="446"/>
      <c r="AT66" s="72"/>
      <c r="AU66" s="72"/>
      <c r="AV66" s="72"/>
      <c r="AW66" s="72"/>
      <c r="AX66" s="72"/>
      <c r="AY66" s="72"/>
      <c r="AZ66" s="72"/>
      <c r="BA66" s="72"/>
      <c r="BB66" s="72"/>
    </row>
    <row r="67" spans="1:55">
      <c r="B67" s="529" t="str">
        <f t="shared" si="0"/>
        <v>PLGUM 014</v>
      </c>
      <c r="C67" s="420"/>
      <c r="D67" s="590" t="s">
        <v>102</v>
      </c>
      <c r="E67" s="531">
        <f>CHOOSE(MATCH('Lists and Mapping'!$C$10,'Lists and Mapping'!$B$3:$B$5,0),'2026 Forecast'!E67,'2027 Forecast'!E67,'2028 Forecast'!E67)</f>
        <v>0</v>
      </c>
      <c r="F67" s="532">
        <f>CHOOSE(MATCH('Lists and Mapping'!$C$10,'Lists and Mapping'!$B$3:$B$5,0),'2026 Forecast'!F67,'2027 Forecast'!F67,'2028 Forecast'!F67)</f>
        <v>32</v>
      </c>
      <c r="G67" s="533">
        <f>CHOOSE(MATCH('Lists and Mapping'!$C$10,'Lists and Mapping'!$B$3:$B$5,0),'2026 Forecast'!G67,'2027 Forecast'!G67,'2028 Forecast'!G67)</f>
        <v>0</v>
      </c>
      <c r="H67" s="533">
        <f>CHOOSE(MATCH('Lists and Mapping'!$C$10,'Lists and Mapping'!$B$3:$B$5,0),'2026 Forecast'!H67,'2027 Forecast'!H67,'2028 Forecast'!H67)</f>
        <v>0</v>
      </c>
      <c r="I67" s="533">
        <f>CHOOSE(MATCH('Lists and Mapping'!$C$10,'Lists and Mapping'!$B$3:$B$5,0),'2026 Forecast'!I67,'2027 Forecast'!I67,'2028 Forecast'!I67)</f>
        <v>0</v>
      </c>
      <c r="J67" s="535">
        <f>CHOOSE(MATCH('Lists and Mapping'!$C$10,'Lists and Mapping'!$B$3:$B$5,0),'2026 Forecast'!J67,'2027 Forecast'!J67,'2028 Forecast'!J67)</f>
        <v>0</v>
      </c>
      <c r="K67" s="574">
        <f>CHOOSE(MATCH('Lists and Mapping'!$C$10,'Lists and Mapping'!$B$3:$B$5,0),'2026 Forecast'!K67,'2027 Forecast'!K67,'2028 Forecast'!K67)</f>
        <v>36502</v>
      </c>
      <c r="L67" s="574">
        <f>CHOOSE(MATCH('Lists and Mapping'!$C$10,'Lists and Mapping'!$B$3:$B$5,0),'2026 Forecast'!L67,'2027 Forecast'!L67,'2028 Forecast'!L67)</f>
        <v>0</v>
      </c>
      <c r="M67" s="537">
        <f>CHOOSE(MATCH('Lists and Mapping'!$C$10,'Lists and Mapping'!$B$3:$B$5,0),'2026 Forecast'!M67,'2027 Forecast'!M67,'2028 Forecast'!M67)</f>
        <v>0</v>
      </c>
      <c r="N67" s="537">
        <f>CHOOSE(MATCH('Lists and Mapping'!$C$10,'Lists and Mapping'!$B$3:$B$5,0),'2026 Forecast'!N67,'2027 Forecast'!N67,'2028 Forecast'!N67)</f>
        <v>0</v>
      </c>
      <c r="O67" s="548">
        <f>CHOOSE(MATCH('Lists and Mapping'!$C$10,'Lists and Mapping'!$B$3:$B$5,0),'2026 Forecast'!O67,'2027 Forecast'!O67,'2028 Forecast'!O67)</f>
        <v>0</v>
      </c>
      <c r="P67" s="538">
        <f>CHOOSE(MATCH('Lists and Mapping'!$C$10,'Lists and Mapping'!$B$3:$B$5,0),'2026 Forecast'!P67,'2027 Forecast'!P67,'2028 Forecast'!P67)</f>
        <v>0</v>
      </c>
      <c r="Q67" s="539">
        <f>CHOOSE(MATCH('Lists and Mapping'!$C$10,'Lists and Mapping'!$B$3:$B$5,0),'2026 Forecast'!Q67,'2027 Forecast'!Q67,'2028 Forecast'!Q67)</f>
        <v>0</v>
      </c>
      <c r="R67" s="539">
        <f>CHOOSE(MATCH('Lists and Mapping'!$C$10,'Lists and Mapping'!$B$3:$B$5,0),'2026 Forecast'!R67,'2027 Forecast'!R67,'2028 Forecast'!R67)</f>
        <v>0</v>
      </c>
      <c r="S67" s="539">
        <f>CHOOSE(MATCH('Lists and Mapping'!$C$10,'Lists and Mapping'!$B$3:$B$5,0),'2026 Forecast'!S67,'2027 Forecast'!S67,'2028 Forecast'!S67)</f>
        <v>0</v>
      </c>
      <c r="T67" s="539">
        <f>CHOOSE(MATCH('Lists and Mapping'!$C$10,'Lists and Mapping'!$B$3:$B$5,0),'2026 Forecast'!T67,'2027 Forecast'!T67,'2028 Forecast'!T67)</f>
        <v>0</v>
      </c>
      <c r="U67" s="539">
        <f>CHOOSE(MATCH('Lists and Mapping'!$C$10,'Lists and Mapping'!$B$3:$B$5,0),'2026 Forecast'!U67,'2027 Forecast'!U67,'2028 Forecast'!U67)</f>
        <v>5.9109455999999998</v>
      </c>
      <c r="V67" s="540">
        <f>CHOOSE(MATCH('Lists and Mapping'!$C$10,'Lists and Mapping'!$B$3:$B$5,0),'2026 Forecast'!V67,'2027 Forecast'!V67,'2028 Forecast'!V67)</f>
        <v>5.9109455999999998</v>
      </c>
      <c r="W67" s="542">
        <f>CHOOSE(MATCH('Lists and Mapping'!$C$10,'Lists and Mapping'!$B$3:$B$5,0),'2026 Forecast'!W67,'2027 Forecast'!W67,'2028 Forecast'!W67)</f>
        <v>0</v>
      </c>
      <c r="X67" s="542">
        <f>CHOOSE(MATCH('Lists and Mapping'!$C$10,'Lists and Mapping'!$B$3:$B$5,0),'2026 Forecast'!X67,'2027 Forecast'!X67,'2028 Forecast'!X67)</f>
        <v>0</v>
      </c>
      <c r="Y67" s="542">
        <f>CHOOSE(MATCH('Lists and Mapping'!$C$10,'Lists and Mapping'!$B$3:$B$5,0),'2026 Forecast'!Y67,'2027 Forecast'!Y67,'2028 Forecast'!Y67)</f>
        <v>0</v>
      </c>
      <c r="Z67" s="540">
        <f>CHOOSE(MATCH('Lists and Mapping'!$C$10,'Lists and Mapping'!$B$3:$B$5,0),'2026 Forecast'!Z67,'2027 Forecast'!Z67,'2028 Forecast'!Z67)</f>
        <v>0</v>
      </c>
      <c r="AA67" s="543">
        <f>CHOOSE(MATCH('Lists and Mapping'!$C$10,'Lists and Mapping'!$B$3:$B$5,0),'2026 Forecast'!AA67,'2027 Forecast'!AA67,'2028 Forecast'!AA67)</f>
        <v>5.9109455999999998</v>
      </c>
      <c r="AB67" s="570">
        <f>CHOOSE(MATCH('Lists and Mapping'!$C$10,'Lists and Mapping'!$B$3:$B$5,0),'2026 Forecast'!AB67,'2027 Forecast'!AB67,'2028 Forecast'!AB67)</f>
        <v>3.5263394221389661</v>
      </c>
      <c r="AC67" s="570">
        <f>CHOOSE(MATCH('Lists and Mapping'!$C$10,'Lists and Mapping'!$B$3:$B$5,0),'2026 Forecast'!AC67,'2027 Forecast'!AC67,'2028 Forecast'!AC67)</f>
        <v>1.4957990416132456</v>
      </c>
      <c r="AD67" s="570">
        <f>CHOOSE(MATCH('Lists and Mapping'!$C$10,'Lists and Mapping'!$B$3:$B$5,0),'2026 Forecast'!AD67,'2027 Forecast'!AD67,'2028 Forecast'!AD67)</f>
        <v>0.18336</v>
      </c>
      <c r="AE67" s="570">
        <f>CHOOSE(MATCH('Lists and Mapping'!$C$10,'Lists and Mapping'!$B$3:$B$5,0),'2026 Forecast'!AE67,'2027 Forecast'!AE67,'2028 Forecast'!AE67)</f>
        <v>0.37369600000000003</v>
      </c>
      <c r="AF67" s="543">
        <f>CHOOSE(MATCH('Lists and Mapping'!$C$10,'Lists and Mapping'!$B$3:$B$5,0),'2026 Forecast'!AF67,'2027 Forecast'!AF67,'2028 Forecast'!AF67)</f>
        <v>2.7487999999999996E-3</v>
      </c>
      <c r="AG67" s="545">
        <f>CHOOSE(MATCH('Lists and Mapping'!$C$10,'Lists and Mapping'!$B$3:$B$5,0),'2026 Forecast'!AG67,'2027 Forecast'!AG67,'2028 Forecast'!AG67)</f>
        <v>11.492888863752212</v>
      </c>
      <c r="AH67" s="546">
        <f>CHOOSE(MATCH('Lists and Mapping'!$C$10,'Lists and Mapping'!$B$3:$B$5,0),'2026 Forecast'!AH67,'2027 Forecast'!AH67,'2028 Forecast'!AH67)</f>
        <v>18.471705</v>
      </c>
      <c r="AI67" s="546">
        <f>CHOOSE(MATCH('Lists and Mapping'!$C$10,'Lists and Mapping'!$B$3:$B$5,0),'2026 Forecast'!AI67,'2027 Forecast'!AI67,'2028 Forecast'!AI67)</f>
        <v>11.019810694184269</v>
      </c>
      <c r="AJ67" s="546">
        <f>CHOOSE(MATCH('Lists and Mapping'!$C$10,'Lists and Mapping'!$B$3:$B$5,0),'2026 Forecast'!AJ67,'2027 Forecast'!AJ67,'2028 Forecast'!AJ67)</f>
        <v>4.6743720050413922</v>
      </c>
      <c r="AK67" s="547">
        <f>CHOOSE(MATCH('Lists and Mapping'!$C$10,'Lists and Mapping'!$B$3:$B$5,0),'2026 Forecast'!AK67,'2027 Forecast'!AK67,'2028 Forecast'!AK67)</f>
        <v>35.915277699225662</v>
      </c>
      <c r="AL67" s="546">
        <f>CHOOSE(MATCH('Lists and Mapping'!$C$10,'Lists and Mapping'!$B$3:$B$5,0),'2026 Forecast'!AL67,'2027 Forecast'!AL67,'2028 Forecast'!AL67)</f>
        <v>1.1678000000000002</v>
      </c>
      <c r="AM67" s="546">
        <f>CHOOSE(MATCH('Lists and Mapping'!$C$10,'Lists and Mapping'!$B$3:$B$5,0),'2026 Forecast'!AM67,'2027 Forecast'!AM67,'2028 Forecast'!AM67)</f>
        <v>8.5899999999999987E-3</v>
      </c>
      <c r="AN67" s="547">
        <f>CHOOSE(MATCH('Lists and Mapping'!$C$10,'Lists and Mapping'!$B$3:$B$5,0),'2026 Forecast'!AN67,'2027 Forecast'!AN67,'2028 Forecast'!AN67)</f>
        <v>35.915277699225662</v>
      </c>
      <c r="AO67" s="446"/>
      <c r="AP67" s="446"/>
      <c r="AQ67" s="446"/>
      <c r="AR67" s="446"/>
      <c r="AS67" s="446"/>
      <c r="AT67" s="72"/>
      <c r="AU67" s="72"/>
      <c r="AV67" s="72"/>
      <c r="AW67" s="72"/>
      <c r="AX67" s="72"/>
      <c r="AY67" s="72"/>
      <c r="AZ67" s="72"/>
      <c r="BA67" s="72"/>
      <c r="BB67" s="72"/>
    </row>
    <row r="68" spans="1:55">
      <c r="A68" s="651"/>
      <c r="B68" s="529" t="str">
        <f t="shared" si="0"/>
        <v>PLGUM 015</v>
      </c>
      <c r="C68" s="420"/>
      <c r="D68" s="590" t="s">
        <v>106</v>
      </c>
      <c r="E68" s="531">
        <f>CHOOSE(MATCH('Lists and Mapping'!$C$10,'Lists and Mapping'!$B$3:$B$5,0),'2026 Forecast'!E68,'2027 Forecast'!E68,'2028 Forecast'!E68)</f>
        <v>0</v>
      </c>
      <c r="F68" s="532">
        <f>CHOOSE(MATCH('Lists and Mapping'!$C$10,'Lists and Mapping'!$B$3:$B$5,0),'2026 Forecast'!F68,'2027 Forecast'!F68,'2028 Forecast'!F68)</f>
        <v>0.2</v>
      </c>
      <c r="G68" s="533">
        <f>CHOOSE(MATCH('Lists and Mapping'!$C$10,'Lists and Mapping'!$B$3:$B$5,0),'2026 Forecast'!G68,'2027 Forecast'!G68,'2028 Forecast'!G68)</f>
        <v>0</v>
      </c>
      <c r="H68" s="533">
        <f>CHOOSE(MATCH('Lists and Mapping'!$C$10,'Lists and Mapping'!$B$3:$B$5,0),'2026 Forecast'!H68,'2027 Forecast'!H68,'2028 Forecast'!H68)</f>
        <v>0</v>
      </c>
      <c r="I68" s="533">
        <f>CHOOSE(MATCH('Lists and Mapping'!$C$10,'Lists and Mapping'!$B$3:$B$5,0),'2026 Forecast'!I68,'2027 Forecast'!I68,'2028 Forecast'!I68)</f>
        <v>0</v>
      </c>
      <c r="J68" s="535">
        <f>CHOOSE(MATCH('Lists and Mapping'!$C$10,'Lists and Mapping'!$B$3:$B$5,0),'2026 Forecast'!J68,'2027 Forecast'!J68,'2028 Forecast'!J68)</f>
        <v>0</v>
      </c>
      <c r="K68" s="574">
        <f>CHOOSE(MATCH('Lists and Mapping'!$C$10,'Lists and Mapping'!$B$3:$B$5,0),'2026 Forecast'!K68,'2027 Forecast'!K68,'2028 Forecast'!K68)</f>
        <v>139</v>
      </c>
      <c r="L68" s="574">
        <f>CHOOSE(MATCH('Lists and Mapping'!$C$10,'Lists and Mapping'!$B$3:$B$5,0),'2026 Forecast'!L68,'2027 Forecast'!L68,'2028 Forecast'!L68)</f>
        <v>0</v>
      </c>
      <c r="M68" s="537">
        <f>CHOOSE(MATCH('Lists and Mapping'!$C$10,'Lists and Mapping'!$B$3:$B$5,0),'2026 Forecast'!M68,'2027 Forecast'!M68,'2028 Forecast'!M68)</f>
        <v>0</v>
      </c>
      <c r="N68" s="537">
        <f>CHOOSE(MATCH('Lists and Mapping'!$C$10,'Lists and Mapping'!$B$3:$B$5,0),'2026 Forecast'!N68,'2027 Forecast'!N68,'2028 Forecast'!N68)</f>
        <v>0</v>
      </c>
      <c r="O68" s="548">
        <f>CHOOSE(MATCH('Lists and Mapping'!$C$10,'Lists and Mapping'!$B$3:$B$5,0),'2026 Forecast'!O68,'2027 Forecast'!O68,'2028 Forecast'!O68)</f>
        <v>0</v>
      </c>
      <c r="P68" s="538">
        <f>CHOOSE(MATCH('Lists and Mapping'!$C$10,'Lists and Mapping'!$B$3:$B$5,0),'2026 Forecast'!P68,'2027 Forecast'!P68,'2028 Forecast'!P68)</f>
        <v>0</v>
      </c>
      <c r="Q68" s="539">
        <f>CHOOSE(MATCH('Lists and Mapping'!$C$10,'Lists and Mapping'!$B$3:$B$5,0),'2026 Forecast'!Q68,'2027 Forecast'!Q68,'2028 Forecast'!Q68)</f>
        <v>0</v>
      </c>
      <c r="R68" s="539">
        <f>CHOOSE(MATCH('Lists and Mapping'!$C$10,'Lists and Mapping'!$B$3:$B$5,0),'2026 Forecast'!R68,'2027 Forecast'!R68,'2028 Forecast'!R68)</f>
        <v>0</v>
      </c>
      <c r="S68" s="539">
        <f>CHOOSE(MATCH('Lists and Mapping'!$C$10,'Lists and Mapping'!$B$3:$B$5,0),'2026 Forecast'!S68,'2027 Forecast'!S68,'2028 Forecast'!S68)</f>
        <v>0</v>
      </c>
      <c r="T68" s="539">
        <f>CHOOSE(MATCH('Lists and Mapping'!$C$10,'Lists and Mapping'!$B$3:$B$5,0),'2026 Forecast'!T68,'2027 Forecast'!T68,'2028 Forecast'!T68)</f>
        <v>0</v>
      </c>
      <c r="U68" s="539">
        <f>CHOOSE(MATCH('Lists and Mapping'!$C$10,'Lists and Mapping'!$B$3:$B$5,0),'2026 Forecast'!U68,'2027 Forecast'!U68,'2028 Forecast'!U68)</f>
        <v>1.5465600000000001E-2</v>
      </c>
      <c r="V68" s="540">
        <f>CHOOSE(MATCH('Lists and Mapping'!$C$10,'Lists and Mapping'!$B$3:$B$5,0),'2026 Forecast'!V68,'2027 Forecast'!V68,'2028 Forecast'!V68)</f>
        <v>1.5465600000000001E-2</v>
      </c>
      <c r="W68" s="542">
        <f>CHOOSE(MATCH('Lists and Mapping'!$C$10,'Lists and Mapping'!$B$3:$B$5,0),'2026 Forecast'!W68,'2027 Forecast'!W68,'2028 Forecast'!W68)</f>
        <v>0</v>
      </c>
      <c r="X68" s="542">
        <f>CHOOSE(MATCH('Lists and Mapping'!$C$10,'Lists and Mapping'!$B$3:$B$5,0),'2026 Forecast'!X68,'2027 Forecast'!X68,'2028 Forecast'!X68)</f>
        <v>0</v>
      </c>
      <c r="Y68" s="542">
        <f>CHOOSE(MATCH('Lists and Mapping'!$C$10,'Lists and Mapping'!$B$3:$B$5,0),'2026 Forecast'!Y68,'2027 Forecast'!Y68,'2028 Forecast'!Y68)</f>
        <v>0</v>
      </c>
      <c r="Z68" s="540">
        <f>CHOOSE(MATCH('Lists and Mapping'!$C$10,'Lists and Mapping'!$B$3:$B$5,0),'2026 Forecast'!Z68,'2027 Forecast'!Z68,'2028 Forecast'!Z68)</f>
        <v>0</v>
      </c>
      <c r="AA68" s="543">
        <f>CHOOSE(MATCH('Lists and Mapping'!$C$10,'Lists and Mapping'!$B$3:$B$5,0),'2026 Forecast'!AA68,'2027 Forecast'!AA68,'2028 Forecast'!AA68)</f>
        <v>1.5465600000000001E-2</v>
      </c>
      <c r="AB68" s="570">
        <f>CHOOSE(MATCH('Lists and Mapping'!$C$10,'Lists and Mapping'!$B$3:$B$5,0),'2026 Forecast'!AB68,'2027 Forecast'!AB68,'2028 Forecast'!AB68)</f>
        <v>2.2039621388368541E-2</v>
      </c>
      <c r="AC68" s="570">
        <f>CHOOSE(MATCH('Lists and Mapping'!$C$10,'Lists and Mapping'!$B$3:$B$5,0),'2026 Forecast'!AC68,'2027 Forecast'!AC68,'2028 Forecast'!AC68)</f>
        <v>9.3487440100827861E-3</v>
      </c>
      <c r="AD68" s="570">
        <f>CHOOSE(MATCH('Lists and Mapping'!$C$10,'Lists and Mapping'!$B$3:$B$5,0),'2026 Forecast'!AD68,'2027 Forecast'!AD68,'2028 Forecast'!AD68)</f>
        <v>1.1460000000000001E-3</v>
      </c>
      <c r="AE68" s="570">
        <f>CHOOSE(MATCH('Lists and Mapping'!$C$10,'Lists and Mapping'!$B$3:$B$5,0),'2026 Forecast'!AE68,'2027 Forecast'!AE68,'2028 Forecast'!AE68)</f>
        <v>2.3356000000000002E-3</v>
      </c>
      <c r="AF68" s="543">
        <f>CHOOSE(MATCH('Lists and Mapping'!$C$10,'Lists and Mapping'!$B$3:$B$5,0),'2026 Forecast'!AF68,'2027 Forecast'!AF68,'2028 Forecast'!AF68)</f>
        <v>1.7179999999999998E-5</v>
      </c>
      <c r="AG68" s="545">
        <f>CHOOSE(MATCH('Lists and Mapping'!$C$10,'Lists and Mapping'!$B$3:$B$5,0),'2026 Forecast'!AG68,'2027 Forecast'!AG68,'2028 Forecast'!AG68)</f>
        <v>5.0352745398451332E-2</v>
      </c>
      <c r="AH68" s="546">
        <f>CHOOSE(MATCH('Lists and Mapping'!$C$10,'Lists and Mapping'!$B$3:$B$5,0),'2026 Forecast'!AH68,'2027 Forecast'!AH68,'2028 Forecast'!AH68)</f>
        <v>7.732800000000001</v>
      </c>
      <c r="AI68" s="546">
        <f>CHOOSE(MATCH('Lists and Mapping'!$C$10,'Lists and Mapping'!$B$3:$B$5,0),'2026 Forecast'!AI68,'2027 Forecast'!AI68,'2028 Forecast'!AI68)</f>
        <v>11.019810694184271</v>
      </c>
      <c r="AJ68" s="546">
        <f>CHOOSE(MATCH('Lists and Mapping'!$C$10,'Lists and Mapping'!$B$3:$B$5,0),'2026 Forecast'!AJ68,'2027 Forecast'!AJ68,'2028 Forecast'!AJ68)</f>
        <v>4.6743720050413922</v>
      </c>
      <c r="AK68" s="547">
        <f>CHOOSE(MATCH('Lists and Mapping'!$C$10,'Lists and Mapping'!$B$3:$B$5,0),'2026 Forecast'!AK68,'2027 Forecast'!AK68,'2028 Forecast'!AK68)</f>
        <v>25.176372699225663</v>
      </c>
      <c r="AL68" s="546">
        <f>CHOOSE(MATCH('Lists and Mapping'!$C$10,'Lists and Mapping'!$B$3:$B$5,0),'2026 Forecast'!AL68,'2027 Forecast'!AL68,'2028 Forecast'!AL68)</f>
        <v>1.1678000000000002</v>
      </c>
      <c r="AM68" s="546">
        <f>CHOOSE(MATCH('Lists and Mapping'!$C$10,'Lists and Mapping'!$B$3:$B$5,0),'2026 Forecast'!AM68,'2027 Forecast'!AM68,'2028 Forecast'!AM68)</f>
        <v>8.5899999999999987E-3</v>
      </c>
      <c r="AN68" s="547">
        <f>CHOOSE(MATCH('Lists and Mapping'!$C$10,'Lists and Mapping'!$B$3:$B$5,0),'2026 Forecast'!AN68,'2027 Forecast'!AN68,'2028 Forecast'!AN68)</f>
        <v>25.176372699225663</v>
      </c>
      <c r="AO68" s="446"/>
      <c r="AP68" s="446"/>
      <c r="AQ68" s="446"/>
      <c r="AR68" s="446"/>
      <c r="AS68" s="446"/>
      <c r="AT68" s="72"/>
      <c r="AU68" s="72"/>
      <c r="AV68" s="72"/>
      <c r="AW68" s="72"/>
      <c r="AX68" s="72"/>
      <c r="AY68" s="72"/>
      <c r="AZ68" s="72"/>
      <c r="BA68" s="72"/>
      <c r="BB68" s="72"/>
    </row>
    <row r="69" spans="1:55">
      <c r="B69" s="529" t="str">
        <f t="shared" si="0"/>
        <v>PLGUM 020</v>
      </c>
      <c r="C69" s="420"/>
      <c r="D69" s="590" t="s">
        <v>109</v>
      </c>
      <c r="E69" s="531">
        <f>CHOOSE(MATCH('Lists and Mapping'!$C$10,'Lists and Mapping'!$B$3:$B$5,0),'2026 Forecast'!E69,'2027 Forecast'!E69,'2028 Forecast'!E69)</f>
        <v>0</v>
      </c>
      <c r="F69" s="532">
        <f>CHOOSE(MATCH('Lists and Mapping'!$C$10,'Lists and Mapping'!$B$3:$B$5,0),'2026 Forecast'!F69,'2027 Forecast'!F69,'2028 Forecast'!F69)</f>
        <v>0.3</v>
      </c>
      <c r="G69" s="533">
        <f>CHOOSE(MATCH('Lists and Mapping'!$C$10,'Lists and Mapping'!$B$3:$B$5,0),'2026 Forecast'!G69,'2027 Forecast'!G69,'2028 Forecast'!G69)</f>
        <v>0</v>
      </c>
      <c r="H69" s="533">
        <f>CHOOSE(MATCH('Lists and Mapping'!$C$10,'Lists and Mapping'!$B$3:$B$5,0),'2026 Forecast'!H69,'2027 Forecast'!H69,'2028 Forecast'!H69)</f>
        <v>0</v>
      </c>
      <c r="I69" s="533">
        <f>CHOOSE(MATCH('Lists and Mapping'!$C$10,'Lists and Mapping'!$B$3:$B$5,0),'2026 Forecast'!I69,'2027 Forecast'!I69,'2028 Forecast'!I69)</f>
        <v>0</v>
      </c>
      <c r="J69" s="535">
        <f>CHOOSE(MATCH('Lists and Mapping'!$C$10,'Lists and Mapping'!$B$3:$B$5,0),'2026 Forecast'!J69,'2027 Forecast'!J69,'2028 Forecast'!J69)</f>
        <v>0</v>
      </c>
      <c r="K69" s="574">
        <f>CHOOSE(MATCH('Lists and Mapping'!$C$10,'Lists and Mapping'!$B$3:$B$5,0),'2026 Forecast'!K69,'2027 Forecast'!K69,'2028 Forecast'!K69)</f>
        <v>0</v>
      </c>
      <c r="L69" s="574">
        <f>CHOOSE(MATCH('Lists and Mapping'!$C$10,'Lists and Mapping'!$B$3:$B$5,0),'2026 Forecast'!L69,'2027 Forecast'!L69,'2028 Forecast'!L69)</f>
        <v>0</v>
      </c>
      <c r="M69" s="537">
        <f>CHOOSE(MATCH('Lists and Mapping'!$C$10,'Lists and Mapping'!$B$3:$B$5,0),'2026 Forecast'!M69,'2027 Forecast'!M69,'2028 Forecast'!M69)</f>
        <v>0</v>
      </c>
      <c r="N69" s="537">
        <f>CHOOSE(MATCH('Lists and Mapping'!$C$10,'Lists and Mapping'!$B$3:$B$5,0),'2026 Forecast'!N69,'2027 Forecast'!N69,'2028 Forecast'!N69)</f>
        <v>0</v>
      </c>
      <c r="O69" s="548">
        <f>CHOOSE(MATCH('Lists and Mapping'!$C$10,'Lists and Mapping'!$B$3:$B$5,0),'2026 Forecast'!O69,'2027 Forecast'!O69,'2028 Forecast'!O69)</f>
        <v>0</v>
      </c>
      <c r="P69" s="538">
        <f>CHOOSE(MATCH('Lists and Mapping'!$C$10,'Lists and Mapping'!$B$3:$B$5,0),'2026 Forecast'!P69,'2027 Forecast'!P69,'2028 Forecast'!P69)</f>
        <v>0</v>
      </c>
      <c r="Q69" s="539">
        <f>CHOOSE(MATCH('Lists and Mapping'!$C$10,'Lists and Mapping'!$B$3:$B$5,0),'2026 Forecast'!Q69,'2027 Forecast'!Q69,'2028 Forecast'!Q69)</f>
        <v>0</v>
      </c>
      <c r="R69" s="539">
        <f>CHOOSE(MATCH('Lists and Mapping'!$C$10,'Lists and Mapping'!$B$3:$B$5,0),'2026 Forecast'!R69,'2027 Forecast'!R69,'2028 Forecast'!R69)</f>
        <v>0</v>
      </c>
      <c r="S69" s="539">
        <f>CHOOSE(MATCH('Lists and Mapping'!$C$10,'Lists and Mapping'!$B$3:$B$5,0),'2026 Forecast'!S69,'2027 Forecast'!S69,'2028 Forecast'!S69)</f>
        <v>0</v>
      </c>
      <c r="T69" s="539">
        <f>CHOOSE(MATCH('Lists and Mapping'!$C$10,'Lists and Mapping'!$B$3:$B$5,0),'2026 Forecast'!T69,'2027 Forecast'!T69,'2028 Forecast'!T69)</f>
        <v>0</v>
      </c>
      <c r="U69" s="539">
        <f>CHOOSE(MATCH('Lists and Mapping'!$C$10,'Lists and Mapping'!$B$3:$B$5,0),'2026 Forecast'!U69,'2027 Forecast'!U69,'2028 Forecast'!U69)</f>
        <v>5.1053040000000001E-2</v>
      </c>
      <c r="V69" s="540">
        <f>CHOOSE(MATCH('Lists and Mapping'!$C$10,'Lists and Mapping'!$B$3:$B$5,0),'2026 Forecast'!V69,'2027 Forecast'!V69,'2028 Forecast'!V69)</f>
        <v>5.1053040000000001E-2</v>
      </c>
      <c r="W69" s="542">
        <f>CHOOSE(MATCH('Lists and Mapping'!$C$10,'Lists and Mapping'!$B$3:$B$5,0),'2026 Forecast'!W69,'2027 Forecast'!W69,'2028 Forecast'!W69)</f>
        <v>0</v>
      </c>
      <c r="X69" s="542">
        <f>CHOOSE(MATCH('Lists and Mapping'!$C$10,'Lists and Mapping'!$B$3:$B$5,0),'2026 Forecast'!X69,'2027 Forecast'!X69,'2028 Forecast'!X69)</f>
        <v>0</v>
      </c>
      <c r="Y69" s="542">
        <f>CHOOSE(MATCH('Lists and Mapping'!$C$10,'Lists and Mapping'!$B$3:$B$5,0),'2026 Forecast'!Y69,'2027 Forecast'!Y69,'2028 Forecast'!Y69)</f>
        <v>0</v>
      </c>
      <c r="Z69" s="540">
        <f>CHOOSE(MATCH('Lists and Mapping'!$C$10,'Lists and Mapping'!$B$3:$B$5,0),'2026 Forecast'!Z69,'2027 Forecast'!Z69,'2028 Forecast'!Z69)</f>
        <v>0</v>
      </c>
      <c r="AA69" s="543">
        <f>CHOOSE(MATCH('Lists and Mapping'!$C$10,'Lists and Mapping'!$B$3:$B$5,0),'2026 Forecast'!AA69,'2027 Forecast'!AA69,'2028 Forecast'!AA69)</f>
        <v>5.1053040000000001E-2</v>
      </c>
      <c r="AB69" s="570">
        <f>CHOOSE(MATCH('Lists and Mapping'!$C$10,'Lists and Mapping'!$B$3:$B$5,0),'2026 Forecast'!AB69,'2027 Forecast'!AB69,'2028 Forecast'!AB69)</f>
        <v>3.3059432082552805E-2</v>
      </c>
      <c r="AC69" s="570">
        <f>CHOOSE(MATCH('Lists and Mapping'!$C$10,'Lists and Mapping'!$B$3:$B$5,0),'2026 Forecast'!AC69,'2027 Forecast'!AC69,'2028 Forecast'!AC69)</f>
        <v>1.4023116015124177E-2</v>
      </c>
      <c r="AD69" s="570">
        <f>CHOOSE(MATCH('Lists and Mapping'!$C$10,'Lists and Mapping'!$B$3:$B$5,0),'2026 Forecast'!AD69,'2027 Forecast'!AD69,'2028 Forecast'!AD69)</f>
        <v>1.7189999999999998E-3</v>
      </c>
      <c r="AE69" s="570">
        <f>CHOOSE(MATCH('Lists and Mapping'!$C$10,'Lists and Mapping'!$B$3:$B$5,0),'2026 Forecast'!AE69,'2027 Forecast'!AE69,'2028 Forecast'!AE69)</f>
        <v>3.5034000000000003E-3</v>
      </c>
      <c r="AF69" s="543">
        <f>CHOOSE(MATCH('Lists and Mapping'!$C$10,'Lists and Mapping'!$B$3:$B$5,0),'2026 Forecast'!AF69,'2027 Forecast'!AF69,'2028 Forecast'!AF69)</f>
        <v>2.5769999999999996E-5</v>
      </c>
      <c r="AG69" s="545">
        <f>CHOOSE(MATCH('Lists and Mapping'!$C$10,'Lists and Mapping'!$B$3:$B$5,0),'2026 Forecast'!AG69,'2027 Forecast'!AG69,'2028 Forecast'!AG69)</f>
        <v>0.10338375809767698</v>
      </c>
      <c r="AH69" s="546">
        <f>CHOOSE(MATCH('Lists and Mapping'!$C$10,'Lists and Mapping'!$B$3:$B$5,0),'2026 Forecast'!AH69,'2027 Forecast'!AH69,'2028 Forecast'!AH69)</f>
        <v>17.017680000000002</v>
      </c>
      <c r="AI69" s="546">
        <f>CHOOSE(MATCH('Lists and Mapping'!$C$10,'Lists and Mapping'!$B$3:$B$5,0),'2026 Forecast'!AI69,'2027 Forecast'!AI69,'2028 Forecast'!AI69)</f>
        <v>11.019810694184269</v>
      </c>
      <c r="AJ69" s="546">
        <f>CHOOSE(MATCH('Lists and Mapping'!$C$10,'Lists and Mapping'!$B$3:$B$5,0),'2026 Forecast'!AJ69,'2027 Forecast'!AJ69,'2028 Forecast'!AJ69)</f>
        <v>4.6743720050413922</v>
      </c>
      <c r="AK69" s="547">
        <f>CHOOSE(MATCH('Lists and Mapping'!$C$10,'Lists and Mapping'!$B$3:$B$5,0),'2026 Forecast'!AK69,'2027 Forecast'!AK69,'2028 Forecast'!AK69)</f>
        <v>34.461252699225668</v>
      </c>
      <c r="AL69" s="546">
        <f>CHOOSE(MATCH('Lists and Mapping'!$C$10,'Lists and Mapping'!$B$3:$B$5,0),'2026 Forecast'!AL69,'2027 Forecast'!AL69,'2028 Forecast'!AL69)</f>
        <v>1.1678000000000002</v>
      </c>
      <c r="AM69" s="546">
        <f>CHOOSE(MATCH('Lists and Mapping'!$C$10,'Lists and Mapping'!$B$3:$B$5,0),'2026 Forecast'!AM69,'2027 Forecast'!AM69,'2028 Forecast'!AM69)</f>
        <v>8.5899999999999987E-3</v>
      </c>
      <c r="AN69" s="547">
        <f>CHOOSE(MATCH('Lists and Mapping'!$C$10,'Lists and Mapping'!$B$3:$B$5,0),'2026 Forecast'!AN69,'2027 Forecast'!AN69,'2028 Forecast'!AN69)</f>
        <v>34.461252699225668</v>
      </c>
      <c r="AO69" s="446"/>
      <c r="AP69" s="446"/>
      <c r="AQ69" s="446"/>
      <c r="AR69" s="446"/>
      <c r="AS69" s="446"/>
      <c r="AT69" s="72"/>
      <c r="AU69" s="72"/>
      <c r="AV69" s="72"/>
      <c r="AW69" s="72"/>
      <c r="AX69" s="72"/>
      <c r="AY69" s="72"/>
      <c r="AZ69" s="72"/>
      <c r="BA69" s="72"/>
      <c r="BB69" s="72"/>
    </row>
    <row r="70" spans="1:55">
      <c r="B70" s="529" t="str">
        <f t="shared" si="0"/>
        <v>PLGUM 021</v>
      </c>
      <c r="C70" s="420"/>
      <c r="D70" s="590" t="s">
        <v>111</v>
      </c>
      <c r="E70" s="531">
        <f>CHOOSE(MATCH('Lists and Mapping'!$C$10,'Lists and Mapping'!$B$3:$B$5,0),'2026 Forecast'!E70,'2027 Forecast'!E70,'2028 Forecast'!E70)</f>
        <v>0</v>
      </c>
      <c r="F70" s="532">
        <f>CHOOSE(MATCH('Lists and Mapping'!$C$10,'Lists and Mapping'!$B$3:$B$5,0),'2026 Forecast'!F70,'2027 Forecast'!F70,'2028 Forecast'!F70)</f>
        <v>18.3</v>
      </c>
      <c r="G70" s="533">
        <f>CHOOSE(MATCH('Lists and Mapping'!$C$10,'Lists and Mapping'!$B$3:$B$5,0),'2026 Forecast'!G70,'2027 Forecast'!G70,'2028 Forecast'!G70)</f>
        <v>0</v>
      </c>
      <c r="H70" s="533">
        <f>CHOOSE(MATCH('Lists and Mapping'!$C$10,'Lists and Mapping'!$B$3:$B$5,0),'2026 Forecast'!H70,'2027 Forecast'!H70,'2028 Forecast'!H70)</f>
        <v>0</v>
      </c>
      <c r="I70" s="533">
        <f>CHOOSE(MATCH('Lists and Mapping'!$C$10,'Lists and Mapping'!$B$3:$B$5,0),'2026 Forecast'!I70,'2027 Forecast'!I70,'2028 Forecast'!I70)</f>
        <v>0</v>
      </c>
      <c r="J70" s="535">
        <f>CHOOSE(MATCH('Lists and Mapping'!$C$10,'Lists and Mapping'!$B$3:$B$5,0),'2026 Forecast'!J70,'2027 Forecast'!J70,'2028 Forecast'!J70)</f>
        <v>0</v>
      </c>
      <c r="K70" s="574">
        <f>CHOOSE(MATCH('Lists and Mapping'!$C$10,'Lists and Mapping'!$B$3:$B$5,0),'2026 Forecast'!K70,'2027 Forecast'!K70,'2028 Forecast'!K70)</f>
        <v>4275</v>
      </c>
      <c r="L70" s="574">
        <f>CHOOSE(MATCH('Lists and Mapping'!$C$10,'Lists and Mapping'!$B$3:$B$5,0),'2026 Forecast'!L70,'2027 Forecast'!L70,'2028 Forecast'!L70)</f>
        <v>0</v>
      </c>
      <c r="M70" s="537">
        <f>CHOOSE(MATCH('Lists and Mapping'!$C$10,'Lists and Mapping'!$B$3:$B$5,0),'2026 Forecast'!M70,'2027 Forecast'!M70,'2028 Forecast'!M70)</f>
        <v>0</v>
      </c>
      <c r="N70" s="537">
        <f>CHOOSE(MATCH('Lists and Mapping'!$C$10,'Lists and Mapping'!$B$3:$B$5,0),'2026 Forecast'!N70,'2027 Forecast'!N70,'2028 Forecast'!N70)</f>
        <v>0</v>
      </c>
      <c r="O70" s="548">
        <f>CHOOSE(MATCH('Lists and Mapping'!$C$10,'Lists and Mapping'!$B$3:$B$5,0),'2026 Forecast'!O70,'2027 Forecast'!O70,'2028 Forecast'!O70)</f>
        <v>0</v>
      </c>
      <c r="P70" s="538">
        <f>CHOOSE(MATCH('Lists and Mapping'!$C$10,'Lists and Mapping'!$B$3:$B$5,0),'2026 Forecast'!P70,'2027 Forecast'!P70,'2028 Forecast'!P70)</f>
        <v>0</v>
      </c>
      <c r="Q70" s="539">
        <f>CHOOSE(MATCH('Lists and Mapping'!$C$10,'Lists and Mapping'!$B$3:$B$5,0),'2026 Forecast'!Q70,'2027 Forecast'!Q70,'2028 Forecast'!Q70)</f>
        <v>0</v>
      </c>
      <c r="R70" s="539">
        <f>CHOOSE(MATCH('Lists and Mapping'!$C$10,'Lists and Mapping'!$B$3:$B$5,0),'2026 Forecast'!R70,'2027 Forecast'!R70,'2028 Forecast'!R70)</f>
        <v>0</v>
      </c>
      <c r="S70" s="539">
        <f>CHOOSE(MATCH('Lists and Mapping'!$C$10,'Lists and Mapping'!$B$3:$B$5,0),'2026 Forecast'!S70,'2027 Forecast'!S70,'2028 Forecast'!S70)</f>
        <v>0</v>
      </c>
      <c r="T70" s="539">
        <f>CHOOSE(MATCH('Lists and Mapping'!$C$10,'Lists and Mapping'!$B$3:$B$5,0),'2026 Forecast'!T70,'2027 Forecast'!T70,'2028 Forecast'!T70)</f>
        <v>0</v>
      </c>
      <c r="U70" s="539">
        <f>CHOOSE(MATCH('Lists and Mapping'!$C$10,'Lists and Mapping'!$B$3:$B$5,0),'2026 Forecast'!U70,'2027 Forecast'!U70,'2028 Forecast'!U70)</f>
        <v>2.4256713599999999</v>
      </c>
      <c r="V70" s="540">
        <f>CHOOSE(MATCH('Lists and Mapping'!$C$10,'Lists and Mapping'!$B$3:$B$5,0),'2026 Forecast'!V70,'2027 Forecast'!V70,'2028 Forecast'!V70)</f>
        <v>2.4256713599999999</v>
      </c>
      <c r="W70" s="542">
        <f>CHOOSE(MATCH('Lists and Mapping'!$C$10,'Lists and Mapping'!$B$3:$B$5,0),'2026 Forecast'!W70,'2027 Forecast'!W70,'2028 Forecast'!W70)</f>
        <v>0</v>
      </c>
      <c r="X70" s="542">
        <f>CHOOSE(MATCH('Lists and Mapping'!$C$10,'Lists and Mapping'!$B$3:$B$5,0),'2026 Forecast'!X70,'2027 Forecast'!X70,'2028 Forecast'!X70)</f>
        <v>0</v>
      </c>
      <c r="Y70" s="542">
        <f>CHOOSE(MATCH('Lists and Mapping'!$C$10,'Lists and Mapping'!$B$3:$B$5,0),'2026 Forecast'!Y70,'2027 Forecast'!Y70,'2028 Forecast'!Y70)</f>
        <v>0</v>
      </c>
      <c r="Z70" s="540">
        <f>CHOOSE(MATCH('Lists and Mapping'!$C$10,'Lists and Mapping'!$B$3:$B$5,0),'2026 Forecast'!Z70,'2027 Forecast'!Z70,'2028 Forecast'!Z70)</f>
        <v>0</v>
      </c>
      <c r="AA70" s="543">
        <f>CHOOSE(MATCH('Lists and Mapping'!$C$10,'Lists and Mapping'!$B$3:$B$5,0),'2026 Forecast'!AA70,'2027 Forecast'!AA70,'2028 Forecast'!AA70)</f>
        <v>2.4256713599999999</v>
      </c>
      <c r="AB70" s="570">
        <f>CHOOSE(MATCH('Lists and Mapping'!$C$10,'Lists and Mapping'!$B$3:$B$5,0),'2026 Forecast'!AB70,'2027 Forecast'!AB70,'2028 Forecast'!AB70)</f>
        <v>2.0166253570357213</v>
      </c>
      <c r="AC70" s="570">
        <f>CHOOSE(MATCH('Lists and Mapping'!$C$10,'Lists and Mapping'!$B$3:$B$5,0),'2026 Forecast'!AC70,'2027 Forecast'!AC70,'2028 Forecast'!AC70)</f>
        <v>0.85541007692257487</v>
      </c>
      <c r="AD70" s="570">
        <f>CHOOSE(MATCH('Lists and Mapping'!$C$10,'Lists and Mapping'!$B$3:$B$5,0),'2026 Forecast'!AD70,'2027 Forecast'!AD70,'2028 Forecast'!AD70)</f>
        <v>0.10485900000000001</v>
      </c>
      <c r="AE70" s="570">
        <f>CHOOSE(MATCH('Lists and Mapping'!$C$10,'Lists and Mapping'!$B$3:$B$5,0),'2026 Forecast'!AE70,'2027 Forecast'!AE70,'2028 Forecast'!AE70)</f>
        <v>0.21370740000000002</v>
      </c>
      <c r="AF70" s="543">
        <f>CHOOSE(MATCH('Lists and Mapping'!$C$10,'Lists and Mapping'!$B$3:$B$5,0),'2026 Forecast'!AF70,'2027 Forecast'!AF70,'2028 Forecast'!AF70)</f>
        <v>1.5719699999999998E-3</v>
      </c>
      <c r="AG70" s="545">
        <f>CHOOSE(MATCH('Lists and Mapping'!$C$10,'Lists and Mapping'!$B$3:$B$5,0),'2026 Forecast'!AG70,'2027 Forecast'!AG70,'2028 Forecast'!AG70)</f>
        <v>5.6178451639582958</v>
      </c>
      <c r="AH70" s="546">
        <f>CHOOSE(MATCH('Lists and Mapping'!$C$10,'Lists and Mapping'!$B$3:$B$5,0),'2026 Forecast'!AH70,'2027 Forecast'!AH70,'2028 Forecast'!AH70)</f>
        <v>13.255034754098361</v>
      </c>
      <c r="AI70" s="546">
        <f>CHOOSE(MATCH('Lists and Mapping'!$C$10,'Lists and Mapping'!$B$3:$B$5,0),'2026 Forecast'!AI70,'2027 Forecast'!AI70,'2028 Forecast'!AI70)</f>
        <v>11.019810694184269</v>
      </c>
      <c r="AJ70" s="546">
        <f>CHOOSE(MATCH('Lists and Mapping'!$C$10,'Lists and Mapping'!$B$3:$B$5,0),'2026 Forecast'!AJ70,'2027 Forecast'!AJ70,'2028 Forecast'!AJ70)</f>
        <v>4.6743720050413922</v>
      </c>
      <c r="AK70" s="547">
        <f>CHOOSE(MATCH('Lists and Mapping'!$C$10,'Lists and Mapping'!$B$3:$B$5,0),'2026 Forecast'!AK70,'2027 Forecast'!AK70,'2028 Forecast'!AK70)</f>
        <v>30.698607453324016</v>
      </c>
      <c r="AL70" s="546">
        <f>CHOOSE(MATCH('Lists and Mapping'!$C$10,'Lists and Mapping'!$B$3:$B$5,0),'2026 Forecast'!AL70,'2027 Forecast'!AL70,'2028 Forecast'!AL70)</f>
        <v>1.1678000000000002</v>
      </c>
      <c r="AM70" s="546">
        <f>CHOOSE(MATCH('Lists and Mapping'!$C$10,'Lists and Mapping'!$B$3:$B$5,0),'2026 Forecast'!AM70,'2027 Forecast'!AM70,'2028 Forecast'!AM70)</f>
        <v>8.5899999999999987E-3</v>
      </c>
      <c r="AN70" s="547">
        <f>CHOOSE(MATCH('Lists and Mapping'!$C$10,'Lists and Mapping'!$B$3:$B$5,0),'2026 Forecast'!AN70,'2027 Forecast'!AN70,'2028 Forecast'!AN70)</f>
        <v>30.698607453324016</v>
      </c>
      <c r="AO70" s="446"/>
      <c r="AP70" s="446"/>
      <c r="AQ70" s="446"/>
      <c r="AR70" s="446"/>
      <c r="AS70" s="446"/>
      <c r="AT70" s="72"/>
      <c r="AU70" s="72"/>
      <c r="AV70" s="72"/>
      <c r="AW70" s="72"/>
      <c r="AX70" s="72"/>
      <c r="AY70" s="72"/>
      <c r="AZ70" s="72"/>
      <c r="BA70" s="72"/>
      <c r="BB70" s="72"/>
    </row>
    <row r="71" spans="1:55">
      <c r="B71" s="529" t="str">
        <f t="shared" si="0"/>
        <v>PLGUM 022</v>
      </c>
      <c r="C71" s="420"/>
      <c r="D71" s="590" t="s">
        <v>113</v>
      </c>
      <c r="E71" s="531">
        <f>CHOOSE(MATCH('Lists and Mapping'!$C$10,'Lists and Mapping'!$B$3:$B$5,0),'2026 Forecast'!E71,'2027 Forecast'!E71,'2028 Forecast'!E71)</f>
        <v>0</v>
      </c>
      <c r="F71" s="532">
        <f>CHOOSE(MATCH('Lists and Mapping'!$C$10,'Lists and Mapping'!$B$3:$B$5,0),'2026 Forecast'!F71,'2027 Forecast'!F71,'2028 Forecast'!F71)</f>
        <v>3.4</v>
      </c>
      <c r="G71" s="533">
        <f>CHOOSE(MATCH('Lists and Mapping'!$C$10,'Lists and Mapping'!$B$3:$B$5,0),'2026 Forecast'!G71,'2027 Forecast'!G71,'2028 Forecast'!G71)</f>
        <v>0</v>
      </c>
      <c r="H71" s="533">
        <f>CHOOSE(MATCH('Lists and Mapping'!$C$10,'Lists and Mapping'!$B$3:$B$5,0),'2026 Forecast'!H71,'2027 Forecast'!H71,'2028 Forecast'!H71)</f>
        <v>0</v>
      </c>
      <c r="I71" s="533">
        <f>CHOOSE(MATCH('Lists and Mapping'!$C$10,'Lists and Mapping'!$B$3:$B$5,0),'2026 Forecast'!I71,'2027 Forecast'!I71,'2028 Forecast'!I71)</f>
        <v>0</v>
      </c>
      <c r="J71" s="535">
        <f>CHOOSE(MATCH('Lists and Mapping'!$C$10,'Lists and Mapping'!$B$3:$B$5,0),'2026 Forecast'!J71,'2027 Forecast'!J71,'2028 Forecast'!J71)</f>
        <v>0</v>
      </c>
      <c r="K71" s="574">
        <f>CHOOSE(MATCH('Lists and Mapping'!$C$10,'Lists and Mapping'!$B$3:$B$5,0),'2026 Forecast'!K71,'2027 Forecast'!K71,'2028 Forecast'!K71)</f>
        <v>1380</v>
      </c>
      <c r="L71" s="574">
        <f>CHOOSE(MATCH('Lists and Mapping'!$C$10,'Lists and Mapping'!$B$3:$B$5,0),'2026 Forecast'!L71,'2027 Forecast'!L71,'2028 Forecast'!L71)</f>
        <v>0</v>
      </c>
      <c r="M71" s="537">
        <f>CHOOSE(MATCH('Lists and Mapping'!$C$10,'Lists and Mapping'!$B$3:$B$5,0),'2026 Forecast'!M71,'2027 Forecast'!M71,'2028 Forecast'!M71)</f>
        <v>0</v>
      </c>
      <c r="N71" s="537">
        <f>CHOOSE(MATCH('Lists and Mapping'!$C$10,'Lists and Mapping'!$B$3:$B$5,0),'2026 Forecast'!N71,'2027 Forecast'!N71,'2028 Forecast'!N71)</f>
        <v>0</v>
      </c>
      <c r="O71" s="548">
        <f>CHOOSE(MATCH('Lists and Mapping'!$C$10,'Lists and Mapping'!$B$3:$B$5,0),'2026 Forecast'!O71,'2027 Forecast'!O71,'2028 Forecast'!O71)</f>
        <v>0</v>
      </c>
      <c r="P71" s="538">
        <f>CHOOSE(MATCH('Lists and Mapping'!$C$10,'Lists and Mapping'!$B$3:$B$5,0),'2026 Forecast'!P71,'2027 Forecast'!P71,'2028 Forecast'!P71)</f>
        <v>0</v>
      </c>
      <c r="Q71" s="539">
        <f>CHOOSE(MATCH('Lists and Mapping'!$C$10,'Lists and Mapping'!$B$3:$B$5,0),'2026 Forecast'!Q71,'2027 Forecast'!Q71,'2028 Forecast'!Q71)</f>
        <v>0</v>
      </c>
      <c r="R71" s="539">
        <f>CHOOSE(MATCH('Lists and Mapping'!$C$10,'Lists and Mapping'!$B$3:$B$5,0),'2026 Forecast'!R71,'2027 Forecast'!R71,'2028 Forecast'!R71)</f>
        <v>0</v>
      </c>
      <c r="S71" s="539">
        <f>CHOOSE(MATCH('Lists and Mapping'!$C$10,'Lists and Mapping'!$B$3:$B$5,0),'2026 Forecast'!S71,'2027 Forecast'!S71,'2028 Forecast'!S71)</f>
        <v>0</v>
      </c>
      <c r="T71" s="539">
        <f>CHOOSE(MATCH('Lists and Mapping'!$C$10,'Lists and Mapping'!$B$3:$B$5,0),'2026 Forecast'!T71,'2027 Forecast'!T71,'2028 Forecast'!T71)</f>
        <v>0</v>
      </c>
      <c r="U71" s="539">
        <f>CHOOSE(MATCH('Lists and Mapping'!$C$10,'Lists and Mapping'!$B$3:$B$5,0),'2026 Forecast'!U71,'2027 Forecast'!U71,'2028 Forecast'!U71)</f>
        <v>0.54390959999999999</v>
      </c>
      <c r="V71" s="540">
        <f>CHOOSE(MATCH('Lists and Mapping'!$C$10,'Lists and Mapping'!$B$3:$B$5,0),'2026 Forecast'!V71,'2027 Forecast'!V71,'2028 Forecast'!V71)</f>
        <v>0.54390959999999999</v>
      </c>
      <c r="W71" s="542">
        <f>CHOOSE(MATCH('Lists and Mapping'!$C$10,'Lists and Mapping'!$B$3:$B$5,0),'2026 Forecast'!W71,'2027 Forecast'!W71,'2028 Forecast'!W71)</f>
        <v>0</v>
      </c>
      <c r="X71" s="542">
        <f>CHOOSE(MATCH('Lists and Mapping'!$C$10,'Lists and Mapping'!$B$3:$B$5,0),'2026 Forecast'!X71,'2027 Forecast'!X71,'2028 Forecast'!X71)</f>
        <v>0</v>
      </c>
      <c r="Y71" s="542">
        <f>CHOOSE(MATCH('Lists and Mapping'!$C$10,'Lists and Mapping'!$B$3:$B$5,0),'2026 Forecast'!Y71,'2027 Forecast'!Y71,'2028 Forecast'!Y71)</f>
        <v>0</v>
      </c>
      <c r="Z71" s="540">
        <f>CHOOSE(MATCH('Lists and Mapping'!$C$10,'Lists and Mapping'!$B$3:$B$5,0),'2026 Forecast'!Z71,'2027 Forecast'!Z71,'2028 Forecast'!Z71)</f>
        <v>0</v>
      </c>
      <c r="AA71" s="543">
        <f>CHOOSE(MATCH('Lists and Mapping'!$C$10,'Lists and Mapping'!$B$3:$B$5,0),'2026 Forecast'!AA71,'2027 Forecast'!AA71,'2028 Forecast'!AA71)</f>
        <v>0.54390959999999999</v>
      </c>
      <c r="AB71" s="570">
        <f>CHOOSE(MATCH('Lists and Mapping'!$C$10,'Lists and Mapping'!$B$3:$B$5,0),'2026 Forecast'!AB71,'2027 Forecast'!AB71,'2028 Forecast'!AB71)</f>
        <v>0.37467356360226511</v>
      </c>
      <c r="AC71" s="570">
        <f>CHOOSE(MATCH('Lists and Mapping'!$C$10,'Lists and Mapping'!$B$3:$B$5,0),'2026 Forecast'!AC71,'2027 Forecast'!AC71,'2028 Forecast'!AC71)</f>
        <v>0.15892864817140734</v>
      </c>
      <c r="AD71" s="570">
        <f>CHOOSE(MATCH('Lists and Mapping'!$C$10,'Lists and Mapping'!$B$3:$B$5,0),'2026 Forecast'!AD71,'2027 Forecast'!AD71,'2028 Forecast'!AD71)</f>
        <v>1.9481999999999999E-2</v>
      </c>
      <c r="AE71" s="570">
        <f>CHOOSE(MATCH('Lists and Mapping'!$C$10,'Lists and Mapping'!$B$3:$B$5,0),'2026 Forecast'!AE71,'2027 Forecast'!AE71,'2028 Forecast'!AE71)</f>
        <v>3.9705200000000003E-2</v>
      </c>
      <c r="AF71" s="543">
        <f>CHOOSE(MATCH('Lists and Mapping'!$C$10,'Lists and Mapping'!$B$3:$B$5,0),'2026 Forecast'!AF71,'2027 Forecast'!AF71,'2028 Forecast'!AF71)</f>
        <v>2.9205999999999997E-4</v>
      </c>
      <c r="AG71" s="545">
        <f>CHOOSE(MATCH('Lists and Mapping'!$C$10,'Lists and Mapping'!$B$3:$B$5,0),'2026 Forecast'!AG71,'2027 Forecast'!AG71,'2028 Forecast'!AG71)</f>
        <v>1.1369910717736724</v>
      </c>
      <c r="AH71" s="546">
        <f>CHOOSE(MATCH('Lists and Mapping'!$C$10,'Lists and Mapping'!$B$3:$B$5,0),'2026 Forecast'!AH71,'2027 Forecast'!AH71,'2028 Forecast'!AH71)</f>
        <v>15.99734117647059</v>
      </c>
      <c r="AI71" s="546">
        <f>CHOOSE(MATCH('Lists and Mapping'!$C$10,'Lists and Mapping'!$B$3:$B$5,0),'2026 Forecast'!AI71,'2027 Forecast'!AI71,'2028 Forecast'!AI71)</f>
        <v>11.019810694184267</v>
      </c>
      <c r="AJ71" s="546">
        <f>CHOOSE(MATCH('Lists and Mapping'!$C$10,'Lists and Mapping'!$B$3:$B$5,0),'2026 Forecast'!AJ71,'2027 Forecast'!AJ71,'2028 Forecast'!AJ71)</f>
        <v>4.6743720050413922</v>
      </c>
      <c r="AK71" s="547">
        <f>CHOOSE(MATCH('Lists and Mapping'!$C$10,'Lists and Mapping'!$B$3:$B$5,0),'2026 Forecast'!AK71,'2027 Forecast'!AK71,'2028 Forecast'!AK71)</f>
        <v>33.440913875696246</v>
      </c>
      <c r="AL71" s="546">
        <f>CHOOSE(MATCH('Lists and Mapping'!$C$10,'Lists and Mapping'!$B$3:$B$5,0),'2026 Forecast'!AL71,'2027 Forecast'!AL71,'2028 Forecast'!AL71)</f>
        <v>1.1678000000000002</v>
      </c>
      <c r="AM71" s="546">
        <f>CHOOSE(MATCH('Lists and Mapping'!$C$10,'Lists and Mapping'!$B$3:$B$5,0),'2026 Forecast'!AM71,'2027 Forecast'!AM71,'2028 Forecast'!AM71)</f>
        <v>8.5899999999999987E-3</v>
      </c>
      <c r="AN71" s="547">
        <f>CHOOSE(MATCH('Lists and Mapping'!$C$10,'Lists and Mapping'!$B$3:$B$5,0),'2026 Forecast'!AN71,'2027 Forecast'!AN71,'2028 Forecast'!AN71)</f>
        <v>33.440913875696246</v>
      </c>
      <c r="AO71" s="446"/>
      <c r="AP71" s="446"/>
      <c r="AQ71" s="446"/>
      <c r="AR71" s="446"/>
      <c r="AS71" s="446"/>
      <c r="AT71" s="72"/>
      <c r="AU71" s="72"/>
      <c r="AV71" s="72"/>
      <c r="AW71" s="72"/>
      <c r="AX71" s="72"/>
      <c r="AY71" s="72"/>
      <c r="AZ71" s="72"/>
      <c r="BA71" s="72"/>
      <c r="BB71" s="72"/>
    </row>
    <row r="72" spans="1:55">
      <c r="B72" s="529" t="str">
        <f t="shared" si="0"/>
        <v>PLGUM 023</v>
      </c>
      <c r="C72" s="420"/>
      <c r="D72" s="590" t="s">
        <v>115</v>
      </c>
      <c r="E72" s="531">
        <f>CHOOSE(MATCH('Lists and Mapping'!$C$10,'Lists and Mapping'!$B$3:$B$5,0),'2026 Forecast'!E72,'2027 Forecast'!E72,'2028 Forecast'!E72)</f>
        <v>0</v>
      </c>
      <c r="F72" s="532">
        <f>CHOOSE(MATCH('Lists and Mapping'!$C$10,'Lists and Mapping'!$B$3:$B$5,0),'2026 Forecast'!F72,'2027 Forecast'!F72,'2028 Forecast'!F72)</f>
        <v>3.5</v>
      </c>
      <c r="G72" s="533">
        <f>CHOOSE(MATCH('Lists and Mapping'!$C$10,'Lists and Mapping'!$B$3:$B$5,0),'2026 Forecast'!G72,'2027 Forecast'!G72,'2028 Forecast'!G72)</f>
        <v>0</v>
      </c>
      <c r="H72" s="533">
        <f>CHOOSE(MATCH('Lists and Mapping'!$C$10,'Lists and Mapping'!$B$3:$B$5,0),'2026 Forecast'!H72,'2027 Forecast'!H72,'2028 Forecast'!H72)</f>
        <v>0</v>
      </c>
      <c r="I72" s="533">
        <f>CHOOSE(MATCH('Lists and Mapping'!$C$10,'Lists and Mapping'!$B$3:$B$5,0),'2026 Forecast'!I72,'2027 Forecast'!I72,'2028 Forecast'!I72)</f>
        <v>0</v>
      </c>
      <c r="J72" s="535">
        <f>CHOOSE(MATCH('Lists and Mapping'!$C$10,'Lists and Mapping'!$B$3:$B$5,0),'2026 Forecast'!J72,'2027 Forecast'!J72,'2028 Forecast'!J72)</f>
        <v>0</v>
      </c>
      <c r="K72" s="574">
        <f>CHOOSE(MATCH('Lists and Mapping'!$C$10,'Lists and Mapping'!$B$3:$B$5,0),'2026 Forecast'!K72,'2027 Forecast'!K72,'2028 Forecast'!K72)</f>
        <v>523</v>
      </c>
      <c r="L72" s="574">
        <f>CHOOSE(MATCH('Lists and Mapping'!$C$10,'Lists and Mapping'!$B$3:$B$5,0),'2026 Forecast'!L72,'2027 Forecast'!L72,'2028 Forecast'!L72)</f>
        <v>0</v>
      </c>
      <c r="M72" s="537">
        <f>CHOOSE(MATCH('Lists and Mapping'!$C$10,'Lists and Mapping'!$B$3:$B$5,0),'2026 Forecast'!M72,'2027 Forecast'!M72,'2028 Forecast'!M72)</f>
        <v>0</v>
      </c>
      <c r="N72" s="537">
        <f>CHOOSE(MATCH('Lists and Mapping'!$C$10,'Lists and Mapping'!$B$3:$B$5,0),'2026 Forecast'!N72,'2027 Forecast'!N72,'2028 Forecast'!N72)</f>
        <v>0</v>
      </c>
      <c r="O72" s="548">
        <f>CHOOSE(MATCH('Lists and Mapping'!$C$10,'Lists and Mapping'!$B$3:$B$5,0),'2026 Forecast'!O72,'2027 Forecast'!O72,'2028 Forecast'!O72)</f>
        <v>0</v>
      </c>
      <c r="P72" s="538">
        <f>CHOOSE(MATCH('Lists and Mapping'!$C$10,'Lists and Mapping'!$B$3:$B$5,0),'2026 Forecast'!P72,'2027 Forecast'!P72,'2028 Forecast'!P72)</f>
        <v>0</v>
      </c>
      <c r="Q72" s="539">
        <f>CHOOSE(MATCH('Lists and Mapping'!$C$10,'Lists and Mapping'!$B$3:$B$5,0),'2026 Forecast'!Q72,'2027 Forecast'!Q72,'2028 Forecast'!Q72)</f>
        <v>0</v>
      </c>
      <c r="R72" s="539">
        <f>CHOOSE(MATCH('Lists and Mapping'!$C$10,'Lists and Mapping'!$B$3:$B$5,0),'2026 Forecast'!R72,'2027 Forecast'!R72,'2028 Forecast'!R72)</f>
        <v>0</v>
      </c>
      <c r="S72" s="539">
        <f>CHOOSE(MATCH('Lists and Mapping'!$C$10,'Lists and Mapping'!$B$3:$B$5,0),'2026 Forecast'!S72,'2027 Forecast'!S72,'2028 Forecast'!S72)</f>
        <v>0</v>
      </c>
      <c r="T72" s="539">
        <f>CHOOSE(MATCH('Lists and Mapping'!$C$10,'Lists and Mapping'!$B$3:$B$5,0),'2026 Forecast'!T72,'2027 Forecast'!T72,'2028 Forecast'!T72)</f>
        <v>0</v>
      </c>
      <c r="U72" s="539">
        <f>CHOOSE(MATCH('Lists and Mapping'!$C$10,'Lists and Mapping'!$B$3:$B$5,0),'2026 Forecast'!U72,'2027 Forecast'!U72,'2028 Forecast'!U72)</f>
        <v>0.74772828000000002</v>
      </c>
      <c r="V72" s="540">
        <f>CHOOSE(MATCH('Lists and Mapping'!$C$10,'Lists and Mapping'!$B$3:$B$5,0),'2026 Forecast'!V72,'2027 Forecast'!V72,'2028 Forecast'!V72)</f>
        <v>0.74772828000000002</v>
      </c>
      <c r="W72" s="542">
        <f>CHOOSE(MATCH('Lists and Mapping'!$C$10,'Lists and Mapping'!$B$3:$B$5,0),'2026 Forecast'!W72,'2027 Forecast'!W72,'2028 Forecast'!W72)</f>
        <v>0</v>
      </c>
      <c r="X72" s="542">
        <f>CHOOSE(MATCH('Lists and Mapping'!$C$10,'Lists and Mapping'!$B$3:$B$5,0),'2026 Forecast'!X72,'2027 Forecast'!X72,'2028 Forecast'!X72)</f>
        <v>0</v>
      </c>
      <c r="Y72" s="542">
        <f>CHOOSE(MATCH('Lists and Mapping'!$C$10,'Lists and Mapping'!$B$3:$B$5,0),'2026 Forecast'!Y72,'2027 Forecast'!Y72,'2028 Forecast'!Y72)</f>
        <v>0</v>
      </c>
      <c r="Z72" s="540">
        <f>CHOOSE(MATCH('Lists and Mapping'!$C$10,'Lists and Mapping'!$B$3:$B$5,0),'2026 Forecast'!Z72,'2027 Forecast'!Z72,'2028 Forecast'!Z72)</f>
        <v>0</v>
      </c>
      <c r="AA72" s="543">
        <f>CHOOSE(MATCH('Lists and Mapping'!$C$10,'Lists and Mapping'!$B$3:$B$5,0),'2026 Forecast'!AA72,'2027 Forecast'!AA72,'2028 Forecast'!AA72)</f>
        <v>0.74772828000000002</v>
      </c>
      <c r="AB72" s="570">
        <f>CHOOSE(MATCH('Lists and Mapping'!$C$10,'Lists and Mapping'!$B$3:$B$5,0),'2026 Forecast'!AB72,'2027 Forecast'!AB72,'2028 Forecast'!AB72)</f>
        <v>0.3856933742964494</v>
      </c>
      <c r="AC72" s="570">
        <f>CHOOSE(MATCH('Lists and Mapping'!$C$10,'Lists and Mapping'!$B$3:$B$5,0),'2026 Forecast'!AC72,'2027 Forecast'!AC72,'2028 Forecast'!AC72)</f>
        <v>0.16360302017644873</v>
      </c>
      <c r="AD72" s="570">
        <f>CHOOSE(MATCH('Lists and Mapping'!$C$10,'Lists and Mapping'!$B$3:$B$5,0),'2026 Forecast'!AD72,'2027 Forecast'!AD72,'2028 Forecast'!AD72)</f>
        <v>2.0055E-2</v>
      </c>
      <c r="AE72" s="570">
        <f>CHOOSE(MATCH('Lists and Mapping'!$C$10,'Lists and Mapping'!$B$3:$B$5,0),'2026 Forecast'!AE72,'2027 Forecast'!AE72,'2028 Forecast'!AE72)</f>
        <v>4.0873000000000007E-2</v>
      </c>
      <c r="AF72" s="543">
        <f>CHOOSE(MATCH('Lists and Mapping'!$C$10,'Lists and Mapping'!$B$3:$B$5,0),'2026 Forecast'!AF72,'2027 Forecast'!AF72,'2028 Forecast'!AF72)</f>
        <v>3.0064999999999996E-4</v>
      </c>
      <c r="AG72" s="545">
        <f>CHOOSE(MATCH('Lists and Mapping'!$C$10,'Lists and Mapping'!$B$3:$B$5,0),'2026 Forecast'!AG72,'2027 Forecast'!AG72,'2028 Forecast'!AG72)</f>
        <v>1.358253324472898</v>
      </c>
      <c r="AH72" s="546">
        <f>CHOOSE(MATCH('Lists and Mapping'!$C$10,'Lists and Mapping'!$B$3:$B$5,0),'2026 Forecast'!AH72,'2027 Forecast'!AH72,'2028 Forecast'!AH72)</f>
        <v>21.363665142857144</v>
      </c>
      <c r="AI72" s="546">
        <f>CHOOSE(MATCH('Lists and Mapping'!$C$10,'Lists and Mapping'!$B$3:$B$5,0),'2026 Forecast'!AI72,'2027 Forecast'!AI72,'2028 Forecast'!AI72)</f>
        <v>11.019810694184269</v>
      </c>
      <c r="AJ72" s="546">
        <f>CHOOSE(MATCH('Lists and Mapping'!$C$10,'Lists and Mapping'!$B$3:$B$5,0),'2026 Forecast'!AJ72,'2027 Forecast'!AJ72,'2028 Forecast'!AJ72)</f>
        <v>4.6743720050413922</v>
      </c>
      <c r="AK72" s="547">
        <f>CHOOSE(MATCH('Lists and Mapping'!$C$10,'Lists and Mapping'!$B$3:$B$5,0),'2026 Forecast'!AK72,'2027 Forecast'!AK72,'2028 Forecast'!AK72)</f>
        <v>38.807237842082806</v>
      </c>
      <c r="AL72" s="546">
        <f>CHOOSE(MATCH('Lists and Mapping'!$C$10,'Lists and Mapping'!$B$3:$B$5,0),'2026 Forecast'!AL72,'2027 Forecast'!AL72,'2028 Forecast'!AL72)</f>
        <v>1.1678000000000002</v>
      </c>
      <c r="AM72" s="546">
        <f>CHOOSE(MATCH('Lists and Mapping'!$C$10,'Lists and Mapping'!$B$3:$B$5,0),'2026 Forecast'!AM72,'2027 Forecast'!AM72,'2028 Forecast'!AM72)</f>
        <v>8.5899999999999987E-3</v>
      </c>
      <c r="AN72" s="547">
        <f>CHOOSE(MATCH('Lists and Mapping'!$C$10,'Lists and Mapping'!$B$3:$B$5,0),'2026 Forecast'!AN72,'2027 Forecast'!AN72,'2028 Forecast'!AN72)</f>
        <v>38.807237842082806</v>
      </c>
      <c r="AO72" s="446"/>
      <c r="AP72" s="446"/>
      <c r="AQ72" s="446"/>
      <c r="AR72" s="446"/>
      <c r="AS72" s="446"/>
      <c r="AT72" s="72"/>
      <c r="AU72" s="72"/>
      <c r="AV72" s="72"/>
      <c r="AW72" s="72"/>
      <c r="AX72" s="72"/>
      <c r="AY72" s="72"/>
      <c r="AZ72" s="72"/>
      <c r="BA72" s="72"/>
      <c r="BB72" s="72"/>
    </row>
    <row r="73" spans="1:55">
      <c r="B73" s="529" t="str">
        <f t="shared" si="0"/>
        <v>PLGUM 024</v>
      </c>
      <c r="C73" s="420"/>
      <c r="D73" s="590" t="s">
        <v>117</v>
      </c>
      <c r="E73" s="531">
        <f>CHOOSE(MATCH('Lists and Mapping'!$C$10,'Lists and Mapping'!$B$3:$B$5,0),'2026 Forecast'!E73,'2027 Forecast'!E73,'2028 Forecast'!E73)</f>
        <v>0</v>
      </c>
      <c r="F73" s="532">
        <f>CHOOSE(MATCH('Lists and Mapping'!$C$10,'Lists and Mapping'!$B$3:$B$5,0),'2026 Forecast'!F73,'2027 Forecast'!F73,'2028 Forecast'!F73)</f>
        <v>0</v>
      </c>
      <c r="G73" s="533">
        <f>CHOOSE(MATCH('Lists and Mapping'!$C$10,'Lists and Mapping'!$B$3:$B$5,0),'2026 Forecast'!G73,'2027 Forecast'!G73,'2028 Forecast'!G73)</f>
        <v>0</v>
      </c>
      <c r="H73" s="533">
        <f>CHOOSE(MATCH('Lists and Mapping'!$C$10,'Lists and Mapping'!$B$3:$B$5,0),'2026 Forecast'!H73,'2027 Forecast'!H73,'2028 Forecast'!H73)</f>
        <v>0</v>
      </c>
      <c r="I73" s="533">
        <f>CHOOSE(MATCH('Lists and Mapping'!$C$10,'Lists and Mapping'!$B$3:$B$5,0),'2026 Forecast'!I73,'2027 Forecast'!I73,'2028 Forecast'!I73)</f>
        <v>0</v>
      </c>
      <c r="J73" s="535">
        <f>CHOOSE(MATCH('Lists and Mapping'!$C$10,'Lists and Mapping'!$B$3:$B$5,0),'2026 Forecast'!J73,'2027 Forecast'!J73,'2028 Forecast'!J73)</f>
        <v>0</v>
      </c>
      <c r="K73" s="574">
        <f>CHOOSE(MATCH('Lists and Mapping'!$C$10,'Lists and Mapping'!$B$3:$B$5,0),'2026 Forecast'!K73,'2027 Forecast'!K73,'2028 Forecast'!K73)</f>
        <v>4</v>
      </c>
      <c r="L73" s="574">
        <f>CHOOSE(MATCH('Lists and Mapping'!$C$10,'Lists and Mapping'!$B$3:$B$5,0),'2026 Forecast'!L73,'2027 Forecast'!L73,'2028 Forecast'!L73)</f>
        <v>0</v>
      </c>
      <c r="M73" s="537">
        <f>CHOOSE(MATCH('Lists and Mapping'!$C$10,'Lists and Mapping'!$B$3:$B$5,0),'2026 Forecast'!M73,'2027 Forecast'!M73,'2028 Forecast'!M73)</f>
        <v>0</v>
      </c>
      <c r="N73" s="537">
        <f>CHOOSE(MATCH('Lists and Mapping'!$C$10,'Lists and Mapping'!$B$3:$B$5,0),'2026 Forecast'!N73,'2027 Forecast'!N73,'2028 Forecast'!N73)</f>
        <v>0</v>
      </c>
      <c r="O73" s="548">
        <f>CHOOSE(MATCH('Lists and Mapping'!$C$10,'Lists and Mapping'!$B$3:$B$5,0),'2026 Forecast'!O73,'2027 Forecast'!O73,'2028 Forecast'!O73)</f>
        <v>0</v>
      </c>
      <c r="P73" s="538">
        <f>CHOOSE(MATCH('Lists and Mapping'!$C$10,'Lists and Mapping'!$B$3:$B$5,0),'2026 Forecast'!P73,'2027 Forecast'!P73,'2028 Forecast'!P73)</f>
        <v>0</v>
      </c>
      <c r="Q73" s="539">
        <f>CHOOSE(MATCH('Lists and Mapping'!$C$10,'Lists and Mapping'!$B$3:$B$5,0),'2026 Forecast'!Q73,'2027 Forecast'!Q73,'2028 Forecast'!Q73)</f>
        <v>0</v>
      </c>
      <c r="R73" s="539">
        <f>CHOOSE(MATCH('Lists and Mapping'!$C$10,'Lists and Mapping'!$B$3:$B$5,0),'2026 Forecast'!R73,'2027 Forecast'!R73,'2028 Forecast'!R73)</f>
        <v>0</v>
      </c>
      <c r="S73" s="539">
        <f>CHOOSE(MATCH('Lists and Mapping'!$C$10,'Lists and Mapping'!$B$3:$B$5,0),'2026 Forecast'!S73,'2027 Forecast'!S73,'2028 Forecast'!S73)</f>
        <v>0</v>
      </c>
      <c r="T73" s="539">
        <f>CHOOSE(MATCH('Lists and Mapping'!$C$10,'Lists and Mapping'!$B$3:$B$5,0),'2026 Forecast'!T73,'2027 Forecast'!T73,'2028 Forecast'!T73)</f>
        <v>0</v>
      </c>
      <c r="U73" s="539">
        <f>CHOOSE(MATCH('Lists and Mapping'!$C$10,'Lists and Mapping'!$B$3:$B$5,0),'2026 Forecast'!U73,'2027 Forecast'!U73,'2028 Forecast'!U73)</f>
        <v>1.20144E-3</v>
      </c>
      <c r="V73" s="540">
        <f>CHOOSE(MATCH('Lists and Mapping'!$C$10,'Lists and Mapping'!$B$3:$B$5,0),'2026 Forecast'!V73,'2027 Forecast'!V73,'2028 Forecast'!V73)</f>
        <v>1.20144E-3</v>
      </c>
      <c r="W73" s="542">
        <f>CHOOSE(MATCH('Lists and Mapping'!$C$10,'Lists and Mapping'!$B$3:$B$5,0),'2026 Forecast'!W73,'2027 Forecast'!W73,'2028 Forecast'!W73)</f>
        <v>0</v>
      </c>
      <c r="X73" s="542">
        <f>CHOOSE(MATCH('Lists and Mapping'!$C$10,'Lists and Mapping'!$B$3:$B$5,0),'2026 Forecast'!X73,'2027 Forecast'!X73,'2028 Forecast'!X73)</f>
        <v>0</v>
      </c>
      <c r="Y73" s="542">
        <f>CHOOSE(MATCH('Lists and Mapping'!$C$10,'Lists and Mapping'!$B$3:$B$5,0),'2026 Forecast'!Y73,'2027 Forecast'!Y73,'2028 Forecast'!Y73)</f>
        <v>0</v>
      </c>
      <c r="Z73" s="540">
        <f>CHOOSE(MATCH('Lists and Mapping'!$C$10,'Lists and Mapping'!$B$3:$B$5,0),'2026 Forecast'!Z73,'2027 Forecast'!Z73,'2028 Forecast'!Z73)</f>
        <v>0</v>
      </c>
      <c r="AA73" s="543">
        <f>CHOOSE(MATCH('Lists and Mapping'!$C$10,'Lists and Mapping'!$B$3:$B$5,0),'2026 Forecast'!AA73,'2027 Forecast'!AA73,'2028 Forecast'!AA73)</f>
        <v>1.20144E-3</v>
      </c>
      <c r="AB73" s="570">
        <f>CHOOSE(MATCH('Lists and Mapping'!$C$10,'Lists and Mapping'!$B$3:$B$5,0),'2026 Forecast'!AB73,'2027 Forecast'!AB73,'2028 Forecast'!AB73)</f>
        <v>0</v>
      </c>
      <c r="AC73" s="570">
        <f>CHOOSE(MATCH('Lists and Mapping'!$C$10,'Lists and Mapping'!$B$3:$B$5,0),'2026 Forecast'!AC73,'2027 Forecast'!AC73,'2028 Forecast'!AC73)</f>
        <v>0</v>
      </c>
      <c r="AD73" s="570">
        <f>CHOOSE(MATCH('Lists and Mapping'!$C$10,'Lists and Mapping'!$B$3:$B$5,0),'2026 Forecast'!AD73,'2027 Forecast'!AD73,'2028 Forecast'!AD73)</f>
        <v>0</v>
      </c>
      <c r="AE73" s="570">
        <f>CHOOSE(MATCH('Lists and Mapping'!$C$10,'Lists and Mapping'!$B$3:$B$5,0),'2026 Forecast'!AE73,'2027 Forecast'!AE73,'2028 Forecast'!AE73)</f>
        <v>0</v>
      </c>
      <c r="AF73" s="543">
        <f>CHOOSE(MATCH('Lists and Mapping'!$C$10,'Lists and Mapping'!$B$3:$B$5,0),'2026 Forecast'!AF73,'2027 Forecast'!AF73,'2028 Forecast'!AF73)</f>
        <v>0</v>
      </c>
      <c r="AG73" s="545">
        <f>CHOOSE(MATCH('Lists and Mapping'!$C$10,'Lists and Mapping'!$B$3:$B$5,0),'2026 Forecast'!AG73,'2027 Forecast'!AG73,'2028 Forecast'!AG73)</f>
        <v>1.20144E-3</v>
      </c>
      <c r="AH73" s="546" t="e">
        <f>CHOOSE(MATCH('Lists and Mapping'!$C$10,'Lists and Mapping'!$B$3:$B$5,0),'2026 Forecast'!AH73,'2027 Forecast'!AH73,'2028 Forecast'!AH73)</f>
        <v>#DIV/0!</v>
      </c>
      <c r="AI73" s="546" t="e">
        <f>CHOOSE(MATCH('Lists and Mapping'!$C$10,'Lists and Mapping'!$B$3:$B$5,0),'2026 Forecast'!AI73,'2027 Forecast'!AI73,'2028 Forecast'!AI73)</f>
        <v>#DIV/0!</v>
      </c>
      <c r="AJ73" s="546" t="e">
        <f>CHOOSE(MATCH('Lists and Mapping'!$C$10,'Lists and Mapping'!$B$3:$B$5,0),'2026 Forecast'!AJ73,'2027 Forecast'!AJ73,'2028 Forecast'!AJ73)</f>
        <v>#DIV/0!</v>
      </c>
      <c r="AK73" s="547" t="e">
        <f>CHOOSE(MATCH('Lists and Mapping'!$C$10,'Lists and Mapping'!$B$3:$B$5,0),'2026 Forecast'!AK73,'2027 Forecast'!AK73,'2028 Forecast'!AK73)</f>
        <v>#DIV/0!</v>
      </c>
      <c r="AL73" s="546" t="e">
        <f>CHOOSE(MATCH('Lists and Mapping'!$C$10,'Lists and Mapping'!$B$3:$B$5,0),'2026 Forecast'!AL73,'2027 Forecast'!AL73,'2028 Forecast'!AL73)</f>
        <v>#DIV/0!</v>
      </c>
      <c r="AM73" s="546" t="e">
        <f>CHOOSE(MATCH('Lists and Mapping'!$C$10,'Lists and Mapping'!$B$3:$B$5,0),'2026 Forecast'!AM73,'2027 Forecast'!AM73,'2028 Forecast'!AM73)</f>
        <v>#DIV/0!</v>
      </c>
      <c r="AN73" s="547" t="e">
        <f>CHOOSE(MATCH('Lists and Mapping'!$C$10,'Lists and Mapping'!$B$3:$B$5,0),'2026 Forecast'!AN73,'2027 Forecast'!AN73,'2028 Forecast'!AN73)</f>
        <v>#DIV/0!</v>
      </c>
      <c r="AO73" s="446"/>
      <c r="AP73" s="446"/>
      <c r="AQ73" s="446"/>
      <c r="AR73" s="446"/>
      <c r="AS73" s="446"/>
      <c r="AT73" s="72"/>
      <c r="AU73" s="72"/>
      <c r="AV73" s="72"/>
      <c r="AW73" s="72"/>
      <c r="AX73" s="72"/>
      <c r="AY73" s="72"/>
      <c r="AZ73" s="72"/>
      <c r="BA73" s="72"/>
      <c r="BB73" s="72"/>
    </row>
    <row r="74" spans="1:55">
      <c r="B74" s="529" t="str">
        <f t="shared" si="0"/>
        <v>PLGUM 025</v>
      </c>
      <c r="C74" s="420"/>
      <c r="D74" s="590" t="s">
        <v>121</v>
      </c>
      <c r="E74" s="531">
        <f>CHOOSE(MATCH('Lists and Mapping'!$C$10,'Lists and Mapping'!$B$3:$B$5,0),'2026 Forecast'!E74,'2027 Forecast'!E74,'2028 Forecast'!E74)</f>
        <v>0</v>
      </c>
      <c r="F74" s="532">
        <f>CHOOSE(MATCH('Lists and Mapping'!$C$10,'Lists and Mapping'!$B$3:$B$5,0),'2026 Forecast'!F74,'2027 Forecast'!F74,'2028 Forecast'!F74)</f>
        <v>4.2</v>
      </c>
      <c r="G74" s="533">
        <f>CHOOSE(MATCH('Lists and Mapping'!$C$10,'Lists and Mapping'!$B$3:$B$5,0),'2026 Forecast'!G74,'2027 Forecast'!G74,'2028 Forecast'!G74)</f>
        <v>0</v>
      </c>
      <c r="H74" s="533">
        <f>CHOOSE(MATCH('Lists and Mapping'!$C$10,'Lists and Mapping'!$B$3:$B$5,0),'2026 Forecast'!H74,'2027 Forecast'!H74,'2028 Forecast'!H74)</f>
        <v>0</v>
      </c>
      <c r="I74" s="533">
        <f>CHOOSE(MATCH('Lists and Mapping'!$C$10,'Lists and Mapping'!$B$3:$B$5,0),'2026 Forecast'!I74,'2027 Forecast'!I74,'2028 Forecast'!I74)</f>
        <v>0</v>
      </c>
      <c r="J74" s="535">
        <f>CHOOSE(MATCH('Lists and Mapping'!$C$10,'Lists and Mapping'!$B$3:$B$5,0),'2026 Forecast'!J74,'2027 Forecast'!J74,'2028 Forecast'!J74)</f>
        <v>0</v>
      </c>
      <c r="K74" s="574">
        <f>CHOOSE(MATCH('Lists and Mapping'!$C$10,'Lists and Mapping'!$B$3:$B$5,0),'2026 Forecast'!K74,'2027 Forecast'!K74,'2028 Forecast'!K74)</f>
        <v>2860</v>
      </c>
      <c r="L74" s="574">
        <f>CHOOSE(MATCH('Lists and Mapping'!$C$10,'Lists and Mapping'!$B$3:$B$5,0),'2026 Forecast'!L74,'2027 Forecast'!L74,'2028 Forecast'!L74)</f>
        <v>0</v>
      </c>
      <c r="M74" s="537">
        <f>CHOOSE(MATCH('Lists and Mapping'!$C$10,'Lists and Mapping'!$B$3:$B$5,0),'2026 Forecast'!M74,'2027 Forecast'!M74,'2028 Forecast'!M74)</f>
        <v>0</v>
      </c>
      <c r="N74" s="537">
        <f>CHOOSE(MATCH('Lists and Mapping'!$C$10,'Lists and Mapping'!$B$3:$B$5,0),'2026 Forecast'!N74,'2027 Forecast'!N74,'2028 Forecast'!N74)</f>
        <v>0</v>
      </c>
      <c r="O74" s="548">
        <f>CHOOSE(MATCH('Lists and Mapping'!$C$10,'Lists and Mapping'!$B$3:$B$5,0),'2026 Forecast'!O74,'2027 Forecast'!O74,'2028 Forecast'!O74)</f>
        <v>0</v>
      </c>
      <c r="P74" s="538">
        <f>CHOOSE(MATCH('Lists and Mapping'!$C$10,'Lists and Mapping'!$B$3:$B$5,0),'2026 Forecast'!P74,'2027 Forecast'!P74,'2028 Forecast'!P74)</f>
        <v>0</v>
      </c>
      <c r="Q74" s="539">
        <f>CHOOSE(MATCH('Lists and Mapping'!$C$10,'Lists and Mapping'!$B$3:$B$5,0),'2026 Forecast'!Q74,'2027 Forecast'!Q74,'2028 Forecast'!Q74)</f>
        <v>0</v>
      </c>
      <c r="R74" s="539">
        <f>CHOOSE(MATCH('Lists and Mapping'!$C$10,'Lists and Mapping'!$B$3:$B$5,0),'2026 Forecast'!R74,'2027 Forecast'!R74,'2028 Forecast'!R74)</f>
        <v>0</v>
      </c>
      <c r="S74" s="539">
        <f>CHOOSE(MATCH('Lists and Mapping'!$C$10,'Lists and Mapping'!$B$3:$B$5,0),'2026 Forecast'!S74,'2027 Forecast'!S74,'2028 Forecast'!S74)</f>
        <v>0</v>
      </c>
      <c r="T74" s="539">
        <f>CHOOSE(MATCH('Lists and Mapping'!$C$10,'Lists and Mapping'!$B$3:$B$5,0),'2026 Forecast'!T74,'2027 Forecast'!T74,'2028 Forecast'!T74)</f>
        <v>0</v>
      </c>
      <c r="U74" s="539">
        <f>CHOOSE(MATCH('Lists and Mapping'!$C$10,'Lists and Mapping'!$B$3:$B$5,0),'2026 Forecast'!U74,'2027 Forecast'!U74,'2028 Forecast'!U74)</f>
        <v>0.49931039999999999</v>
      </c>
      <c r="V74" s="540">
        <f>CHOOSE(MATCH('Lists and Mapping'!$C$10,'Lists and Mapping'!$B$3:$B$5,0),'2026 Forecast'!V74,'2027 Forecast'!V74,'2028 Forecast'!V74)</f>
        <v>0.49931039999999999</v>
      </c>
      <c r="W74" s="542">
        <f>CHOOSE(MATCH('Lists and Mapping'!$C$10,'Lists and Mapping'!$B$3:$B$5,0),'2026 Forecast'!W74,'2027 Forecast'!W74,'2028 Forecast'!W74)</f>
        <v>0</v>
      </c>
      <c r="X74" s="542">
        <f>CHOOSE(MATCH('Lists and Mapping'!$C$10,'Lists and Mapping'!$B$3:$B$5,0),'2026 Forecast'!X74,'2027 Forecast'!X74,'2028 Forecast'!X74)</f>
        <v>0</v>
      </c>
      <c r="Y74" s="542">
        <f>CHOOSE(MATCH('Lists and Mapping'!$C$10,'Lists and Mapping'!$B$3:$B$5,0),'2026 Forecast'!Y74,'2027 Forecast'!Y74,'2028 Forecast'!Y74)</f>
        <v>0</v>
      </c>
      <c r="Z74" s="540">
        <f>CHOOSE(MATCH('Lists and Mapping'!$C$10,'Lists and Mapping'!$B$3:$B$5,0),'2026 Forecast'!Z74,'2027 Forecast'!Z74,'2028 Forecast'!Z74)</f>
        <v>0</v>
      </c>
      <c r="AA74" s="543">
        <f>CHOOSE(MATCH('Lists and Mapping'!$C$10,'Lists and Mapping'!$B$3:$B$5,0),'2026 Forecast'!AA74,'2027 Forecast'!AA74,'2028 Forecast'!AA74)</f>
        <v>0.49931039999999999</v>
      </c>
      <c r="AB74" s="570">
        <f>CHOOSE(MATCH('Lists and Mapping'!$C$10,'Lists and Mapping'!$B$3:$B$5,0),'2026 Forecast'!AB74,'2027 Forecast'!AB74,'2028 Forecast'!AB74)</f>
        <v>0.46283204915573933</v>
      </c>
      <c r="AC74" s="570">
        <f>CHOOSE(MATCH('Lists and Mapping'!$C$10,'Lists and Mapping'!$B$3:$B$5,0),'2026 Forecast'!AC74,'2027 Forecast'!AC74,'2028 Forecast'!AC74)</f>
        <v>0.19632362421173849</v>
      </c>
      <c r="AD74" s="570">
        <f>CHOOSE(MATCH('Lists and Mapping'!$C$10,'Lists and Mapping'!$B$3:$B$5,0),'2026 Forecast'!AD74,'2027 Forecast'!AD74,'2028 Forecast'!AD74)</f>
        <v>2.4066000000000001E-2</v>
      </c>
      <c r="AE74" s="570">
        <f>CHOOSE(MATCH('Lists and Mapping'!$C$10,'Lists and Mapping'!$B$3:$B$5,0),'2026 Forecast'!AE74,'2027 Forecast'!AE74,'2028 Forecast'!AE74)</f>
        <v>4.9047600000000004E-2</v>
      </c>
      <c r="AF74" s="543">
        <f>CHOOSE(MATCH('Lists and Mapping'!$C$10,'Lists and Mapping'!$B$3:$B$5,0),'2026 Forecast'!AF74,'2027 Forecast'!AF74,'2028 Forecast'!AF74)</f>
        <v>3.6077999999999994E-4</v>
      </c>
      <c r="AG74" s="545">
        <f>CHOOSE(MATCH('Lists and Mapping'!$C$10,'Lists and Mapping'!$B$3:$B$5,0),'2026 Forecast'!AG74,'2027 Forecast'!AG74,'2028 Forecast'!AG74)</f>
        <v>1.2319404533674778</v>
      </c>
      <c r="AH74" s="546">
        <f>CHOOSE(MATCH('Lists and Mapping'!$C$10,'Lists and Mapping'!$B$3:$B$5,0),'2026 Forecast'!AH74,'2027 Forecast'!AH74,'2028 Forecast'!AH74)</f>
        <v>11.888342857142856</v>
      </c>
      <c r="AI74" s="546">
        <f>CHOOSE(MATCH('Lists and Mapping'!$C$10,'Lists and Mapping'!$B$3:$B$5,0),'2026 Forecast'!AI74,'2027 Forecast'!AI74,'2028 Forecast'!AI74)</f>
        <v>11.019810694184269</v>
      </c>
      <c r="AJ74" s="546">
        <f>CHOOSE(MATCH('Lists and Mapping'!$C$10,'Lists and Mapping'!$B$3:$B$5,0),'2026 Forecast'!AJ74,'2027 Forecast'!AJ74,'2028 Forecast'!AJ74)</f>
        <v>4.6743720050413922</v>
      </c>
      <c r="AK74" s="547">
        <f>CHOOSE(MATCH('Lists and Mapping'!$C$10,'Lists and Mapping'!$B$3:$B$5,0),'2026 Forecast'!AK74,'2027 Forecast'!AK74,'2028 Forecast'!AK74)</f>
        <v>29.331915556368521</v>
      </c>
      <c r="AL74" s="546">
        <f>CHOOSE(MATCH('Lists and Mapping'!$C$10,'Lists and Mapping'!$B$3:$B$5,0),'2026 Forecast'!AL74,'2027 Forecast'!AL74,'2028 Forecast'!AL74)</f>
        <v>1.1678000000000002</v>
      </c>
      <c r="AM74" s="546">
        <f>CHOOSE(MATCH('Lists and Mapping'!$C$10,'Lists and Mapping'!$B$3:$B$5,0),'2026 Forecast'!AM74,'2027 Forecast'!AM74,'2028 Forecast'!AM74)</f>
        <v>8.5899999999999987E-3</v>
      </c>
      <c r="AN74" s="547">
        <f>CHOOSE(MATCH('Lists and Mapping'!$C$10,'Lists and Mapping'!$B$3:$B$5,0),'2026 Forecast'!AN74,'2027 Forecast'!AN74,'2028 Forecast'!AN74)</f>
        <v>29.331915556368521</v>
      </c>
      <c r="AO74" s="446"/>
      <c r="AP74" s="446"/>
      <c r="AQ74" s="446"/>
      <c r="AR74" s="446"/>
      <c r="AS74" s="446"/>
      <c r="AT74" s="72"/>
      <c r="AU74" s="72"/>
      <c r="AV74" s="72"/>
      <c r="AW74" s="72"/>
      <c r="AX74" s="72"/>
      <c r="AY74" s="72"/>
      <c r="AZ74" s="72"/>
      <c r="BA74" s="72"/>
      <c r="BB74" s="72"/>
    </row>
    <row r="75" spans="1:55">
      <c r="B75" s="529" t="str">
        <f t="shared" si="0"/>
        <v>PLGUM 026</v>
      </c>
      <c r="C75" s="420"/>
      <c r="D75" s="590" t="s">
        <v>122</v>
      </c>
      <c r="E75" s="531">
        <f>CHOOSE(MATCH('Lists and Mapping'!$C$10,'Lists and Mapping'!$B$3:$B$5,0),'2026 Forecast'!E75,'2027 Forecast'!E75,'2028 Forecast'!E75)</f>
        <v>0</v>
      </c>
      <c r="F75" s="532">
        <f>CHOOSE(MATCH('Lists and Mapping'!$C$10,'Lists and Mapping'!$B$3:$B$5,0),'2026 Forecast'!F75,'2027 Forecast'!F75,'2028 Forecast'!F75)</f>
        <v>8</v>
      </c>
      <c r="G75" s="533">
        <f>CHOOSE(MATCH('Lists and Mapping'!$C$10,'Lists and Mapping'!$B$3:$B$5,0),'2026 Forecast'!G75,'2027 Forecast'!G75,'2028 Forecast'!G75)</f>
        <v>0</v>
      </c>
      <c r="H75" s="533">
        <f>CHOOSE(MATCH('Lists and Mapping'!$C$10,'Lists and Mapping'!$B$3:$B$5,0),'2026 Forecast'!H75,'2027 Forecast'!H75,'2028 Forecast'!H75)</f>
        <v>0</v>
      </c>
      <c r="I75" s="533">
        <f>CHOOSE(MATCH('Lists and Mapping'!$C$10,'Lists and Mapping'!$B$3:$B$5,0),'2026 Forecast'!I75,'2027 Forecast'!I75,'2028 Forecast'!I75)</f>
        <v>0</v>
      </c>
      <c r="J75" s="535">
        <f>CHOOSE(MATCH('Lists and Mapping'!$C$10,'Lists and Mapping'!$B$3:$B$5,0),'2026 Forecast'!J75,'2027 Forecast'!J75,'2028 Forecast'!J75)</f>
        <v>0</v>
      </c>
      <c r="K75" s="574">
        <f>CHOOSE(MATCH('Lists and Mapping'!$C$10,'Lists and Mapping'!$B$3:$B$5,0),'2026 Forecast'!K75,'2027 Forecast'!K75,'2028 Forecast'!K75)</f>
        <v>4205</v>
      </c>
      <c r="L75" s="574">
        <f>CHOOSE(MATCH('Lists and Mapping'!$C$10,'Lists and Mapping'!$B$3:$B$5,0),'2026 Forecast'!L75,'2027 Forecast'!L75,'2028 Forecast'!L75)</f>
        <v>0</v>
      </c>
      <c r="M75" s="537">
        <f>CHOOSE(MATCH('Lists and Mapping'!$C$10,'Lists and Mapping'!$B$3:$B$5,0),'2026 Forecast'!M75,'2027 Forecast'!M75,'2028 Forecast'!M75)</f>
        <v>0</v>
      </c>
      <c r="N75" s="537">
        <f>CHOOSE(MATCH('Lists and Mapping'!$C$10,'Lists and Mapping'!$B$3:$B$5,0),'2026 Forecast'!N75,'2027 Forecast'!N75,'2028 Forecast'!N75)</f>
        <v>0</v>
      </c>
      <c r="O75" s="548">
        <f>CHOOSE(MATCH('Lists and Mapping'!$C$10,'Lists and Mapping'!$B$3:$B$5,0),'2026 Forecast'!O75,'2027 Forecast'!O75,'2028 Forecast'!O75)</f>
        <v>0</v>
      </c>
      <c r="P75" s="538">
        <f>CHOOSE(MATCH('Lists and Mapping'!$C$10,'Lists and Mapping'!$B$3:$B$5,0),'2026 Forecast'!P75,'2027 Forecast'!P75,'2028 Forecast'!P75)</f>
        <v>0</v>
      </c>
      <c r="Q75" s="539">
        <f>CHOOSE(MATCH('Lists and Mapping'!$C$10,'Lists and Mapping'!$B$3:$B$5,0),'2026 Forecast'!Q75,'2027 Forecast'!Q75,'2028 Forecast'!Q75)</f>
        <v>0</v>
      </c>
      <c r="R75" s="539">
        <f>CHOOSE(MATCH('Lists and Mapping'!$C$10,'Lists and Mapping'!$B$3:$B$5,0),'2026 Forecast'!R75,'2027 Forecast'!R75,'2028 Forecast'!R75)</f>
        <v>0</v>
      </c>
      <c r="S75" s="539">
        <f>CHOOSE(MATCH('Lists and Mapping'!$C$10,'Lists and Mapping'!$B$3:$B$5,0),'2026 Forecast'!S75,'2027 Forecast'!S75,'2028 Forecast'!S75)</f>
        <v>0</v>
      </c>
      <c r="T75" s="539">
        <f>CHOOSE(MATCH('Lists and Mapping'!$C$10,'Lists and Mapping'!$B$3:$B$5,0),'2026 Forecast'!T75,'2027 Forecast'!T75,'2028 Forecast'!T75)</f>
        <v>0</v>
      </c>
      <c r="U75" s="539">
        <f>CHOOSE(MATCH('Lists and Mapping'!$C$10,'Lists and Mapping'!$B$3:$B$5,0),'2026 Forecast'!U75,'2027 Forecast'!U75,'2028 Forecast'!U75)</f>
        <v>0.87545879999999998</v>
      </c>
      <c r="V75" s="540">
        <f>CHOOSE(MATCH('Lists and Mapping'!$C$10,'Lists and Mapping'!$B$3:$B$5,0),'2026 Forecast'!V75,'2027 Forecast'!V75,'2028 Forecast'!V75)</f>
        <v>0.87545879999999998</v>
      </c>
      <c r="W75" s="542">
        <f>CHOOSE(MATCH('Lists and Mapping'!$C$10,'Lists and Mapping'!$B$3:$B$5,0),'2026 Forecast'!W75,'2027 Forecast'!W75,'2028 Forecast'!W75)</f>
        <v>0</v>
      </c>
      <c r="X75" s="542">
        <f>CHOOSE(MATCH('Lists and Mapping'!$C$10,'Lists and Mapping'!$B$3:$B$5,0),'2026 Forecast'!X75,'2027 Forecast'!X75,'2028 Forecast'!X75)</f>
        <v>0</v>
      </c>
      <c r="Y75" s="542">
        <f>CHOOSE(MATCH('Lists and Mapping'!$C$10,'Lists and Mapping'!$B$3:$B$5,0),'2026 Forecast'!Y75,'2027 Forecast'!Y75,'2028 Forecast'!Y75)</f>
        <v>0</v>
      </c>
      <c r="Z75" s="540">
        <f>CHOOSE(MATCH('Lists and Mapping'!$C$10,'Lists and Mapping'!$B$3:$B$5,0),'2026 Forecast'!Z75,'2027 Forecast'!Z75,'2028 Forecast'!Z75)</f>
        <v>0</v>
      </c>
      <c r="AA75" s="543">
        <f>CHOOSE(MATCH('Lists and Mapping'!$C$10,'Lists and Mapping'!$B$3:$B$5,0),'2026 Forecast'!AA75,'2027 Forecast'!AA75,'2028 Forecast'!AA75)</f>
        <v>0.87545879999999998</v>
      </c>
      <c r="AB75" s="570">
        <f>CHOOSE(MATCH('Lists and Mapping'!$C$10,'Lists and Mapping'!$B$3:$B$5,0),'2026 Forecast'!AB75,'2027 Forecast'!AB75,'2028 Forecast'!AB75)</f>
        <v>0.88158485553474153</v>
      </c>
      <c r="AC75" s="570">
        <f>CHOOSE(MATCH('Lists and Mapping'!$C$10,'Lists and Mapping'!$B$3:$B$5,0),'2026 Forecast'!AC75,'2027 Forecast'!AC75,'2028 Forecast'!AC75)</f>
        <v>0.3739497604033114</v>
      </c>
      <c r="AD75" s="570">
        <f>CHOOSE(MATCH('Lists and Mapping'!$C$10,'Lists and Mapping'!$B$3:$B$5,0),'2026 Forecast'!AD75,'2027 Forecast'!AD75,'2028 Forecast'!AD75)</f>
        <v>4.5839999999999999E-2</v>
      </c>
      <c r="AE75" s="570">
        <f>CHOOSE(MATCH('Lists and Mapping'!$C$10,'Lists and Mapping'!$B$3:$B$5,0),'2026 Forecast'!AE75,'2027 Forecast'!AE75,'2028 Forecast'!AE75)</f>
        <v>9.3424000000000007E-2</v>
      </c>
      <c r="AF75" s="543">
        <f>CHOOSE(MATCH('Lists and Mapping'!$C$10,'Lists and Mapping'!$B$3:$B$5,0),'2026 Forecast'!AF75,'2027 Forecast'!AF75,'2028 Forecast'!AF75)</f>
        <v>6.871999999999999E-4</v>
      </c>
      <c r="AG75" s="545">
        <f>CHOOSE(MATCH('Lists and Mapping'!$C$10,'Lists and Mapping'!$B$3:$B$5,0),'2026 Forecast'!AG75,'2027 Forecast'!AG75,'2028 Forecast'!AG75)</f>
        <v>2.2709446159380531</v>
      </c>
      <c r="AH75" s="546">
        <f>CHOOSE(MATCH('Lists and Mapping'!$C$10,'Lists and Mapping'!$B$3:$B$5,0),'2026 Forecast'!AH75,'2027 Forecast'!AH75,'2028 Forecast'!AH75)</f>
        <v>10.943235</v>
      </c>
      <c r="AI75" s="546">
        <f>CHOOSE(MATCH('Lists and Mapping'!$C$10,'Lists and Mapping'!$B$3:$B$5,0),'2026 Forecast'!AI75,'2027 Forecast'!AI75,'2028 Forecast'!AI75)</f>
        <v>11.019810694184269</v>
      </c>
      <c r="AJ75" s="546">
        <f>CHOOSE(MATCH('Lists and Mapping'!$C$10,'Lists and Mapping'!$B$3:$B$5,0),'2026 Forecast'!AJ75,'2027 Forecast'!AJ75,'2028 Forecast'!AJ75)</f>
        <v>4.6743720050413922</v>
      </c>
      <c r="AK75" s="547">
        <f>CHOOSE(MATCH('Lists and Mapping'!$C$10,'Lists and Mapping'!$B$3:$B$5,0),'2026 Forecast'!AK75,'2027 Forecast'!AK75,'2028 Forecast'!AK75)</f>
        <v>28.386807699225663</v>
      </c>
      <c r="AL75" s="546">
        <f>CHOOSE(MATCH('Lists and Mapping'!$C$10,'Lists and Mapping'!$B$3:$B$5,0),'2026 Forecast'!AL75,'2027 Forecast'!AL75,'2028 Forecast'!AL75)</f>
        <v>1.1678000000000002</v>
      </c>
      <c r="AM75" s="546">
        <f>CHOOSE(MATCH('Lists and Mapping'!$C$10,'Lists and Mapping'!$B$3:$B$5,0),'2026 Forecast'!AM75,'2027 Forecast'!AM75,'2028 Forecast'!AM75)</f>
        <v>8.5899999999999987E-3</v>
      </c>
      <c r="AN75" s="547">
        <f>CHOOSE(MATCH('Lists and Mapping'!$C$10,'Lists and Mapping'!$B$3:$B$5,0),'2026 Forecast'!AN75,'2027 Forecast'!AN75,'2028 Forecast'!AN75)</f>
        <v>28.386807699225663</v>
      </c>
      <c r="AO75" s="446"/>
      <c r="AP75" s="446"/>
      <c r="AQ75" s="446"/>
      <c r="AR75" s="446"/>
      <c r="AS75" s="446"/>
      <c r="AT75" s="72"/>
      <c r="AU75" s="72"/>
      <c r="AV75" s="72"/>
      <c r="AW75" s="72"/>
      <c r="AX75" s="72"/>
      <c r="AY75" s="72"/>
      <c r="AZ75" s="72"/>
      <c r="BA75" s="72"/>
      <c r="BB75" s="72"/>
    </row>
    <row r="76" spans="1:55">
      <c r="B76" s="529" t="str">
        <f t="shared" si="0"/>
        <v>PLGUM 027</v>
      </c>
      <c r="C76" s="420"/>
      <c r="D76" s="590" t="s">
        <v>123</v>
      </c>
      <c r="E76" s="531">
        <f>CHOOSE(MATCH('Lists and Mapping'!$C$10,'Lists and Mapping'!$B$3:$B$5,0),'2026 Forecast'!E76,'2027 Forecast'!E76,'2028 Forecast'!E76)</f>
        <v>0</v>
      </c>
      <c r="F76" s="532">
        <f>CHOOSE(MATCH('Lists and Mapping'!$C$10,'Lists and Mapping'!$B$3:$B$5,0),'2026 Forecast'!F76,'2027 Forecast'!F76,'2028 Forecast'!F76)</f>
        <v>0.9</v>
      </c>
      <c r="G76" s="533">
        <f>CHOOSE(MATCH('Lists and Mapping'!$C$10,'Lists and Mapping'!$B$3:$B$5,0),'2026 Forecast'!G76,'2027 Forecast'!G76,'2028 Forecast'!G76)</f>
        <v>0</v>
      </c>
      <c r="H76" s="533">
        <f>CHOOSE(MATCH('Lists and Mapping'!$C$10,'Lists and Mapping'!$B$3:$B$5,0),'2026 Forecast'!H76,'2027 Forecast'!H76,'2028 Forecast'!H76)</f>
        <v>0</v>
      </c>
      <c r="I76" s="533">
        <f>CHOOSE(MATCH('Lists and Mapping'!$C$10,'Lists and Mapping'!$B$3:$B$5,0),'2026 Forecast'!I76,'2027 Forecast'!I76,'2028 Forecast'!I76)</f>
        <v>0</v>
      </c>
      <c r="J76" s="535">
        <f>CHOOSE(MATCH('Lists and Mapping'!$C$10,'Lists and Mapping'!$B$3:$B$5,0),'2026 Forecast'!J76,'2027 Forecast'!J76,'2028 Forecast'!J76)</f>
        <v>0</v>
      </c>
      <c r="K76" s="574">
        <f>CHOOSE(MATCH('Lists and Mapping'!$C$10,'Lists and Mapping'!$B$3:$B$5,0),'2026 Forecast'!K76,'2027 Forecast'!K76,'2028 Forecast'!K76)</f>
        <v>500</v>
      </c>
      <c r="L76" s="574">
        <f>CHOOSE(MATCH('Lists and Mapping'!$C$10,'Lists and Mapping'!$B$3:$B$5,0),'2026 Forecast'!L76,'2027 Forecast'!L76,'2028 Forecast'!L76)</f>
        <v>0</v>
      </c>
      <c r="M76" s="537">
        <f>CHOOSE(MATCH('Lists and Mapping'!$C$10,'Lists and Mapping'!$B$3:$B$5,0),'2026 Forecast'!M76,'2027 Forecast'!M76,'2028 Forecast'!M76)</f>
        <v>0</v>
      </c>
      <c r="N76" s="537">
        <f>CHOOSE(MATCH('Lists and Mapping'!$C$10,'Lists and Mapping'!$B$3:$B$5,0),'2026 Forecast'!N76,'2027 Forecast'!N76,'2028 Forecast'!N76)</f>
        <v>0</v>
      </c>
      <c r="O76" s="548">
        <f>CHOOSE(MATCH('Lists and Mapping'!$C$10,'Lists and Mapping'!$B$3:$B$5,0),'2026 Forecast'!O76,'2027 Forecast'!O76,'2028 Forecast'!O76)</f>
        <v>0</v>
      </c>
      <c r="P76" s="538">
        <f>CHOOSE(MATCH('Lists and Mapping'!$C$10,'Lists and Mapping'!$B$3:$B$5,0),'2026 Forecast'!P76,'2027 Forecast'!P76,'2028 Forecast'!P76)</f>
        <v>0</v>
      </c>
      <c r="Q76" s="539">
        <f>CHOOSE(MATCH('Lists and Mapping'!$C$10,'Lists and Mapping'!$B$3:$B$5,0),'2026 Forecast'!Q76,'2027 Forecast'!Q76,'2028 Forecast'!Q76)</f>
        <v>0</v>
      </c>
      <c r="R76" s="539">
        <f>CHOOSE(MATCH('Lists and Mapping'!$C$10,'Lists and Mapping'!$B$3:$B$5,0),'2026 Forecast'!R76,'2027 Forecast'!R76,'2028 Forecast'!R76)</f>
        <v>0</v>
      </c>
      <c r="S76" s="539">
        <f>CHOOSE(MATCH('Lists and Mapping'!$C$10,'Lists and Mapping'!$B$3:$B$5,0),'2026 Forecast'!S76,'2027 Forecast'!S76,'2028 Forecast'!S76)</f>
        <v>0</v>
      </c>
      <c r="T76" s="539">
        <f>CHOOSE(MATCH('Lists and Mapping'!$C$10,'Lists and Mapping'!$B$3:$B$5,0),'2026 Forecast'!T76,'2027 Forecast'!T76,'2028 Forecast'!T76)</f>
        <v>0</v>
      </c>
      <c r="U76" s="539">
        <f>CHOOSE(MATCH('Lists and Mapping'!$C$10,'Lists and Mapping'!$B$3:$B$5,0),'2026 Forecast'!U76,'2027 Forecast'!U76,'2028 Forecast'!U76)</f>
        <v>8.7354719999999997E-2</v>
      </c>
      <c r="V76" s="540">
        <f>CHOOSE(MATCH('Lists and Mapping'!$C$10,'Lists and Mapping'!$B$3:$B$5,0),'2026 Forecast'!V76,'2027 Forecast'!V76,'2028 Forecast'!V76)</f>
        <v>8.7354719999999997E-2</v>
      </c>
      <c r="W76" s="542">
        <f>CHOOSE(MATCH('Lists and Mapping'!$C$10,'Lists and Mapping'!$B$3:$B$5,0),'2026 Forecast'!W76,'2027 Forecast'!W76,'2028 Forecast'!W76)</f>
        <v>0</v>
      </c>
      <c r="X76" s="542">
        <f>CHOOSE(MATCH('Lists and Mapping'!$C$10,'Lists and Mapping'!$B$3:$B$5,0),'2026 Forecast'!X76,'2027 Forecast'!X76,'2028 Forecast'!X76)</f>
        <v>0</v>
      </c>
      <c r="Y76" s="542">
        <f>CHOOSE(MATCH('Lists and Mapping'!$C$10,'Lists and Mapping'!$B$3:$B$5,0),'2026 Forecast'!Y76,'2027 Forecast'!Y76,'2028 Forecast'!Y76)</f>
        <v>0</v>
      </c>
      <c r="Z76" s="540">
        <f>CHOOSE(MATCH('Lists and Mapping'!$C$10,'Lists and Mapping'!$B$3:$B$5,0),'2026 Forecast'!Z76,'2027 Forecast'!Z76,'2028 Forecast'!Z76)</f>
        <v>0</v>
      </c>
      <c r="AA76" s="543">
        <f>CHOOSE(MATCH('Lists and Mapping'!$C$10,'Lists and Mapping'!$B$3:$B$5,0),'2026 Forecast'!AA76,'2027 Forecast'!AA76,'2028 Forecast'!AA76)</f>
        <v>8.7354719999999997E-2</v>
      </c>
      <c r="AB76" s="570">
        <f>CHOOSE(MATCH('Lists and Mapping'!$C$10,'Lists and Mapping'!$B$3:$B$5,0),'2026 Forecast'!AB76,'2027 Forecast'!AB76,'2028 Forecast'!AB76)</f>
        <v>9.9178296247658421E-2</v>
      </c>
      <c r="AC76" s="570">
        <f>CHOOSE(MATCH('Lists and Mapping'!$C$10,'Lists and Mapping'!$B$3:$B$5,0),'2026 Forecast'!AC76,'2027 Forecast'!AC76,'2028 Forecast'!AC76)</f>
        <v>4.2069348045372532E-2</v>
      </c>
      <c r="AD76" s="570">
        <f>CHOOSE(MATCH('Lists and Mapping'!$C$10,'Lists and Mapping'!$B$3:$B$5,0),'2026 Forecast'!AD76,'2027 Forecast'!AD76,'2028 Forecast'!AD76)</f>
        <v>5.1570000000000001E-3</v>
      </c>
      <c r="AE76" s="570">
        <f>CHOOSE(MATCH('Lists and Mapping'!$C$10,'Lists and Mapping'!$B$3:$B$5,0),'2026 Forecast'!AE76,'2027 Forecast'!AE76,'2028 Forecast'!AE76)</f>
        <v>1.0510200000000001E-2</v>
      </c>
      <c r="AF76" s="543">
        <f>CHOOSE(MATCH('Lists and Mapping'!$C$10,'Lists and Mapping'!$B$3:$B$5,0),'2026 Forecast'!AF76,'2027 Forecast'!AF76,'2028 Forecast'!AF76)</f>
        <v>7.730999999999999E-5</v>
      </c>
      <c r="AG76" s="545">
        <f>CHOOSE(MATCH('Lists and Mapping'!$C$10,'Lists and Mapping'!$B$3:$B$5,0),'2026 Forecast'!AG76,'2027 Forecast'!AG76,'2028 Forecast'!AG76)</f>
        <v>0.24434687429303095</v>
      </c>
      <c r="AH76" s="546">
        <f>CHOOSE(MATCH('Lists and Mapping'!$C$10,'Lists and Mapping'!$B$3:$B$5,0),'2026 Forecast'!AH76,'2027 Forecast'!AH76,'2028 Forecast'!AH76)</f>
        <v>9.7060799999999983</v>
      </c>
      <c r="AI76" s="546">
        <f>CHOOSE(MATCH('Lists and Mapping'!$C$10,'Lists and Mapping'!$B$3:$B$5,0),'2026 Forecast'!AI76,'2027 Forecast'!AI76,'2028 Forecast'!AI76)</f>
        <v>11.019810694184269</v>
      </c>
      <c r="AJ76" s="546">
        <f>CHOOSE(MATCH('Lists and Mapping'!$C$10,'Lists and Mapping'!$B$3:$B$5,0),'2026 Forecast'!AJ76,'2027 Forecast'!AJ76,'2028 Forecast'!AJ76)</f>
        <v>4.6743720050413922</v>
      </c>
      <c r="AK76" s="547">
        <f>CHOOSE(MATCH('Lists and Mapping'!$C$10,'Lists and Mapping'!$B$3:$B$5,0),'2026 Forecast'!AK76,'2027 Forecast'!AK76,'2028 Forecast'!AK76)</f>
        <v>27.149652699225662</v>
      </c>
      <c r="AL76" s="546">
        <f>CHOOSE(MATCH('Lists and Mapping'!$C$10,'Lists and Mapping'!$B$3:$B$5,0),'2026 Forecast'!AL76,'2027 Forecast'!AL76,'2028 Forecast'!AL76)</f>
        <v>1.1678000000000002</v>
      </c>
      <c r="AM76" s="546">
        <f>CHOOSE(MATCH('Lists and Mapping'!$C$10,'Lists and Mapping'!$B$3:$B$5,0),'2026 Forecast'!AM76,'2027 Forecast'!AM76,'2028 Forecast'!AM76)</f>
        <v>8.5899999999999987E-3</v>
      </c>
      <c r="AN76" s="547">
        <f>CHOOSE(MATCH('Lists and Mapping'!$C$10,'Lists and Mapping'!$B$3:$B$5,0),'2026 Forecast'!AN76,'2027 Forecast'!AN76,'2028 Forecast'!AN76)</f>
        <v>27.149652699225662</v>
      </c>
      <c r="AO76" s="446"/>
      <c r="AP76" s="446"/>
      <c r="AQ76" s="446"/>
      <c r="AR76" s="446"/>
      <c r="AS76" s="446"/>
      <c r="AT76" s="72"/>
      <c r="AU76" s="72"/>
      <c r="AV76" s="72"/>
      <c r="AW76" s="72"/>
      <c r="AX76" s="72"/>
      <c r="AY76" s="72"/>
      <c r="AZ76" s="72"/>
      <c r="BA76" s="72"/>
      <c r="BB76" s="72"/>
    </row>
    <row r="77" spans="1:55">
      <c r="B77" s="529" t="str">
        <f t="shared" si="0"/>
        <v>PLGUM 028</v>
      </c>
      <c r="C77" s="420"/>
      <c r="D77" s="590" t="s">
        <v>124</v>
      </c>
      <c r="E77" s="531">
        <f>CHOOSE(MATCH('Lists and Mapping'!$C$10,'Lists and Mapping'!$B$3:$B$5,0),'2026 Forecast'!E77,'2027 Forecast'!E77,'2028 Forecast'!E77)</f>
        <v>0</v>
      </c>
      <c r="F77" s="532">
        <f>CHOOSE(MATCH('Lists and Mapping'!$C$10,'Lists and Mapping'!$B$3:$B$5,0),'2026 Forecast'!F77,'2027 Forecast'!F77,'2028 Forecast'!F77)</f>
        <v>0.8</v>
      </c>
      <c r="G77" s="533">
        <f>CHOOSE(MATCH('Lists and Mapping'!$C$10,'Lists and Mapping'!$B$3:$B$5,0),'2026 Forecast'!G77,'2027 Forecast'!G77,'2028 Forecast'!G77)</f>
        <v>0</v>
      </c>
      <c r="H77" s="533">
        <f>CHOOSE(MATCH('Lists and Mapping'!$C$10,'Lists and Mapping'!$B$3:$B$5,0),'2026 Forecast'!H77,'2027 Forecast'!H77,'2028 Forecast'!H77)</f>
        <v>0</v>
      </c>
      <c r="I77" s="533">
        <f>CHOOSE(MATCH('Lists and Mapping'!$C$10,'Lists and Mapping'!$B$3:$B$5,0),'2026 Forecast'!I77,'2027 Forecast'!I77,'2028 Forecast'!I77)</f>
        <v>0</v>
      </c>
      <c r="J77" s="535">
        <f>CHOOSE(MATCH('Lists and Mapping'!$C$10,'Lists and Mapping'!$B$3:$B$5,0),'2026 Forecast'!J77,'2027 Forecast'!J77,'2028 Forecast'!J77)</f>
        <v>0</v>
      </c>
      <c r="K77" s="574">
        <f>CHOOSE(MATCH('Lists and Mapping'!$C$10,'Lists and Mapping'!$B$3:$B$5,0),'2026 Forecast'!K77,'2027 Forecast'!K77,'2028 Forecast'!K77)</f>
        <v>150</v>
      </c>
      <c r="L77" s="574">
        <f>CHOOSE(MATCH('Lists and Mapping'!$C$10,'Lists and Mapping'!$B$3:$B$5,0),'2026 Forecast'!L77,'2027 Forecast'!L77,'2028 Forecast'!L77)</f>
        <v>0</v>
      </c>
      <c r="M77" s="537">
        <f>CHOOSE(MATCH('Lists and Mapping'!$C$10,'Lists and Mapping'!$B$3:$B$5,0),'2026 Forecast'!M77,'2027 Forecast'!M77,'2028 Forecast'!M77)</f>
        <v>0</v>
      </c>
      <c r="N77" s="537">
        <f>CHOOSE(MATCH('Lists and Mapping'!$C$10,'Lists and Mapping'!$B$3:$B$5,0),'2026 Forecast'!N77,'2027 Forecast'!N77,'2028 Forecast'!N77)</f>
        <v>0</v>
      </c>
      <c r="O77" s="548">
        <f>CHOOSE(MATCH('Lists and Mapping'!$C$10,'Lists and Mapping'!$B$3:$B$5,0),'2026 Forecast'!O77,'2027 Forecast'!O77,'2028 Forecast'!O77)</f>
        <v>0</v>
      </c>
      <c r="P77" s="538">
        <f>CHOOSE(MATCH('Lists and Mapping'!$C$10,'Lists and Mapping'!$B$3:$B$5,0),'2026 Forecast'!P77,'2027 Forecast'!P77,'2028 Forecast'!P77)</f>
        <v>0</v>
      </c>
      <c r="Q77" s="539">
        <f>CHOOSE(MATCH('Lists and Mapping'!$C$10,'Lists and Mapping'!$B$3:$B$5,0),'2026 Forecast'!Q77,'2027 Forecast'!Q77,'2028 Forecast'!Q77)</f>
        <v>0</v>
      </c>
      <c r="R77" s="539">
        <f>CHOOSE(MATCH('Lists and Mapping'!$C$10,'Lists and Mapping'!$B$3:$B$5,0),'2026 Forecast'!R77,'2027 Forecast'!R77,'2028 Forecast'!R77)</f>
        <v>0</v>
      </c>
      <c r="S77" s="539">
        <f>CHOOSE(MATCH('Lists and Mapping'!$C$10,'Lists and Mapping'!$B$3:$B$5,0),'2026 Forecast'!S77,'2027 Forecast'!S77,'2028 Forecast'!S77)</f>
        <v>0</v>
      </c>
      <c r="T77" s="539">
        <f>CHOOSE(MATCH('Lists and Mapping'!$C$10,'Lists and Mapping'!$B$3:$B$5,0),'2026 Forecast'!T77,'2027 Forecast'!T77,'2028 Forecast'!T77)</f>
        <v>0</v>
      </c>
      <c r="U77" s="539">
        <f>CHOOSE(MATCH('Lists and Mapping'!$C$10,'Lists and Mapping'!$B$3:$B$5,0),'2026 Forecast'!U77,'2027 Forecast'!U77,'2028 Forecast'!U77)</f>
        <v>7.0450559999999995E-2</v>
      </c>
      <c r="V77" s="540">
        <f>CHOOSE(MATCH('Lists and Mapping'!$C$10,'Lists and Mapping'!$B$3:$B$5,0),'2026 Forecast'!V77,'2027 Forecast'!V77,'2028 Forecast'!V77)</f>
        <v>7.0450559999999995E-2</v>
      </c>
      <c r="W77" s="542">
        <f>CHOOSE(MATCH('Lists and Mapping'!$C$10,'Lists and Mapping'!$B$3:$B$5,0),'2026 Forecast'!W77,'2027 Forecast'!W77,'2028 Forecast'!W77)</f>
        <v>0</v>
      </c>
      <c r="X77" s="542">
        <f>CHOOSE(MATCH('Lists and Mapping'!$C$10,'Lists and Mapping'!$B$3:$B$5,0),'2026 Forecast'!X77,'2027 Forecast'!X77,'2028 Forecast'!X77)</f>
        <v>0</v>
      </c>
      <c r="Y77" s="542">
        <f>CHOOSE(MATCH('Lists and Mapping'!$C$10,'Lists and Mapping'!$B$3:$B$5,0),'2026 Forecast'!Y77,'2027 Forecast'!Y77,'2028 Forecast'!Y77)</f>
        <v>0</v>
      </c>
      <c r="Z77" s="540">
        <f>CHOOSE(MATCH('Lists and Mapping'!$C$10,'Lists and Mapping'!$B$3:$B$5,0),'2026 Forecast'!Z77,'2027 Forecast'!Z77,'2028 Forecast'!Z77)</f>
        <v>0</v>
      </c>
      <c r="AA77" s="543">
        <f>CHOOSE(MATCH('Lists and Mapping'!$C$10,'Lists and Mapping'!$B$3:$B$5,0),'2026 Forecast'!AA77,'2027 Forecast'!AA77,'2028 Forecast'!AA77)</f>
        <v>7.0450559999999995E-2</v>
      </c>
      <c r="AB77" s="570">
        <f>CHOOSE(MATCH('Lists and Mapping'!$C$10,'Lists and Mapping'!$B$3:$B$5,0),'2026 Forecast'!AB77,'2027 Forecast'!AB77,'2028 Forecast'!AB77)</f>
        <v>8.8158485553474164E-2</v>
      </c>
      <c r="AC77" s="570">
        <f>CHOOSE(MATCH('Lists and Mapping'!$C$10,'Lists and Mapping'!$B$3:$B$5,0),'2026 Forecast'!AC77,'2027 Forecast'!AC77,'2028 Forecast'!AC77)</f>
        <v>3.7394976040331145E-2</v>
      </c>
      <c r="AD77" s="570">
        <f>CHOOSE(MATCH('Lists and Mapping'!$C$10,'Lists and Mapping'!$B$3:$B$5,0),'2026 Forecast'!AD77,'2027 Forecast'!AD77,'2028 Forecast'!AD77)</f>
        <v>4.5840000000000004E-3</v>
      </c>
      <c r="AE77" s="570">
        <f>CHOOSE(MATCH('Lists and Mapping'!$C$10,'Lists and Mapping'!$B$3:$B$5,0),'2026 Forecast'!AE77,'2027 Forecast'!AE77,'2028 Forecast'!AE77)</f>
        <v>9.3424000000000007E-3</v>
      </c>
      <c r="AF77" s="543">
        <f>CHOOSE(MATCH('Lists and Mapping'!$C$10,'Lists and Mapping'!$B$3:$B$5,0),'2026 Forecast'!AF77,'2027 Forecast'!AF77,'2028 Forecast'!AF77)</f>
        <v>6.8719999999999993E-5</v>
      </c>
      <c r="AG77" s="545">
        <f>CHOOSE(MATCH('Lists and Mapping'!$C$10,'Lists and Mapping'!$B$3:$B$5,0),'2026 Forecast'!AG77,'2027 Forecast'!AG77,'2028 Forecast'!AG77)</f>
        <v>0.20999914159380531</v>
      </c>
      <c r="AH77" s="546">
        <f>CHOOSE(MATCH('Lists and Mapping'!$C$10,'Lists and Mapping'!$B$3:$B$5,0),'2026 Forecast'!AH77,'2027 Forecast'!AH77,'2028 Forecast'!AH77)</f>
        <v>8.8063199999999995</v>
      </c>
      <c r="AI77" s="546">
        <f>CHOOSE(MATCH('Lists and Mapping'!$C$10,'Lists and Mapping'!$B$3:$B$5,0),'2026 Forecast'!AI77,'2027 Forecast'!AI77,'2028 Forecast'!AI77)</f>
        <v>11.019810694184271</v>
      </c>
      <c r="AJ77" s="546">
        <f>CHOOSE(MATCH('Lists and Mapping'!$C$10,'Lists and Mapping'!$B$3:$B$5,0),'2026 Forecast'!AJ77,'2027 Forecast'!AJ77,'2028 Forecast'!AJ77)</f>
        <v>4.6743720050413922</v>
      </c>
      <c r="AK77" s="547">
        <f>CHOOSE(MATCH('Lists and Mapping'!$C$10,'Lists and Mapping'!$B$3:$B$5,0),'2026 Forecast'!AK77,'2027 Forecast'!AK77,'2028 Forecast'!AK77)</f>
        <v>26.249892699225661</v>
      </c>
      <c r="AL77" s="546">
        <f>CHOOSE(MATCH('Lists and Mapping'!$C$10,'Lists and Mapping'!$B$3:$B$5,0),'2026 Forecast'!AL77,'2027 Forecast'!AL77,'2028 Forecast'!AL77)</f>
        <v>1.1678000000000002</v>
      </c>
      <c r="AM77" s="546">
        <f>CHOOSE(MATCH('Lists and Mapping'!$C$10,'Lists and Mapping'!$B$3:$B$5,0),'2026 Forecast'!AM77,'2027 Forecast'!AM77,'2028 Forecast'!AM77)</f>
        <v>8.5899999999999987E-3</v>
      </c>
      <c r="AN77" s="547">
        <f>CHOOSE(MATCH('Lists and Mapping'!$C$10,'Lists and Mapping'!$B$3:$B$5,0),'2026 Forecast'!AN77,'2027 Forecast'!AN77,'2028 Forecast'!AN77)</f>
        <v>26.249892699225661</v>
      </c>
      <c r="AO77" s="446"/>
      <c r="AP77" s="446"/>
      <c r="AQ77" s="446"/>
      <c r="AR77" s="446"/>
      <c r="AS77" s="446"/>
      <c r="AT77" s="72"/>
      <c r="AU77" s="72"/>
      <c r="AV77" s="72"/>
      <c r="AW77" s="72"/>
      <c r="AX77" s="72"/>
      <c r="AY77" s="72"/>
      <c r="AZ77" s="72"/>
      <c r="BA77" s="72"/>
      <c r="BB77" s="72"/>
    </row>
    <row r="78" spans="1:55" ht="9" customHeight="1">
      <c r="C78" s="420"/>
      <c r="D78" s="590"/>
      <c r="E78" s="531">
        <f>CHOOSE(MATCH('Lists and Mapping'!$C$10,'Lists and Mapping'!$B$3:$B$5,0),'2026 Forecast'!E78,'2027 Forecast'!E78,'2028 Forecast'!E78)</f>
        <v>0</v>
      </c>
      <c r="F78" s="589">
        <f>CHOOSE(MATCH('Lists and Mapping'!$C$10,'Lists and Mapping'!$B$3:$B$5,0),'2026 Forecast'!F78,'2027 Forecast'!F78,'2028 Forecast'!F78)</f>
        <v>0</v>
      </c>
      <c r="G78" s="533">
        <f>CHOOSE(MATCH('Lists and Mapping'!$C$10,'Lists and Mapping'!$B$3:$B$5,0),'2026 Forecast'!G78,'2027 Forecast'!G78,'2028 Forecast'!G78)</f>
        <v>0</v>
      </c>
      <c r="H78" s="533">
        <f>CHOOSE(MATCH('Lists and Mapping'!$C$10,'Lists and Mapping'!$B$3:$B$5,0),'2026 Forecast'!H78,'2027 Forecast'!H78,'2028 Forecast'!H78)</f>
        <v>0</v>
      </c>
      <c r="I78" s="533">
        <f>CHOOSE(MATCH('Lists and Mapping'!$C$10,'Lists and Mapping'!$B$3:$B$5,0),'2026 Forecast'!I78,'2027 Forecast'!I78,'2028 Forecast'!I78)</f>
        <v>0</v>
      </c>
      <c r="J78" s="535">
        <f>CHOOSE(MATCH('Lists and Mapping'!$C$10,'Lists and Mapping'!$B$3:$B$5,0),'2026 Forecast'!J78,'2027 Forecast'!J78,'2028 Forecast'!J78)</f>
        <v>0</v>
      </c>
      <c r="K78" s="574">
        <f>CHOOSE(MATCH('Lists and Mapping'!$C$10,'Lists and Mapping'!$B$3:$B$5,0),'2026 Forecast'!K78,'2027 Forecast'!K78,'2028 Forecast'!K78)</f>
        <v>0</v>
      </c>
      <c r="L78" s="574">
        <f>CHOOSE(MATCH('Lists and Mapping'!$C$10,'Lists and Mapping'!$B$3:$B$5,0),'2026 Forecast'!L78,'2027 Forecast'!L78,'2028 Forecast'!L78)</f>
        <v>0</v>
      </c>
      <c r="M78" s="537">
        <f>CHOOSE(MATCH('Lists and Mapping'!$C$10,'Lists and Mapping'!$B$3:$B$5,0),'2026 Forecast'!M78,'2027 Forecast'!M78,'2028 Forecast'!M78)</f>
        <v>0</v>
      </c>
      <c r="N78" s="537">
        <f>CHOOSE(MATCH('Lists and Mapping'!$C$10,'Lists and Mapping'!$B$3:$B$5,0),'2026 Forecast'!N78,'2027 Forecast'!N78,'2028 Forecast'!N78)</f>
        <v>0</v>
      </c>
      <c r="O78" s="548">
        <f>CHOOSE(MATCH('Lists and Mapping'!$C$10,'Lists and Mapping'!$B$3:$B$5,0),'2026 Forecast'!O78,'2027 Forecast'!O78,'2028 Forecast'!O78)</f>
        <v>0</v>
      </c>
      <c r="P78" s="538">
        <f>CHOOSE(MATCH('Lists and Mapping'!$C$10,'Lists and Mapping'!$B$3:$B$5,0),'2026 Forecast'!P78,'2027 Forecast'!P78,'2028 Forecast'!P78)</f>
        <v>0</v>
      </c>
      <c r="Q78" s="539">
        <f>CHOOSE(MATCH('Lists and Mapping'!$C$10,'Lists and Mapping'!$B$3:$B$5,0),'2026 Forecast'!Q78,'2027 Forecast'!Q78,'2028 Forecast'!Q78)</f>
        <v>0</v>
      </c>
      <c r="R78" s="539">
        <f>CHOOSE(MATCH('Lists and Mapping'!$C$10,'Lists and Mapping'!$B$3:$B$5,0),'2026 Forecast'!R78,'2027 Forecast'!R78,'2028 Forecast'!R78)</f>
        <v>0</v>
      </c>
      <c r="S78" s="539">
        <f>CHOOSE(MATCH('Lists and Mapping'!$C$10,'Lists and Mapping'!$B$3:$B$5,0),'2026 Forecast'!S78,'2027 Forecast'!S78,'2028 Forecast'!S78)</f>
        <v>0</v>
      </c>
      <c r="T78" s="539">
        <f>CHOOSE(MATCH('Lists and Mapping'!$C$10,'Lists and Mapping'!$B$3:$B$5,0),'2026 Forecast'!T78,'2027 Forecast'!T78,'2028 Forecast'!T78)</f>
        <v>0</v>
      </c>
      <c r="U78" s="539">
        <f>CHOOSE(MATCH('Lists and Mapping'!$C$10,'Lists and Mapping'!$B$3:$B$5,0),'2026 Forecast'!U78,'2027 Forecast'!U78,'2028 Forecast'!U78)</f>
        <v>0</v>
      </c>
      <c r="V78" s="540">
        <f>CHOOSE(MATCH('Lists and Mapping'!$C$10,'Lists and Mapping'!$B$3:$B$5,0),'2026 Forecast'!V78,'2027 Forecast'!V78,'2028 Forecast'!V78)</f>
        <v>0</v>
      </c>
      <c r="W78" s="542">
        <f>CHOOSE(MATCH('Lists and Mapping'!$C$10,'Lists and Mapping'!$B$3:$B$5,0),'2026 Forecast'!W78,'2027 Forecast'!W78,'2028 Forecast'!W78)</f>
        <v>0</v>
      </c>
      <c r="X78" s="542">
        <f>CHOOSE(MATCH('Lists and Mapping'!$C$10,'Lists and Mapping'!$B$3:$B$5,0),'2026 Forecast'!X78,'2027 Forecast'!X78,'2028 Forecast'!X78)</f>
        <v>0</v>
      </c>
      <c r="Y78" s="542">
        <f>CHOOSE(MATCH('Lists and Mapping'!$C$10,'Lists and Mapping'!$B$3:$B$5,0),'2026 Forecast'!Y78,'2027 Forecast'!Y78,'2028 Forecast'!Y78)</f>
        <v>0</v>
      </c>
      <c r="Z78" s="540">
        <f>CHOOSE(MATCH('Lists and Mapping'!$C$10,'Lists and Mapping'!$B$3:$B$5,0),'2026 Forecast'!Z78,'2027 Forecast'!Z78,'2028 Forecast'!Z78)</f>
        <v>0</v>
      </c>
      <c r="AA78" s="543">
        <f>CHOOSE(MATCH('Lists and Mapping'!$C$10,'Lists and Mapping'!$B$3:$B$5,0),'2026 Forecast'!AA78,'2027 Forecast'!AA78,'2028 Forecast'!AA78)</f>
        <v>0</v>
      </c>
      <c r="AB78" s="570">
        <f>CHOOSE(MATCH('Lists and Mapping'!$C$10,'Lists and Mapping'!$B$3:$B$5,0),'2026 Forecast'!AB78,'2027 Forecast'!AB78,'2028 Forecast'!AB78)</f>
        <v>0</v>
      </c>
      <c r="AC78" s="570">
        <f>CHOOSE(MATCH('Lists and Mapping'!$C$10,'Lists and Mapping'!$B$3:$B$5,0),'2026 Forecast'!AC78,'2027 Forecast'!AC78,'2028 Forecast'!AC78)</f>
        <v>0</v>
      </c>
      <c r="AD78" s="570">
        <f>CHOOSE(MATCH('Lists and Mapping'!$C$10,'Lists and Mapping'!$B$3:$B$5,0),'2026 Forecast'!AD78,'2027 Forecast'!AD78,'2028 Forecast'!AD78)</f>
        <v>0</v>
      </c>
      <c r="AE78" s="570">
        <f>CHOOSE(MATCH('Lists and Mapping'!$C$10,'Lists and Mapping'!$B$3:$B$5,0),'2026 Forecast'!AE78,'2027 Forecast'!AE78,'2028 Forecast'!AE78)</f>
        <v>0</v>
      </c>
      <c r="AF78" s="543">
        <f>CHOOSE(MATCH('Lists and Mapping'!$C$10,'Lists and Mapping'!$B$3:$B$5,0),'2026 Forecast'!AF78,'2027 Forecast'!AF78,'2028 Forecast'!AF78)</f>
        <v>0</v>
      </c>
      <c r="AG78" s="545">
        <f>CHOOSE(MATCH('Lists and Mapping'!$C$10,'Lists and Mapping'!$B$3:$B$5,0),'2026 Forecast'!AG78,'2027 Forecast'!AG78,'2028 Forecast'!AG78)</f>
        <v>0</v>
      </c>
      <c r="AH78" s="546">
        <f>CHOOSE(MATCH('Lists and Mapping'!$C$10,'Lists and Mapping'!$B$3:$B$5,0),'2026 Forecast'!AH78,'2027 Forecast'!AH78,'2028 Forecast'!AH78)</f>
        <v>0</v>
      </c>
      <c r="AI78" s="546">
        <f>CHOOSE(MATCH('Lists and Mapping'!$C$10,'Lists and Mapping'!$B$3:$B$5,0),'2026 Forecast'!AI78,'2027 Forecast'!AI78,'2028 Forecast'!AI78)</f>
        <v>0</v>
      </c>
      <c r="AJ78" s="546">
        <f>CHOOSE(MATCH('Lists and Mapping'!$C$10,'Lists and Mapping'!$B$3:$B$5,0),'2026 Forecast'!AJ78,'2027 Forecast'!AJ78,'2028 Forecast'!AJ78)</f>
        <v>0</v>
      </c>
      <c r="AK78" s="547">
        <f>CHOOSE(MATCH('Lists and Mapping'!$C$10,'Lists and Mapping'!$B$3:$B$5,0),'2026 Forecast'!AK78,'2027 Forecast'!AK78,'2028 Forecast'!AK78)</f>
        <v>0</v>
      </c>
      <c r="AL78" s="546">
        <f>CHOOSE(MATCH('Lists and Mapping'!$C$10,'Lists and Mapping'!$B$3:$B$5,0),'2026 Forecast'!AL78,'2027 Forecast'!AL78,'2028 Forecast'!AL78)</f>
        <v>0</v>
      </c>
      <c r="AM78" s="546">
        <f>CHOOSE(MATCH('Lists and Mapping'!$C$10,'Lists and Mapping'!$B$3:$B$5,0),'2026 Forecast'!AM78,'2027 Forecast'!AM78,'2028 Forecast'!AM78)</f>
        <v>0</v>
      </c>
      <c r="AN78" s="547">
        <f>CHOOSE(MATCH('Lists and Mapping'!$C$10,'Lists and Mapping'!$B$3:$B$5,0),'2026 Forecast'!AN78,'2027 Forecast'!AN78,'2028 Forecast'!AN78)</f>
        <v>0</v>
      </c>
      <c r="AO78" s="446"/>
      <c r="AP78" s="446"/>
      <c r="AQ78" s="446"/>
      <c r="AR78" s="446"/>
      <c r="AS78" s="446"/>
      <c r="AT78" s="72"/>
      <c r="AU78" s="72"/>
      <c r="AV78" s="72"/>
      <c r="AW78" s="72"/>
      <c r="AX78" s="72"/>
      <c r="AY78" s="72"/>
      <c r="AZ78" s="72"/>
      <c r="BA78" s="72"/>
      <c r="BB78" s="72"/>
      <c r="BC78" s="72"/>
    </row>
    <row r="79" spans="1:55">
      <c r="C79" s="592" t="s">
        <v>253</v>
      </c>
      <c r="D79" s="593" t="s">
        <v>283</v>
      </c>
      <c r="E79" s="594">
        <f>CHOOSE(MATCH('Lists and Mapping'!$C$10,'Lists and Mapping'!$B$3:$B$5,0),'2026 Forecast'!E79,'2027 Forecast'!E79,'2028 Forecast'!E79)</f>
        <v>150.10472659870251</v>
      </c>
      <c r="F79" s="595">
        <f>CHOOSE(MATCH('Lists and Mapping'!$C$10,'Lists and Mapping'!$B$3:$B$5,0),'2026 Forecast'!F79,'2027 Forecast'!F79,'2028 Forecast'!F79)</f>
        <v>246.50000000000003</v>
      </c>
      <c r="G79" s="595">
        <f>CHOOSE(MATCH('Lists and Mapping'!$C$10,'Lists and Mapping'!$B$3:$B$5,0),'2026 Forecast'!G79,'2027 Forecast'!G79,'2028 Forecast'!G79)</f>
        <v>0</v>
      </c>
      <c r="H79" s="595">
        <f>CHOOSE(MATCH('Lists and Mapping'!$C$10,'Lists and Mapping'!$B$3:$B$5,0),'2026 Forecast'!H79,'2027 Forecast'!H79,'2028 Forecast'!H79)</f>
        <v>0</v>
      </c>
      <c r="I79" s="595">
        <f>CHOOSE(MATCH('Lists and Mapping'!$C$10,'Lists and Mapping'!$B$3:$B$5,0),'2026 Forecast'!I79,'2027 Forecast'!I79,'2028 Forecast'!I79)</f>
        <v>0</v>
      </c>
      <c r="J79" s="596">
        <f>CHOOSE(MATCH('Lists and Mapping'!$C$10,'Lists and Mapping'!$B$3:$B$5,0),'2026 Forecast'!J79,'2027 Forecast'!J79,'2028 Forecast'!J79)</f>
        <v>0</v>
      </c>
      <c r="K79" s="595">
        <f>CHOOSE(MATCH('Lists and Mapping'!$C$10,'Lists and Mapping'!$B$3:$B$5,0),'2026 Forecast'!K79,'2027 Forecast'!K79,'2028 Forecast'!K79)</f>
        <v>443922</v>
      </c>
      <c r="L79" s="597">
        <f>CHOOSE(MATCH('Lists and Mapping'!$C$10,'Lists and Mapping'!$B$3:$B$5,0),'2026 Forecast'!L79,'2027 Forecast'!L79,'2028 Forecast'!L79)</f>
        <v>0</v>
      </c>
      <c r="M79" s="598">
        <f>CHOOSE(MATCH('Lists and Mapping'!$C$10,'Lists and Mapping'!$B$3:$B$5,0),'2026 Forecast'!M79,'2027 Forecast'!M79,'2028 Forecast'!M79)</f>
        <v>0</v>
      </c>
      <c r="N79" s="598">
        <f>CHOOSE(MATCH('Lists and Mapping'!$C$10,'Lists and Mapping'!$B$3:$B$5,0),'2026 Forecast'!N79,'2027 Forecast'!N79,'2028 Forecast'!N79)</f>
        <v>0</v>
      </c>
      <c r="O79" s="599">
        <f>CHOOSE(MATCH('Lists and Mapping'!$C$10,'Lists and Mapping'!$B$3:$B$5,0),'2026 Forecast'!O79,'2027 Forecast'!O79,'2028 Forecast'!O79)</f>
        <v>0</v>
      </c>
      <c r="P79" s="600">
        <f>CHOOSE(MATCH('Lists and Mapping'!$C$10,'Lists and Mapping'!$B$3:$B$5,0),'2026 Forecast'!P79,'2027 Forecast'!P79,'2028 Forecast'!P79)</f>
        <v>0</v>
      </c>
      <c r="Q79" s="601">
        <f>CHOOSE(MATCH('Lists and Mapping'!$C$10,'Lists and Mapping'!$B$3:$B$5,0),'2026 Forecast'!Q79,'2027 Forecast'!Q79,'2028 Forecast'!Q79)</f>
        <v>0</v>
      </c>
      <c r="R79" s="601">
        <f>CHOOSE(MATCH('Lists and Mapping'!$C$10,'Lists and Mapping'!$B$3:$B$5,0),'2026 Forecast'!R79,'2027 Forecast'!R79,'2028 Forecast'!R79)</f>
        <v>0</v>
      </c>
      <c r="S79" s="601">
        <f>CHOOSE(MATCH('Lists and Mapping'!$C$10,'Lists and Mapping'!$B$3:$B$5,0),'2026 Forecast'!S79,'2027 Forecast'!S79,'2028 Forecast'!S79)</f>
        <v>0</v>
      </c>
      <c r="T79" s="601">
        <f>CHOOSE(MATCH('Lists and Mapping'!$C$10,'Lists and Mapping'!$B$3:$B$5,0),'2026 Forecast'!T79,'2027 Forecast'!T79,'2028 Forecast'!T79)</f>
        <v>0</v>
      </c>
      <c r="U79" s="601">
        <f>CHOOSE(MATCH('Lists and Mapping'!$C$10,'Lists and Mapping'!$B$3:$B$5,0),'2026 Forecast'!U79,'2027 Forecast'!U79,'2028 Forecast'!U79)</f>
        <v>60.695158079999985</v>
      </c>
      <c r="V79" s="602">
        <f>CHOOSE(MATCH('Lists and Mapping'!$C$10,'Lists and Mapping'!$B$3:$B$5,0),'2026 Forecast'!V79,'2027 Forecast'!V79,'2028 Forecast'!V79)</f>
        <v>60.695158079999985</v>
      </c>
      <c r="W79" s="601">
        <f>CHOOSE(MATCH('Lists and Mapping'!$C$10,'Lists and Mapping'!$B$3:$B$5,0),'2026 Forecast'!W79,'2027 Forecast'!W79,'2028 Forecast'!W79)</f>
        <v>0</v>
      </c>
      <c r="X79" s="601">
        <f>CHOOSE(MATCH('Lists and Mapping'!$C$10,'Lists and Mapping'!$B$3:$B$5,0),'2026 Forecast'!X79,'2027 Forecast'!X79,'2028 Forecast'!X79)</f>
        <v>0</v>
      </c>
      <c r="Y79" s="601">
        <f>CHOOSE(MATCH('Lists and Mapping'!$C$10,'Lists and Mapping'!$B$3:$B$5,0),'2026 Forecast'!Y79,'2027 Forecast'!Y79,'2028 Forecast'!Y79)</f>
        <v>0</v>
      </c>
      <c r="Z79" s="602">
        <f>CHOOSE(MATCH('Lists and Mapping'!$C$10,'Lists and Mapping'!$B$3:$B$5,0),'2026 Forecast'!Z79,'2027 Forecast'!Z79,'2028 Forecast'!Z79)</f>
        <v>0</v>
      </c>
      <c r="AA79" s="603">
        <f>CHOOSE(MATCH('Lists and Mapping'!$C$10,'Lists and Mapping'!$B$3:$B$5,0),'2026 Forecast'!AA79,'2027 Forecast'!AA79,'2028 Forecast'!AA79)</f>
        <v>60.695158079999985</v>
      </c>
      <c r="AB79" s="604">
        <f>CHOOSE(MATCH('Lists and Mapping'!$C$10,'Lists and Mapping'!$B$3:$B$5,0),'2026 Forecast'!AB79,'2027 Forecast'!AB79,'2028 Forecast'!AB79)</f>
        <v>27.163833361164219</v>
      </c>
      <c r="AC79" s="604">
        <f>CHOOSE(MATCH('Lists and Mapping'!$C$10,'Lists and Mapping'!$B$3:$B$5,0),'2026 Forecast'!AC79,'2027 Forecast'!AC79,'2028 Forecast'!AC79)</f>
        <v>11.522326992427031</v>
      </c>
      <c r="AD79" s="604">
        <f>CHOOSE(MATCH('Lists and Mapping'!$C$10,'Lists and Mapping'!$B$3:$B$5,0),'2026 Forecast'!AD79,'2027 Forecast'!AD79,'2028 Forecast'!AD79)</f>
        <v>1.412445</v>
      </c>
      <c r="AE79" s="604">
        <f>CHOOSE(MATCH('Lists and Mapping'!$C$10,'Lists and Mapping'!$B$3:$B$5,0),'2026 Forecast'!AE79,'2027 Forecast'!AE79,'2028 Forecast'!AE79)</f>
        <v>2.8786270000000016</v>
      </c>
      <c r="AF79" s="602">
        <f>CHOOSE(MATCH('Lists and Mapping'!$C$10,'Lists and Mapping'!$B$3:$B$5,0),'2026 Forecast'!AF79,'2027 Forecast'!AF79,'2028 Forecast'!AF79)</f>
        <v>2.1174349999999998E-2</v>
      </c>
      <c r="AG79" s="602">
        <f>CHOOSE(MATCH('Lists and Mapping'!$C$10,'Lists and Mapping'!$B$3:$B$5,0),'2026 Forecast'!AG79,'2027 Forecast'!AG79,'2028 Forecast'!AG79)</f>
        <v>103.69356478359123</v>
      </c>
      <c r="AH79" s="605">
        <f>CHOOSE(MATCH('Lists and Mapping'!$C$10,'Lists and Mapping'!$B$3:$B$5,0),'2026 Forecast'!AH79,'2027 Forecast'!AH79,'2028 Forecast'!AH79)</f>
        <v>24.62278218255577</v>
      </c>
      <c r="AI79" s="605">
        <f>CHOOSE(MATCH('Lists and Mapping'!$C$10,'Lists and Mapping'!$B$3:$B$5,0),'2026 Forecast'!AI79,'2027 Forecast'!AI79,'2028 Forecast'!AI79)</f>
        <v>11.019810694184267</v>
      </c>
      <c r="AJ79" s="605">
        <f>CHOOSE(MATCH('Lists and Mapping'!$C$10,'Lists and Mapping'!$B$3:$B$5,0),'2026 Forecast'!AJ79,'2027 Forecast'!AJ79,'2028 Forecast'!AJ79)</f>
        <v>4.6743720050413913</v>
      </c>
      <c r="AK79" s="606">
        <f>CHOOSE(MATCH('Lists and Mapping'!$C$10,'Lists and Mapping'!$B$3:$B$5,0),'2026 Forecast'!AK79,'2027 Forecast'!AK79,'2028 Forecast'!AK79)</f>
        <v>42.066354881781429</v>
      </c>
      <c r="AL79" s="607">
        <f>CHOOSE(MATCH('Lists and Mapping'!$C$10,'Lists and Mapping'!$B$3:$B$5,0),'2026 Forecast'!AL79,'2027 Forecast'!AL79,'2028 Forecast'!AL79)</f>
        <v>1.1678000000000004</v>
      </c>
      <c r="AM79" s="607">
        <f>CHOOSE(MATCH('Lists and Mapping'!$C$10,'Lists and Mapping'!$B$3:$B$5,0),'2026 Forecast'!AM79,'2027 Forecast'!AM79,'2028 Forecast'!AM79)</f>
        <v>8.5899999999999987E-3</v>
      </c>
      <c r="AN79" s="606">
        <f>CHOOSE(MATCH('Lists and Mapping'!$C$10,'Lists and Mapping'!$B$3:$B$5,0),'2026 Forecast'!AN79,'2027 Forecast'!AN79,'2028 Forecast'!AN79)</f>
        <v>42.066354881781429</v>
      </c>
      <c r="AO79" s="446"/>
      <c r="AP79" s="446"/>
      <c r="AQ79" s="446"/>
      <c r="AR79" s="446"/>
      <c r="AS79" s="446"/>
      <c r="AT79" s="72"/>
      <c r="AU79" s="72"/>
      <c r="AV79" s="72"/>
      <c r="AW79" s="72"/>
      <c r="AX79" s="72"/>
      <c r="AY79" s="72"/>
      <c r="AZ79" s="72"/>
      <c r="BA79" s="72"/>
      <c r="BB79" s="72"/>
      <c r="BC79" s="72"/>
    </row>
    <row r="80" spans="1:55">
      <c r="B80" s="529" t="str">
        <f>D80</f>
        <v>PLGUM 050</v>
      </c>
      <c r="C80" s="452"/>
      <c r="D80" s="590" t="s">
        <v>128</v>
      </c>
      <c r="E80" s="531">
        <f>CHOOSE(MATCH('Lists and Mapping'!$C$10,'Lists and Mapping'!$B$3:$B$5,0),'2026 Forecast'!E80,'2027 Forecast'!E80,'2028 Forecast'!E80)</f>
        <v>0</v>
      </c>
      <c r="F80" s="608">
        <f>CHOOSE(MATCH('Lists and Mapping'!$C$10,'Lists and Mapping'!$B$3:$B$5,0),'2026 Forecast'!F80,'2027 Forecast'!F80,'2028 Forecast'!F80)</f>
        <v>2.8478212785887747E-2</v>
      </c>
      <c r="G80" s="533">
        <f>CHOOSE(MATCH('Lists and Mapping'!$C$10,'Lists and Mapping'!$B$3:$B$5,0),'2026 Forecast'!G80,'2027 Forecast'!G80,'2028 Forecast'!G80)</f>
        <v>0</v>
      </c>
      <c r="H80" s="533">
        <f>CHOOSE(MATCH('Lists and Mapping'!$C$10,'Lists and Mapping'!$B$3:$B$5,0),'2026 Forecast'!H80,'2027 Forecast'!H80,'2028 Forecast'!H80)</f>
        <v>0</v>
      </c>
      <c r="I80" s="533">
        <f>CHOOSE(MATCH('Lists and Mapping'!$C$10,'Lists and Mapping'!$B$3:$B$5,0),'2026 Forecast'!I80,'2027 Forecast'!I80,'2028 Forecast'!I80)</f>
        <v>0</v>
      </c>
      <c r="J80" s="535">
        <f>CHOOSE(MATCH('Lists and Mapping'!$C$10,'Lists and Mapping'!$B$3:$B$5,0),'2026 Forecast'!J80,'2027 Forecast'!J80,'2028 Forecast'!J80)</f>
        <v>0</v>
      </c>
      <c r="K80" s="535">
        <f>CHOOSE(MATCH('Lists and Mapping'!$C$10,'Lists and Mapping'!$B$3:$B$5,0),'2026 Forecast'!K80,'2027 Forecast'!K80,'2028 Forecast'!K80)</f>
        <v>131</v>
      </c>
      <c r="L80" s="535">
        <f>CHOOSE(MATCH('Lists and Mapping'!$C$10,'Lists and Mapping'!$B$3:$B$5,0),'2026 Forecast'!L80,'2027 Forecast'!L80,'2028 Forecast'!L80)</f>
        <v>0</v>
      </c>
      <c r="M80" s="537">
        <f>CHOOSE(MATCH('Lists and Mapping'!$C$10,'Lists and Mapping'!$B$3:$B$5,0),'2026 Forecast'!M80,'2027 Forecast'!M80,'2028 Forecast'!M80)</f>
        <v>0</v>
      </c>
      <c r="N80" s="537">
        <f>CHOOSE(MATCH('Lists and Mapping'!$C$10,'Lists and Mapping'!$B$3:$B$5,0),'2026 Forecast'!N80,'2027 Forecast'!N80,'2028 Forecast'!N80)</f>
        <v>0</v>
      </c>
      <c r="O80" s="535">
        <f>CHOOSE(MATCH('Lists and Mapping'!$C$10,'Lists and Mapping'!$B$3:$B$5,0),'2026 Forecast'!O80,'2027 Forecast'!O80,'2028 Forecast'!O80)</f>
        <v>0</v>
      </c>
      <c r="P80" s="538">
        <f>CHOOSE(MATCH('Lists and Mapping'!$C$10,'Lists and Mapping'!$B$3:$B$5,0),'2026 Forecast'!P80,'2027 Forecast'!P80,'2028 Forecast'!P80)</f>
        <v>0</v>
      </c>
      <c r="Q80" s="539">
        <f>CHOOSE(MATCH('Lists and Mapping'!$C$10,'Lists and Mapping'!$B$3:$B$5,0),'2026 Forecast'!Q80,'2027 Forecast'!Q80,'2028 Forecast'!Q80)</f>
        <v>0</v>
      </c>
      <c r="R80" s="539">
        <f>CHOOSE(MATCH('Lists and Mapping'!$C$10,'Lists and Mapping'!$B$3:$B$5,0),'2026 Forecast'!R80,'2027 Forecast'!R80,'2028 Forecast'!R80)</f>
        <v>0</v>
      </c>
      <c r="S80" s="539">
        <f>CHOOSE(MATCH('Lists and Mapping'!$C$10,'Lists and Mapping'!$B$3:$B$5,0),'2026 Forecast'!S80,'2027 Forecast'!S80,'2028 Forecast'!S80)</f>
        <v>0</v>
      </c>
      <c r="T80" s="539">
        <f>CHOOSE(MATCH('Lists and Mapping'!$C$10,'Lists and Mapping'!$B$3:$B$5,0),'2026 Forecast'!T80,'2027 Forecast'!T80,'2028 Forecast'!T80)</f>
        <v>0</v>
      </c>
      <c r="U80" s="539">
        <f>CHOOSE(MATCH('Lists and Mapping'!$C$10,'Lists and Mapping'!$B$3:$B$5,0),'2026 Forecast'!U80,'2027 Forecast'!U80,'2028 Forecast'!U80)</f>
        <v>1.5035999999999999E-2</v>
      </c>
      <c r="V80" s="540">
        <f>CHOOSE(MATCH('Lists and Mapping'!$C$10,'Lists and Mapping'!$B$3:$B$5,0),'2026 Forecast'!V80,'2027 Forecast'!V80,'2028 Forecast'!V80)</f>
        <v>1.5035999999999999E-2</v>
      </c>
      <c r="W80" s="542">
        <f>CHOOSE(MATCH('Lists and Mapping'!$C$10,'Lists and Mapping'!$B$3:$B$5,0),'2026 Forecast'!W80,'2027 Forecast'!W80,'2028 Forecast'!W80)</f>
        <v>0</v>
      </c>
      <c r="X80" s="542">
        <f>CHOOSE(MATCH('Lists and Mapping'!$C$10,'Lists and Mapping'!$B$3:$B$5,0),'2026 Forecast'!X80,'2027 Forecast'!X80,'2028 Forecast'!X80)</f>
        <v>0</v>
      </c>
      <c r="Y80" s="542">
        <f>CHOOSE(MATCH('Lists and Mapping'!$C$10,'Lists and Mapping'!$B$3:$B$5,0),'2026 Forecast'!Y80,'2027 Forecast'!Y80,'2028 Forecast'!Y80)</f>
        <v>0</v>
      </c>
      <c r="Z80" s="540">
        <f>CHOOSE(MATCH('Lists and Mapping'!$C$10,'Lists and Mapping'!$B$3:$B$5,0),'2026 Forecast'!Z80,'2027 Forecast'!Z80,'2028 Forecast'!Z80)</f>
        <v>0</v>
      </c>
      <c r="AA80" s="609">
        <f>CHOOSE(MATCH('Lists and Mapping'!$C$10,'Lists and Mapping'!$B$3:$B$5,0),'2026 Forecast'!AA80,'2027 Forecast'!AA80,'2028 Forecast'!AA80)</f>
        <v>1.5035999999999999E-2</v>
      </c>
      <c r="AB80" s="570">
        <f>CHOOSE(MATCH('Lists and Mapping'!$C$10,'Lists and Mapping'!$B$3:$B$5,0),'2026 Forecast'!AB80,'2027 Forecast'!AB80,'2028 Forecast'!AB80)</f>
        <v>3.1382451380918097E-3</v>
      </c>
      <c r="AC80" s="570">
        <f>CHOOSE(MATCH('Lists and Mapping'!$C$10,'Lists and Mapping'!$B$3:$B$5,0),'2026 Forecast'!AC80,'2027 Forecast'!AC80,'2028 Forecast'!AC80)</f>
        <v>1.3311776059996552E-3</v>
      </c>
      <c r="AD80" s="570">
        <f>CHOOSE(MATCH('Lists and Mapping'!$C$10,'Lists and Mapping'!$B$3:$B$5,0),'2026 Forecast'!AD80,'2027 Forecast'!AD80,'2028 Forecast'!AD80)</f>
        <v>1.6318015926313677E-4</v>
      </c>
      <c r="AE80" s="570">
        <f>CHOOSE(MATCH('Lists and Mapping'!$C$10,'Lists and Mapping'!$B$3:$B$5,0),'2026 Forecast'!AE80,'2027 Forecast'!AE80,'2028 Forecast'!AE80)</f>
        <v>3.325685689135971E-4</v>
      </c>
      <c r="AF80" s="543">
        <f>CHOOSE(MATCH('Lists and Mapping'!$C$10,'Lists and Mapping'!$B$3:$B$5,0),'2026 Forecast'!AF80,'2027 Forecast'!AF80,'2028 Forecast'!AF80)</f>
        <v>2.446278478307757E-6</v>
      </c>
      <c r="AG80" s="545">
        <f>CHOOSE(MATCH('Lists and Mapping'!$C$10,'Lists and Mapping'!$B$3:$B$5,0),'2026 Forecast'!AG80,'2027 Forecast'!AG80,'2028 Forecast'!AG80)</f>
        <v>2.0003617750746508E-2</v>
      </c>
      <c r="AH80" s="546">
        <f>CHOOSE(MATCH('Lists and Mapping'!$C$10,'Lists and Mapping'!$B$3:$B$5,0),'2026 Forecast'!AH80,'2027 Forecast'!AH80,'2028 Forecast'!AH80)</f>
        <v>52.798257085328835</v>
      </c>
      <c r="AI80" s="546">
        <f>CHOOSE(MATCH('Lists and Mapping'!$C$10,'Lists and Mapping'!$B$3:$B$5,0),'2026 Forecast'!AI80,'2027 Forecast'!AI80,'2028 Forecast'!AI80)</f>
        <v>11.019810694184269</v>
      </c>
      <c r="AJ80" s="546">
        <f>CHOOSE(MATCH('Lists and Mapping'!$C$10,'Lists and Mapping'!$B$3:$B$5,0),'2026 Forecast'!AJ80,'2027 Forecast'!AJ80,'2028 Forecast'!AJ80)</f>
        <v>4.6743720050413922</v>
      </c>
      <c r="AK80" s="547">
        <f>CHOOSE(MATCH('Lists and Mapping'!$C$10,'Lists and Mapping'!$B$3:$B$5,0),'2026 Forecast'!AK80,'2027 Forecast'!AK80,'2028 Forecast'!AK80)</f>
        <v>70.241829784554497</v>
      </c>
      <c r="AL80" s="546">
        <f>CHOOSE(MATCH('Lists and Mapping'!$C$10,'Lists and Mapping'!$B$3:$B$5,0),'2026 Forecast'!AL80,'2027 Forecast'!AL80,'2028 Forecast'!AL80)</f>
        <v>1.1678000000000002</v>
      </c>
      <c r="AM80" s="546">
        <f>CHOOSE(MATCH('Lists and Mapping'!$C$10,'Lists and Mapping'!$B$3:$B$5,0),'2026 Forecast'!AM80,'2027 Forecast'!AM80,'2028 Forecast'!AM80)</f>
        <v>8.5899999999999987E-3</v>
      </c>
      <c r="AN80" s="547">
        <f>CHOOSE(MATCH('Lists and Mapping'!$C$10,'Lists and Mapping'!$B$3:$B$5,0),'2026 Forecast'!AN80,'2027 Forecast'!AN80,'2028 Forecast'!AN80)</f>
        <v>70.241829784554497</v>
      </c>
      <c r="AO80" s="446"/>
      <c r="AP80" s="446"/>
      <c r="AQ80" s="446"/>
      <c r="AR80" s="446"/>
      <c r="AS80" s="446"/>
      <c r="AT80" s="72"/>
      <c r="AU80" s="72"/>
      <c r="AV80" s="72"/>
      <c r="AW80" s="72"/>
      <c r="AX80" s="72"/>
      <c r="AY80" s="72"/>
      <c r="AZ80" s="72"/>
      <c r="BA80" s="72"/>
      <c r="BB80" s="72"/>
    </row>
    <row r="81" spans="2:55">
      <c r="B81" s="529" t="str">
        <f t="shared" ref="B81:B86" si="1">D81</f>
        <v>PLGUM 051</v>
      </c>
      <c r="C81" s="452"/>
      <c r="D81" s="590" t="s">
        <v>129</v>
      </c>
      <c r="E81" s="531">
        <f>CHOOSE(MATCH('Lists and Mapping'!$C$10,'Lists and Mapping'!$B$3:$B$5,0),'2026 Forecast'!E81,'2027 Forecast'!E81,'2028 Forecast'!E81)</f>
        <v>0</v>
      </c>
      <c r="F81" s="608">
        <f>CHOOSE(MATCH('Lists and Mapping'!$C$10,'Lists and Mapping'!$B$3:$B$5,0),'2026 Forecast'!F81,'2027 Forecast'!F81,'2028 Forecast'!F81)</f>
        <v>5.8379784521554463E-2</v>
      </c>
      <c r="G81" s="533">
        <f>CHOOSE(MATCH('Lists and Mapping'!$C$10,'Lists and Mapping'!$B$3:$B$5,0),'2026 Forecast'!G81,'2027 Forecast'!G81,'2028 Forecast'!G81)</f>
        <v>0</v>
      </c>
      <c r="H81" s="533">
        <f>CHOOSE(MATCH('Lists and Mapping'!$C$10,'Lists and Mapping'!$B$3:$B$5,0),'2026 Forecast'!H81,'2027 Forecast'!H81,'2028 Forecast'!H81)</f>
        <v>0</v>
      </c>
      <c r="I81" s="533">
        <f>CHOOSE(MATCH('Lists and Mapping'!$C$10,'Lists and Mapping'!$B$3:$B$5,0),'2026 Forecast'!I81,'2027 Forecast'!I81,'2028 Forecast'!I81)</f>
        <v>0</v>
      </c>
      <c r="J81" s="535">
        <f>CHOOSE(MATCH('Lists and Mapping'!$C$10,'Lists and Mapping'!$B$3:$B$5,0),'2026 Forecast'!J81,'2027 Forecast'!J81,'2028 Forecast'!J81)</f>
        <v>0</v>
      </c>
      <c r="K81" s="535">
        <f>CHOOSE(MATCH('Lists and Mapping'!$C$10,'Lists and Mapping'!$B$3:$B$5,0),'2026 Forecast'!K81,'2027 Forecast'!K81,'2028 Forecast'!K81)</f>
        <v>191</v>
      </c>
      <c r="L81" s="535">
        <f>CHOOSE(MATCH('Lists and Mapping'!$C$10,'Lists and Mapping'!$B$3:$B$5,0),'2026 Forecast'!L81,'2027 Forecast'!L81,'2028 Forecast'!L81)</f>
        <v>0</v>
      </c>
      <c r="M81" s="537">
        <f>CHOOSE(MATCH('Lists and Mapping'!$C$10,'Lists and Mapping'!$B$3:$B$5,0),'2026 Forecast'!M81,'2027 Forecast'!M81,'2028 Forecast'!M81)</f>
        <v>0</v>
      </c>
      <c r="N81" s="537">
        <f>CHOOSE(MATCH('Lists and Mapping'!$C$10,'Lists and Mapping'!$B$3:$B$5,0),'2026 Forecast'!N81,'2027 Forecast'!N81,'2028 Forecast'!N81)</f>
        <v>0</v>
      </c>
      <c r="O81" s="535">
        <f>CHOOSE(MATCH('Lists and Mapping'!$C$10,'Lists and Mapping'!$B$3:$B$5,0),'2026 Forecast'!O81,'2027 Forecast'!O81,'2028 Forecast'!O81)</f>
        <v>0</v>
      </c>
      <c r="P81" s="538">
        <f>CHOOSE(MATCH('Lists and Mapping'!$C$10,'Lists and Mapping'!$B$3:$B$5,0),'2026 Forecast'!P81,'2027 Forecast'!P81,'2028 Forecast'!P81)</f>
        <v>0</v>
      </c>
      <c r="Q81" s="539">
        <f>CHOOSE(MATCH('Lists and Mapping'!$C$10,'Lists and Mapping'!$B$3:$B$5,0),'2026 Forecast'!Q81,'2027 Forecast'!Q81,'2028 Forecast'!Q81)</f>
        <v>0</v>
      </c>
      <c r="R81" s="539">
        <f>CHOOSE(MATCH('Lists and Mapping'!$C$10,'Lists and Mapping'!$B$3:$B$5,0),'2026 Forecast'!R81,'2027 Forecast'!R81,'2028 Forecast'!R81)</f>
        <v>0</v>
      </c>
      <c r="S81" s="539">
        <f>CHOOSE(MATCH('Lists and Mapping'!$C$10,'Lists and Mapping'!$B$3:$B$5,0),'2026 Forecast'!S81,'2027 Forecast'!S81,'2028 Forecast'!S81)</f>
        <v>0</v>
      </c>
      <c r="T81" s="539">
        <f>CHOOSE(MATCH('Lists and Mapping'!$C$10,'Lists and Mapping'!$B$3:$B$5,0),'2026 Forecast'!T81,'2027 Forecast'!T81,'2028 Forecast'!T81)</f>
        <v>0</v>
      </c>
      <c r="U81" s="539">
        <f>CHOOSE(MATCH('Lists and Mapping'!$C$10,'Lists and Mapping'!$B$3:$B$5,0),'2026 Forecast'!U81,'2027 Forecast'!U81,'2028 Forecast'!U81)</f>
        <v>2.2927200000000002E-2</v>
      </c>
      <c r="V81" s="540">
        <f>CHOOSE(MATCH('Lists and Mapping'!$C$10,'Lists and Mapping'!$B$3:$B$5,0),'2026 Forecast'!V81,'2027 Forecast'!V81,'2028 Forecast'!V81)</f>
        <v>2.2927200000000002E-2</v>
      </c>
      <c r="W81" s="542">
        <f>CHOOSE(MATCH('Lists and Mapping'!$C$10,'Lists and Mapping'!$B$3:$B$5,0),'2026 Forecast'!W81,'2027 Forecast'!W81,'2028 Forecast'!W81)</f>
        <v>0</v>
      </c>
      <c r="X81" s="542">
        <f>CHOOSE(MATCH('Lists and Mapping'!$C$10,'Lists and Mapping'!$B$3:$B$5,0),'2026 Forecast'!X81,'2027 Forecast'!X81,'2028 Forecast'!X81)</f>
        <v>0</v>
      </c>
      <c r="Y81" s="542">
        <f>CHOOSE(MATCH('Lists and Mapping'!$C$10,'Lists and Mapping'!$B$3:$B$5,0),'2026 Forecast'!Y81,'2027 Forecast'!Y81,'2028 Forecast'!Y81)</f>
        <v>0</v>
      </c>
      <c r="Z81" s="540">
        <f>CHOOSE(MATCH('Lists and Mapping'!$C$10,'Lists and Mapping'!$B$3:$B$5,0),'2026 Forecast'!Z81,'2027 Forecast'!Z81,'2028 Forecast'!Z81)</f>
        <v>0</v>
      </c>
      <c r="AA81" s="543">
        <f>CHOOSE(MATCH('Lists and Mapping'!$C$10,'Lists and Mapping'!$B$3:$B$5,0),'2026 Forecast'!AA81,'2027 Forecast'!AA81,'2028 Forecast'!AA81)</f>
        <v>2.2927200000000002E-2</v>
      </c>
      <c r="AB81" s="570">
        <f>CHOOSE(MATCH('Lists and Mapping'!$C$10,'Lists and Mapping'!$B$3:$B$5,0),'2026 Forecast'!AB81,'2027 Forecast'!AB81,'2028 Forecast'!AB81)</f>
        <v>6.4333417379479913E-3</v>
      </c>
      <c r="AC81" s="570">
        <f>CHOOSE(MATCH('Lists and Mapping'!$C$10,'Lists and Mapping'!$B$3:$B$5,0),'2026 Forecast'!AC81,'2027 Forecast'!AC81,'2028 Forecast'!AC81)</f>
        <v>2.72888830427903E-3</v>
      </c>
      <c r="AD81" s="570">
        <f>CHOOSE(MATCH('Lists and Mapping'!$C$10,'Lists and Mapping'!$B$3:$B$5,0),'2026 Forecast'!AD81,'2027 Forecast'!AD81,'2028 Forecast'!AD81)</f>
        <v>3.3451616530850704E-4</v>
      </c>
      <c r="AE81" s="570">
        <f>CHOOSE(MATCH('Lists and Mapping'!$C$10,'Lists and Mapping'!$B$3:$B$5,0),'2026 Forecast'!AE81,'2027 Forecast'!AE81,'2028 Forecast'!AE81)</f>
        <v>6.8175912364271303E-4</v>
      </c>
      <c r="AF81" s="543">
        <f>CHOOSE(MATCH('Lists and Mapping'!$C$10,'Lists and Mapping'!$B$3:$B$5,0),'2026 Forecast'!AF81,'2027 Forecast'!AF81,'2028 Forecast'!AF81)</f>
        <v>5.0148234904015276E-6</v>
      </c>
      <c r="AG81" s="545">
        <f>CHOOSE(MATCH('Lists and Mapping'!$C$10,'Lists and Mapping'!$B$3:$B$5,0),'2026 Forecast'!AG81,'2027 Forecast'!AG81,'2028 Forecast'!AG81)</f>
        <v>3.3110720154668642E-2</v>
      </c>
      <c r="AH81" s="546">
        <f>CHOOSE(MATCH('Lists and Mapping'!$C$10,'Lists and Mapping'!$B$3:$B$5,0),'2026 Forecast'!AH81,'2027 Forecast'!AH81,'2028 Forecast'!AH81)</f>
        <v>39.272498499090943</v>
      </c>
      <c r="AI81" s="546">
        <f>CHOOSE(MATCH('Lists and Mapping'!$C$10,'Lists and Mapping'!$B$3:$B$5,0),'2026 Forecast'!AI81,'2027 Forecast'!AI81,'2028 Forecast'!AI81)</f>
        <v>11.019810694184269</v>
      </c>
      <c r="AJ81" s="546">
        <f>CHOOSE(MATCH('Lists and Mapping'!$C$10,'Lists and Mapping'!$B$3:$B$5,0),'2026 Forecast'!AJ81,'2027 Forecast'!AJ81,'2028 Forecast'!AJ81)</f>
        <v>4.6743720050413922</v>
      </c>
      <c r="AK81" s="547">
        <f>CHOOSE(MATCH('Lists and Mapping'!$C$10,'Lists and Mapping'!$B$3:$B$5,0),'2026 Forecast'!AK81,'2027 Forecast'!AK81,'2028 Forecast'!AK81)</f>
        <v>56.716071198316598</v>
      </c>
      <c r="AL81" s="546">
        <f>CHOOSE(MATCH('Lists and Mapping'!$C$10,'Lists and Mapping'!$B$3:$B$5,0),'2026 Forecast'!AL81,'2027 Forecast'!AL81,'2028 Forecast'!AL81)</f>
        <v>1.1678000000000002</v>
      </c>
      <c r="AM81" s="546">
        <f>CHOOSE(MATCH('Lists and Mapping'!$C$10,'Lists and Mapping'!$B$3:$B$5,0),'2026 Forecast'!AM81,'2027 Forecast'!AM81,'2028 Forecast'!AM81)</f>
        <v>8.5899999999999987E-3</v>
      </c>
      <c r="AN81" s="547">
        <f>CHOOSE(MATCH('Lists and Mapping'!$C$10,'Lists and Mapping'!$B$3:$B$5,0),'2026 Forecast'!AN81,'2027 Forecast'!AN81,'2028 Forecast'!AN81)</f>
        <v>56.716071198316598</v>
      </c>
      <c r="AO81" s="446"/>
      <c r="AP81" s="446"/>
      <c r="AQ81" s="446"/>
      <c r="AR81" s="446"/>
      <c r="AS81" s="446"/>
      <c r="AT81" s="72"/>
      <c r="AU81" s="72"/>
      <c r="AV81" s="72"/>
      <c r="AW81" s="72"/>
      <c r="AX81" s="72"/>
      <c r="AY81" s="72"/>
      <c r="AZ81" s="72"/>
      <c r="BA81" s="72"/>
      <c r="BB81" s="72"/>
    </row>
    <row r="82" spans="2:55">
      <c r="B82" s="529" t="str">
        <f t="shared" si="1"/>
        <v>PLGUM 052</v>
      </c>
      <c r="C82" s="452"/>
      <c r="D82" s="590" t="s">
        <v>130</v>
      </c>
      <c r="E82" s="531">
        <f>CHOOSE(MATCH('Lists and Mapping'!$C$10,'Lists and Mapping'!$B$3:$B$5,0),'2026 Forecast'!E82,'2027 Forecast'!E82,'2028 Forecast'!E82)</f>
        <v>0</v>
      </c>
      <c r="F82" s="608">
        <f>CHOOSE(MATCH('Lists and Mapping'!$C$10,'Lists and Mapping'!$B$3:$B$5,0),'2026 Forecast'!F82,'2027 Forecast'!F82,'2028 Forecast'!F82)</f>
        <v>0.28185817342716102</v>
      </c>
      <c r="G82" s="533">
        <f>CHOOSE(MATCH('Lists and Mapping'!$C$10,'Lists and Mapping'!$B$3:$B$5,0),'2026 Forecast'!G82,'2027 Forecast'!G82,'2028 Forecast'!G82)</f>
        <v>0</v>
      </c>
      <c r="H82" s="533">
        <f>CHOOSE(MATCH('Lists and Mapping'!$C$10,'Lists and Mapping'!$B$3:$B$5,0),'2026 Forecast'!H82,'2027 Forecast'!H82,'2028 Forecast'!H82)</f>
        <v>0</v>
      </c>
      <c r="I82" s="533">
        <f>CHOOSE(MATCH('Lists and Mapping'!$C$10,'Lists and Mapping'!$B$3:$B$5,0),'2026 Forecast'!I82,'2027 Forecast'!I82,'2028 Forecast'!I82)</f>
        <v>0</v>
      </c>
      <c r="J82" s="535">
        <f>CHOOSE(MATCH('Lists and Mapping'!$C$10,'Lists and Mapping'!$B$3:$B$5,0),'2026 Forecast'!J82,'2027 Forecast'!J82,'2028 Forecast'!J82)</f>
        <v>0</v>
      </c>
      <c r="K82" s="535">
        <f>CHOOSE(MATCH('Lists and Mapping'!$C$10,'Lists and Mapping'!$B$3:$B$5,0),'2026 Forecast'!K82,'2027 Forecast'!K82,'2028 Forecast'!K82)</f>
        <v>655</v>
      </c>
      <c r="L82" s="535">
        <f>CHOOSE(MATCH('Lists and Mapping'!$C$10,'Lists and Mapping'!$B$3:$B$5,0),'2026 Forecast'!L82,'2027 Forecast'!L82,'2028 Forecast'!L82)</f>
        <v>0</v>
      </c>
      <c r="M82" s="537">
        <f>CHOOSE(MATCH('Lists and Mapping'!$C$10,'Lists and Mapping'!$B$3:$B$5,0),'2026 Forecast'!M82,'2027 Forecast'!M82,'2028 Forecast'!M82)</f>
        <v>0</v>
      </c>
      <c r="N82" s="537">
        <f>CHOOSE(MATCH('Lists and Mapping'!$C$10,'Lists and Mapping'!$B$3:$B$5,0),'2026 Forecast'!N82,'2027 Forecast'!N82,'2028 Forecast'!N82)</f>
        <v>0</v>
      </c>
      <c r="O82" s="535">
        <f>CHOOSE(MATCH('Lists and Mapping'!$C$10,'Lists and Mapping'!$B$3:$B$5,0),'2026 Forecast'!O82,'2027 Forecast'!O82,'2028 Forecast'!O82)</f>
        <v>0</v>
      </c>
      <c r="P82" s="538">
        <f>CHOOSE(MATCH('Lists and Mapping'!$C$10,'Lists and Mapping'!$B$3:$B$5,0),'2026 Forecast'!P82,'2027 Forecast'!P82,'2028 Forecast'!P82)</f>
        <v>0</v>
      </c>
      <c r="Q82" s="539">
        <f>CHOOSE(MATCH('Lists and Mapping'!$C$10,'Lists and Mapping'!$B$3:$B$5,0),'2026 Forecast'!Q82,'2027 Forecast'!Q82,'2028 Forecast'!Q82)</f>
        <v>0</v>
      </c>
      <c r="R82" s="539">
        <f>CHOOSE(MATCH('Lists and Mapping'!$C$10,'Lists and Mapping'!$B$3:$B$5,0),'2026 Forecast'!R82,'2027 Forecast'!R82,'2028 Forecast'!R82)</f>
        <v>0</v>
      </c>
      <c r="S82" s="539">
        <f>CHOOSE(MATCH('Lists and Mapping'!$C$10,'Lists and Mapping'!$B$3:$B$5,0),'2026 Forecast'!S82,'2027 Forecast'!S82,'2028 Forecast'!S82)</f>
        <v>0</v>
      </c>
      <c r="T82" s="539">
        <f>CHOOSE(MATCH('Lists and Mapping'!$C$10,'Lists and Mapping'!$B$3:$B$5,0),'2026 Forecast'!T82,'2027 Forecast'!T82,'2028 Forecast'!T82)</f>
        <v>0</v>
      </c>
      <c r="U82" s="539">
        <f>CHOOSE(MATCH('Lists and Mapping'!$C$10,'Lists and Mapping'!$B$3:$B$5,0),'2026 Forecast'!U82,'2027 Forecast'!U82,'2028 Forecast'!U82)</f>
        <v>8.8112399999999994E-2</v>
      </c>
      <c r="V82" s="540">
        <f>CHOOSE(MATCH('Lists and Mapping'!$C$10,'Lists and Mapping'!$B$3:$B$5,0),'2026 Forecast'!V82,'2027 Forecast'!V82,'2028 Forecast'!V82)</f>
        <v>8.8112399999999994E-2</v>
      </c>
      <c r="W82" s="542">
        <f>CHOOSE(MATCH('Lists and Mapping'!$C$10,'Lists and Mapping'!$B$3:$B$5,0),'2026 Forecast'!W82,'2027 Forecast'!W82,'2028 Forecast'!W82)</f>
        <v>0</v>
      </c>
      <c r="X82" s="542">
        <f>CHOOSE(MATCH('Lists and Mapping'!$C$10,'Lists and Mapping'!$B$3:$B$5,0),'2026 Forecast'!X82,'2027 Forecast'!X82,'2028 Forecast'!X82)</f>
        <v>0</v>
      </c>
      <c r="Y82" s="542">
        <f>CHOOSE(MATCH('Lists and Mapping'!$C$10,'Lists and Mapping'!$B$3:$B$5,0),'2026 Forecast'!Y82,'2027 Forecast'!Y82,'2028 Forecast'!Y82)</f>
        <v>0</v>
      </c>
      <c r="Z82" s="540">
        <f>CHOOSE(MATCH('Lists and Mapping'!$C$10,'Lists and Mapping'!$B$3:$B$5,0),'2026 Forecast'!Z82,'2027 Forecast'!Z82,'2028 Forecast'!Z82)</f>
        <v>0</v>
      </c>
      <c r="AA82" s="543">
        <f>CHOOSE(MATCH('Lists and Mapping'!$C$10,'Lists and Mapping'!$B$3:$B$5,0),'2026 Forecast'!AA82,'2027 Forecast'!AA82,'2028 Forecast'!AA82)</f>
        <v>8.8112399999999994E-2</v>
      </c>
      <c r="AB82" s="570">
        <f>CHOOSE(MATCH('Lists and Mapping'!$C$10,'Lists and Mapping'!$B$3:$B$5,0),'2026 Forecast'!AB82,'2027 Forecast'!AB82,'2028 Forecast'!AB82)</f>
        <v>3.1060237137758732E-2</v>
      </c>
      <c r="AC82" s="570">
        <f>CHOOSE(MATCH('Lists and Mapping'!$C$10,'Lists and Mapping'!$B$3:$B$5,0),'2026 Forecast'!AC82,'2027 Forecast'!AC82,'2028 Forecast'!AC82)</f>
        <v>1.3175099552600232E-2</v>
      </c>
      <c r="AD82" s="570">
        <f>CHOOSE(MATCH('Lists and Mapping'!$C$10,'Lists and Mapping'!$B$3:$B$5,0),'2026 Forecast'!AD82,'2027 Forecast'!AD82,'2028 Forecast'!AD82)</f>
        <v>1.6150473337376327E-3</v>
      </c>
      <c r="AE82" s="570">
        <f>CHOOSE(MATCH('Lists and Mapping'!$C$10,'Lists and Mapping'!$B$3:$B$5,0),'2026 Forecast'!AE82,'2027 Forecast'!AE82,'2028 Forecast'!AE82)</f>
        <v>3.2915397492823866E-3</v>
      </c>
      <c r="AF82" s="543">
        <f>CHOOSE(MATCH('Lists and Mapping'!$C$10,'Lists and Mapping'!$B$3:$B$5,0),'2026 Forecast'!AF82,'2027 Forecast'!AF82,'2028 Forecast'!AF82)</f>
        <v>2.4211617097393129E-5</v>
      </c>
      <c r="AG82" s="545">
        <f>CHOOSE(MATCH('Lists and Mapping'!$C$10,'Lists and Mapping'!$B$3:$B$5,0),'2026 Forecast'!AG82,'2027 Forecast'!AG82,'2028 Forecast'!AG82)</f>
        <v>0.13727853539047638</v>
      </c>
      <c r="AH82" s="546">
        <f>CHOOSE(MATCH('Lists and Mapping'!$C$10,'Lists and Mapping'!$B$3:$B$5,0),'2026 Forecast'!AH82,'2027 Forecast'!AH82,'2028 Forecast'!AH82)</f>
        <v>31.261254172134333</v>
      </c>
      <c r="AI82" s="546">
        <f>CHOOSE(MATCH('Lists and Mapping'!$C$10,'Lists and Mapping'!$B$3:$B$5,0),'2026 Forecast'!AI82,'2027 Forecast'!AI82,'2028 Forecast'!AI82)</f>
        <v>11.019810694184269</v>
      </c>
      <c r="AJ82" s="546">
        <f>CHOOSE(MATCH('Lists and Mapping'!$C$10,'Lists and Mapping'!$B$3:$B$5,0),'2026 Forecast'!AJ82,'2027 Forecast'!AJ82,'2028 Forecast'!AJ82)</f>
        <v>4.6743720050413922</v>
      </c>
      <c r="AK82" s="547">
        <f>CHOOSE(MATCH('Lists and Mapping'!$C$10,'Lists and Mapping'!$B$3:$B$5,0),'2026 Forecast'!AK82,'2027 Forecast'!AK82,'2028 Forecast'!AK82)</f>
        <v>48.704826871359998</v>
      </c>
      <c r="AL82" s="546">
        <f>CHOOSE(MATCH('Lists and Mapping'!$C$10,'Lists and Mapping'!$B$3:$B$5,0),'2026 Forecast'!AL82,'2027 Forecast'!AL82,'2028 Forecast'!AL82)</f>
        <v>1.1678000000000002</v>
      </c>
      <c r="AM82" s="546">
        <f>CHOOSE(MATCH('Lists and Mapping'!$C$10,'Lists and Mapping'!$B$3:$B$5,0),'2026 Forecast'!AM82,'2027 Forecast'!AM82,'2028 Forecast'!AM82)</f>
        <v>8.5899999999999987E-3</v>
      </c>
      <c r="AN82" s="547">
        <f>CHOOSE(MATCH('Lists and Mapping'!$C$10,'Lists and Mapping'!$B$3:$B$5,0),'2026 Forecast'!AN82,'2027 Forecast'!AN82,'2028 Forecast'!AN82)</f>
        <v>48.704826871359998</v>
      </c>
      <c r="AO82" s="446"/>
      <c r="AP82" s="446"/>
      <c r="AQ82" s="446"/>
      <c r="AR82" s="446"/>
      <c r="AS82" s="446"/>
      <c r="AT82" s="72"/>
      <c r="AU82" s="72"/>
      <c r="AV82" s="72"/>
      <c r="AW82" s="72"/>
      <c r="AX82" s="72"/>
      <c r="AY82" s="72"/>
      <c r="AZ82" s="72"/>
      <c r="BA82" s="72"/>
      <c r="BB82" s="72"/>
    </row>
    <row r="83" spans="2:55">
      <c r="B83" s="529" t="str">
        <f t="shared" si="1"/>
        <v>PLGUM 053</v>
      </c>
      <c r="C83" s="452"/>
      <c r="D83" s="590" t="s">
        <v>131</v>
      </c>
      <c r="E83" s="531">
        <f>CHOOSE(MATCH('Lists and Mapping'!$C$10,'Lists and Mapping'!$B$3:$B$5,0),'2026 Forecast'!E83,'2027 Forecast'!E83,'2028 Forecast'!E83)</f>
        <v>0</v>
      </c>
      <c r="F83" s="608">
        <f>CHOOSE(MATCH('Lists and Mapping'!$C$10,'Lists and Mapping'!$B$3:$B$5,0),'2026 Forecast'!F83,'2027 Forecast'!F83,'2028 Forecast'!F83)</f>
        <v>6.9181865233442922E-3</v>
      </c>
      <c r="G83" s="533">
        <f>CHOOSE(MATCH('Lists and Mapping'!$C$10,'Lists and Mapping'!$B$3:$B$5,0),'2026 Forecast'!G83,'2027 Forecast'!G83,'2028 Forecast'!G83)</f>
        <v>0</v>
      </c>
      <c r="H83" s="533">
        <f>CHOOSE(MATCH('Lists and Mapping'!$C$10,'Lists and Mapping'!$B$3:$B$5,0),'2026 Forecast'!H83,'2027 Forecast'!H83,'2028 Forecast'!H83)</f>
        <v>0</v>
      </c>
      <c r="I83" s="533">
        <f>CHOOSE(MATCH('Lists and Mapping'!$C$10,'Lists and Mapping'!$B$3:$B$5,0),'2026 Forecast'!I83,'2027 Forecast'!I83,'2028 Forecast'!I83)</f>
        <v>0</v>
      </c>
      <c r="J83" s="535">
        <f>CHOOSE(MATCH('Lists and Mapping'!$C$10,'Lists and Mapping'!$B$3:$B$5,0),'2026 Forecast'!J83,'2027 Forecast'!J83,'2028 Forecast'!J83)</f>
        <v>0</v>
      </c>
      <c r="K83" s="535">
        <f>CHOOSE(MATCH('Lists and Mapping'!$C$10,'Lists and Mapping'!$B$3:$B$5,0),'2026 Forecast'!K83,'2027 Forecast'!K83,'2028 Forecast'!K83)</f>
        <v>11</v>
      </c>
      <c r="L83" s="535">
        <f>CHOOSE(MATCH('Lists and Mapping'!$C$10,'Lists and Mapping'!$B$3:$B$5,0),'2026 Forecast'!L83,'2027 Forecast'!L83,'2028 Forecast'!L83)</f>
        <v>0</v>
      </c>
      <c r="M83" s="537">
        <f>CHOOSE(MATCH('Lists and Mapping'!$C$10,'Lists and Mapping'!$B$3:$B$5,0),'2026 Forecast'!M83,'2027 Forecast'!M83,'2028 Forecast'!M83)</f>
        <v>0</v>
      </c>
      <c r="N83" s="537">
        <f>CHOOSE(MATCH('Lists and Mapping'!$C$10,'Lists and Mapping'!$B$3:$B$5,0),'2026 Forecast'!N83,'2027 Forecast'!N83,'2028 Forecast'!N83)</f>
        <v>0</v>
      </c>
      <c r="O83" s="535">
        <f>CHOOSE(MATCH('Lists and Mapping'!$C$10,'Lists and Mapping'!$B$3:$B$5,0),'2026 Forecast'!O83,'2027 Forecast'!O83,'2028 Forecast'!O83)</f>
        <v>0</v>
      </c>
      <c r="P83" s="538">
        <f>CHOOSE(MATCH('Lists and Mapping'!$C$10,'Lists and Mapping'!$B$3:$B$5,0),'2026 Forecast'!P83,'2027 Forecast'!P83,'2028 Forecast'!P83)</f>
        <v>0</v>
      </c>
      <c r="Q83" s="539">
        <f>CHOOSE(MATCH('Lists and Mapping'!$C$10,'Lists and Mapping'!$B$3:$B$5,0),'2026 Forecast'!Q83,'2027 Forecast'!Q83,'2028 Forecast'!Q83)</f>
        <v>0</v>
      </c>
      <c r="R83" s="539">
        <f>CHOOSE(MATCH('Lists and Mapping'!$C$10,'Lists and Mapping'!$B$3:$B$5,0),'2026 Forecast'!R83,'2027 Forecast'!R83,'2028 Forecast'!R83)</f>
        <v>0</v>
      </c>
      <c r="S83" s="539">
        <f>CHOOSE(MATCH('Lists and Mapping'!$C$10,'Lists and Mapping'!$B$3:$B$5,0),'2026 Forecast'!S83,'2027 Forecast'!S83,'2028 Forecast'!S83)</f>
        <v>0</v>
      </c>
      <c r="T83" s="539">
        <f>CHOOSE(MATCH('Lists and Mapping'!$C$10,'Lists and Mapping'!$B$3:$B$5,0),'2026 Forecast'!T83,'2027 Forecast'!T83,'2028 Forecast'!T83)</f>
        <v>0</v>
      </c>
      <c r="U83" s="539">
        <f>CHOOSE(MATCH('Lists and Mapping'!$C$10,'Lists and Mapping'!$B$3:$B$5,0),'2026 Forecast'!U83,'2027 Forecast'!U83,'2028 Forecast'!U83)</f>
        <v>1.8295200000000001E-3</v>
      </c>
      <c r="V83" s="540">
        <f>CHOOSE(MATCH('Lists and Mapping'!$C$10,'Lists and Mapping'!$B$3:$B$5,0),'2026 Forecast'!V83,'2027 Forecast'!V83,'2028 Forecast'!V83)</f>
        <v>1.8295200000000001E-3</v>
      </c>
      <c r="W83" s="542">
        <f>CHOOSE(MATCH('Lists and Mapping'!$C$10,'Lists and Mapping'!$B$3:$B$5,0),'2026 Forecast'!W83,'2027 Forecast'!W83,'2028 Forecast'!W83)</f>
        <v>0</v>
      </c>
      <c r="X83" s="542">
        <f>CHOOSE(MATCH('Lists and Mapping'!$C$10,'Lists and Mapping'!$B$3:$B$5,0),'2026 Forecast'!X83,'2027 Forecast'!X83,'2028 Forecast'!X83)</f>
        <v>0</v>
      </c>
      <c r="Y83" s="542">
        <f>CHOOSE(MATCH('Lists and Mapping'!$C$10,'Lists and Mapping'!$B$3:$B$5,0),'2026 Forecast'!Y83,'2027 Forecast'!Y83,'2028 Forecast'!Y83)</f>
        <v>0</v>
      </c>
      <c r="Z83" s="540">
        <f>CHOOSE(MATCH('Lists and Mapping'!$C$10,'Lists and Mapping'!$B$3:$B$5,0),'2026 Forecast'!Z83,'2027 Forecast'!Z83,'2028 Forecast'!Z83)</f>
        <v>0</v>
      </c>
      <c r="AA83" s="543">
        <f>CHOOSE(MATCH('Lists and Mapping'!$C$10,'Lists and Mapping'!$B$3:$B$5,0),'2026 Forecast'!AA83,'2027 Forecast'!AA83,'2028 Forecast'!AA83)</f>
        <v>1.8295200000000001E-3</v>
      </c>
      <c r="AB83" s="570">
        <f>CHOOSE(MATCH('Lists and Mapping'!$C$10,'Lists and Mapping'!$B$3:$B$5,0),'2026 Forecast'!AB83,'2027 Forecast'!AB83,'2028 Forecast'!AB83)</f>
        <v>7.6237105834310918E-4</v>
      </c>
      <c r="AC83" s="570">
        <f>CHOOSE(MATCH('Lists and Mapping'!$C$10,'Lists and Mapping'!$B$3:$B$5,0),'2026 Forecast'!AC83,'2027 Forecast'!AC83,'2028 Forecast'!AC83)</f>
        <v>3.2338177410375199E-4</v>
      </c>
      <c r="AD83" s="570">
        <f>CHOOSE(MATCH('Lists and Mapping'!$C$10,'Lists and Mapping'!$B$3:$B$5,0),'2026 Forecast'!AD83,'2027 Forecast'!AD83,'2028 Forecast'!AD83)</f>
        <v>3.9641208778762794E-5</v>
      </c>
      <c r="AE83" s="570">
        <f>CHOOSE(MATCH('Lists and Mapping'!$C$10,'Lists and Mapping'!$B$3:$B$5,0),'2026 Forecast'!AE83,'2027 Forecast'!AE83,'2028 Forecast'!AE83)</f>
        <v>8.0790582219614646E-5</v>
      </c>
      <c r="AF83" s="543">
        <f>CHOOSE(MATCH('Lists and Mapping'!$C$10,'Lists and Mapping'!$B$3:$B$5,0),'2026 Forecast'!AF83,'2027 Forecast'!AF83,'2028 Forecast'!AF83)</f>
        <v>5.9427222235527463E-7</v>
      </c>
      <c r="AG83" s="545">
        <f>CHOOSE(MATCH('Lists and Mapping'!$C$10,'Lists and Mapping'!$B$3:$B$5,0),'2026 Forecast'!AG83,'2027 Forecast'!AG83,'2028 Forecast'!AG83)</f>
        <v>3.0362988956675941E-3</v>
      </c>
      <c r="AH83" s="546">
        <f>CHOOSE(MATCH('Lists and Mapping'!$C$10,'Lists and Mapping'!$B$3:$B$5,0),'2026 Forecast'!AH83,'2027 Forecast'!AH83,'2028 Forecast'!AH83)</f>
        <v>26.44508056882513</v>
      </c>
      <c r="AI83" s="546">
        <f>CHOOSE(MATCH('Lists and Mapping'!$C$10,'Lists and Mapping'!$B$3:$B$5,0),'2026 Forecast'!AI83,'2027 Forecast'!AI83,'2028 Forecast'!AI83)</f>
        <v>11.019810694184269</v>
      </c>
      <c r="AJ83" s="546">
        <f>CHOOSE(MATCH('Lists and Mapping'!$C$10,'Lists and Mapping'!$B$3:$B$5,0),'2026 Forecast'!AJ83,'2027 Forecast'!AJ83,'2028 Forecast'!AJ83)</f>
        <v>4.6743720050413922</v>
      </c>
      <c r="AK83" s="547">
        <f>CHOOSE(MATCH('Lists and Mapping'!$C$10,'Lists and Mapping'!$B$3:$B$5,0),'2026 Forecast'!AK83,'2027 Forecast'!AK83,'2028 Forecast'!AK83)</f>
        <v>43.888653268050795</v>
      </c>
      <c r="AL83" s="546">
        <f>CHOOSE(MATCH('Lists and Mapping'!$C$10,'Lists and Mapping'!$B$3:$B$5,0),'2026 Forecast'!AL83,'2027 Forecast'!AL83,'2028 Forecast'!AL83)</f>
        <v>1.1678000000000002</v>
      </c>
      <c r="AM83" s="546">
        <f>CHOOSE(MATCH('Lists and Mapping'!$C$10,'Lists and Mapping'!$B$3:$B$5,0),'2026 Forecast'!AM83,'2027 Forecast'!AM83,'2028 Forecast'!AM83)</f>
        <v>8.5899999999999987E-3</v>
      </c>
      <c r="AN83" s="547">
        <f>CHOOSE(MATCH('Lists and Mapping'!$C$10,'Lists and Mapping'!$B$3:$B$5,0),'2026 Forecast'!AN83,'2027 Forecast'!AN83,'2028 Forecast'!AN83)</f>
        <v>43.888653268050795</v>
      </c>
      <c r="AO83" s="446"/>
      <c r="AP83" s="446"/>
      <c r="AQ83" s="446"/>
      <c r="AR83" s="446"/>
      <c r="AS83" s="446"/>
      <c r="AT83" s="72"/>
      <c r="AU83" s="72"/>
      <c r="AV83" s="72"/>
      <c r="AW83" s="72"/>
      <c r="AX83" s="72"/>
      <c r="AY83" s="72"/>
      <c r="AZ83" s="72"/>
      <c r="BA83" s="72"/>
      <c r="BB83" s="72"/>
    </row>
    <row r="84" spans="2:55">
      <c r="B84" s="610" t="s">
        <v>132</v>
      </c>
      <c r="C84" s="452"/>
      <c r="D84" s="590" t="s">
        <v>284</v>
      </c>
      <c r="E84" s="531">
        <f>CHOOSE(MATCH('Lists and Mapping'!$C$10,'Lists and Mapping'!$B$3:$B$5,0),'2026 Forecast'!E84,'2027 Forecast'!E84,'2028 Forecast'!E84)</f>
        <v>0</v>
      </c>
      <c r="F84" s="608">
        <f>CHOOSE(MATCH('Lists and Mapping'!$C$10,'Lists and Mapping'!$B$3:$B$5,0),'2026 Forecast'!F84,'2027 Forecast'!F84,'2028 Forecast'!F84)</f>
        <v>0.11214744469421274</v>
      </c>
      <c r="G84" s="533">
        <f>CHOOSE(MATCH('Lists and Mapping'!$C$10,'Lists and Mapping'!$B$3:$B$5,0),'2026 Forecast'!G84,'2027 Forecast'!G84,'2028 Forecast'!G84)</f>
        <v>0</v>
      </c>
      <c r="H84" s="533">
        <f>CHOOSE(MATCH('Lists and Mapping'!$C$10,'Lists and Mapping'!$B$3:$B$5,0),'2026 Forecast'!H84,'2027 Forecast'!H84,'2028 Forecast'!H84)</f>
        <v>0</v>
      </c>
      <c r="I84" s="533">
        <f>CHOOSE(MATCH('Lists and Mapping'!$C$10,'Lists and Mapping'!$B$3:$B$5,0),'2026 Forecast'!I84,'2027 Forecast'!I84,'2028 Forecast'!I84)</f>
        <v>0</v>
      </c>
      <c r="J84" s="535">
        <f>CHOOSE(MATCH('Lists and Mapping'!$C$10,'Lists and Mapping'!$B$3:$B$5,0),'2026 Forecast'!J84,'2027 Forecast'!J84,'2028 Forecast'!J84)</f>
        <v>0</v>
      </c>
      <c r="K84" s="535">
        <f>CHOOSE(MATCH('Lists and Mapping'!$C$10,'Lists and Mapping'!$B$3:$B$5,0),'2026 Forecast'!K84,'2027 Forecast'!K84,'2028 Forecast'!K84)</f>
        <v>120</v>
      </c>
      <c r="L84" s="535">
        <f>CHOOSE(MATCH('Lists and Mapping'!$C$10,'Lists and Mapping'!$B$3:$B$5,0),'2026 Forecast'!L84,'2027 Forecast'!L84,'2028 Forecast'!L84)</f>
        <v>0</v>
      </c>
      <c r="M84" s="537">
        <f>CHOOSE(MATCH('Lists and Mapping'!$C$10,'Lists and Mapping'!$B$3:$B$5,0),'2026 Forecast'!M84,'2027 Forecast'!M84,'2028 Forecast'!M84)</f>
        <v>0</v>
      </c>
      <c r="N84" s="537">
        <f>CHOOSE(MATCH('Lists and Mapping'!$C$10,'Lists and Mapping'!$B$3:$B$5,0),'2026 Forecast'!N84,'2027 Forecast'!N84,'2028 Forecast'!N84)</f>
        <v>0</v>
      </c>
      <c r="O84" s="535">
        <f>CHOOSE(MATCH('Lists and Mapping'!$C$10,'Lists and Mapping'!$B$3:$B$5,0),'2026 Forecast'!O84,'2027 Forecast'!O84,'2028 Forecast'!O84)</f>
        <v>0</v>
      </c>
      <c r="P84" s="538">
        <f>CHOOSE(MATCH('Lists and Mapping'!$C$10,'Lists and Mapping'!$B$3:$B$5,0),'2026 Forecast'!P84,'2027 Forecast'!P84,'2028 Forecast'!P84)</f>
        <v>0</v>
      </c>
      <c r="Q84" s="539">
        <f>CHOOSE(MATCH('Lists and Mapping'!$C$10,'Lists and Mapping'!$B$3:$B$5,0),'2026 Forecast'!Q84,'2027 Forecast'!Q84,'2028 Forecast'!Q84)</f>
        <v>0</v>
      </c>
      <c r="R84" s="539">
        <f>CHOOSE(MATCH('Lists and Mapping'!$C$10,'Lists and Mapping'!$B$3:$B$5,0),'2026 Forecast'!R84,'2027 Forecast'!R84,'2028 Forecast'!R84)</f>
        <v>0</v>
      </c>
      <c r="S84" s="539">
        <f>CHOOSE(MATCH('Lists and Mapping'!$C$10,'Lists and Mapping'!$B$3:$B$5,0),'2026 Forecast'!S84,'2027 Forecast'!S84,'2028 Forecast'!S84)</f>
        <v>0</v>
      </c>
      <c r="T84" s="539">
        <f>CHOOSE(MATCH('Lists and Mapping'!$C$10,'Lists and Mapping'!$B$3:$B$5,0),'2026 Forecast'!T84,'2027 Forecast'!T84,'2028 Forecast'!T84)</f>
        <v>0</v>
      </c>
      <c r="U84" s="539">
        <f>CHOOSE(MATCH('Lists and Mapping'!$C$10,'Lists and Mapping'!$B$3:$B$5,0),'2026 Forecast'!U84,'2027 Forecast'!U84,'2028 Forecast'!U84)</f>
        <v>2.0529599999999999E-2</v>
      </c>
      <c r="V84" s="540">
        <f>CHOOSE(MATCH('Lists and Mapping'!$C$10,'Lists and Mapping'!$B$3:$B$5,0),'2026 Forecast'!V84,'2027 Forecast'!V84,'2028 Forecast'!V84)</f>
        <v>2.0529599999999999E-2</v>
      </c>
      <c r="W84" s="542">
        <f>CHOOSE(MATCH('Lists and Mapping'!$C$10,'Lists and Mapping'!$B$3:$B$5,0),'2026 Forecast'!W84,'2027 Forecast'!W84,'2028 Forecast'!W84)</f>
        <v>0</v>
      </c>
      <c r="X84" s="542">
        <f>CHOOSE(MATCH('Lists and Mapping'!$C$10,'Lists and Mapping'!$B$3:$B$5,0),'2026 Forecast'!X84,'2027 Forecast'!X84,'2028 Forecast'!X84)</f>
        <v>0</v>
      </c>
      <c r="Y84" s="542">
        <f>CHOOSE(MATCH('Lists and Mapping'!$C$10,'Lists and Mapping'!$B$3:$B$5,0),'2026 Forecast'!Y84,'2027 Forecast'!Y84,'2028 Forecast'!Y84)</f>
        <v>0</v>
      </c>
      <c r="Z84" s="540">
        <f>CHOOSE(MATCH('Lists and Mapping'!$C$10,'Lists and Mapping'!$B$3:$B$5,0),'2026 Forecast'!Z84,'2027 Forecast'!Z84,'2028 Forecast'!Z84)</f>
        <v>0</v>
      </c>
      <c r="AA84" s="543">
        <f>CHOOSE(MATCH('Lists and Mapping'!$C$10,'Lists and Mapping'!$B$3:$B$5,0),'2026 Forecast'!AA84,'2027 Forecast'!AA84,'2028 Forecast'!AA84)</f>
        <v>2.0529599999999999E-2</v>
      </c>
      <c r="AB84" s="570">
        <f>CHOOSE(MATCH('Lists and Mapping'!$C$10,'Lists and Mapping'!$B$3:$B$5,0),'2026 Forecast'!AB84,'2027 Forecast'!AB84,'2028 Forecast'!AB84)</f>
        <v>1.2358436103667244E-2</v>
      </c>
      <c r="AC84" s="570">
        <f>CHOOSE(MATCH('Lists and Mapping'!$C$10,'Lists and Mapping'!$B$3:$B$5,0),'2026 Forecast'!AC84,'2027 Forecast'!AC84,'2028 Forecast'!AC84)</f>
        <v>5.2421887591555588E-3</v>
      </c>
      <c r="AD84" s="570">
        <f>CHOOSE(MATCH('Lists and Mapping'!$C$10,'Lists and Mapping'!$B$3:$B$5,0),'2026 Forecast'!AD84,'2027 Forecast'!AD84,'2028 Forecast'!AD84)</f>
        <v>6.4260485809783895E-4</v>
      </c>
      <c r="AE84" s="570">
        <f>CHOOSE(MATCH('Lists and Mapping'!$C$10,'Lists and Mapping'!$B$3:$B$5,0),'2026 Forecast'!AE84,'2027 Forecast'!AE84,'2028 Forecast'!AE84)</f>
        <v>1.3096578591390165E-3</v>
      </c>
      <c r="AF84" s="543">
        <f>CHOOSE(MATCH('Lists and Mapping'!$C$10,'Lists and Mapping'!$B$3:$B$5,0),'2026 Forecast'!AF84,'2027 Forecast'!AF84,'2028 Forecast'!AF84)</f>
        <v>9.6334654992328736E-6</v>
      </c>
      <c r="AG84" s="545">
        <f>CHOOSE(MATCH('Lists and Mapping'!$C$10,'Lists and Mapping'!$B$3:$B$5,0),'2026 Forecast'!AG84,'2027 Forecast'!AG84,'2028 Forecast'!AG84)</f>
        <v>4.0092121045558884E-2</v>
      </c>
      <c r="AH84" s="546">
        <f>CHOOSE(MATCH('Lists and Mapping'!$C$10,'Lists and Mapping'!$B$3:$B$5,0),'2026 Forecast'!AH84,'2027 Forecast'!AH84,'2028 Forecast'!AH84)</f>
        <v>18.305900821884183</v>
      </c>
      <c r="AI84" s="546">
        <f>CHOOSE(MATCH('Lists and Mapping'!$C$10,'Lists and Mapping'!$B$3:$B$5,0),'2026 Forecast'!AI84,'2027 Forecast'!AI84,'2028 Forecast'!AI84)</f>
        <v>11.019810694184267</v>
      </c>
      <c r="AJ84" s="546">
        <f>CHOOSE(MATCH('Lists and Mapping'!$C$10,'Lists and Mapping'!$B$3:$B$5,0),'2026 Forecast'!AJ84,'2027 Forecast'!AJ84,'2028 Forecast'!AJ84)</f>
        <v>4.6743720050413922</v>
      </c>
      <c r="AK84" s="547">
        <f>CHOOSE(MATCH('Lists and Mapping'!$C$10,'Lists and Mapping'!$B$3:$B$5,0),'2026 Forecast'!AK84,'2027 Forecast'!AK84,'2028 Forecast'!AK84)</f>
        <v>35.749473521109834</v>
      </c>
      <c r="AL84" s="546">
        <f>CHOOSE(MATCH('Lists and Mapping'!$C$10,'Lists and Mapping'!$B$3:$B$5,0),'2026 Forecast'!AL84,'2027 Forecast'!AL84,'2028 Forecast'!AL84)</f>
        <v>1.1678000000000002</v>
      </c>
      <c r="AM84" s="546">
        <f>CHOOSE(MATCH('Lists and Mapping'!$C$10,'Lists and Mapping'!$B$3:$B$5,0),'2026 Forecast'!AM84,'2027 Forecast'!AM84,'2028 Forecast'!AM84)</f>
        <v>8.5899999999999987E-3</v>
      </c>
      <c r="AN84" s="547">
        <f>CHOOSE(MATCH('Lists and Mapping'!$C$10,'Lists and Mapping'!$B$3:$B$5,0),'2026 Forecast'!AN84,'2027 Forecast'!AN84,'2028 Forecast'!AN84)</f>
        <v>35.749473521109834</v>
      </c>
      <c r="AO84" s="446"/>
      <c r="AP84" s="446"/>
      <c r="AQ84" s="446"/>
      <c r="AR84" s="446"/>
      <c r="AS84" s="446"/>
      <c r="AT84" s="72"/>
      <c r="AU84" s="72"/>
      <c r="AV84" s="72"/>
      <c r="AW84" s="72"/>
      <c r="AX84" s="72"/>
      <c r="AY84" s="72"/>
      <c r="AZ84" s="72"/>
      <c r="BA84" s="72"/>
      <c r="BB84" s="72"/>
    </row>
    <row r="85" spans="2:55">
      <c r="B85" s="529" t="str">
        <f t="shared" si="1"/>
        <v>PLGUM 055</v>
      </c>
      <c r="C85" s="452"/>
      <c r="D85" s="590" t="s">
        <v>134</v>
      </c>
      <c r="E85" s="531">
        <f>CHOOSE(MATCH('Lists and Mapping'!$C$10,'Lists and Mapping'!$B$3:$B$5,0),'2026 Forecast'!E85,'2027 Forecast'!E85,'2028 Forecast'!E85)</f>
        <v>0</v>
      </c>
      <c r="F85" s="608">
        <f>CHOOSE(MATCH('Lists and Mapping'!$C$10,'Lists and Mapping'!$B$3:$B$5,0),'2026 Forecast'!F85,'2027 Forecast'!F85,'2028 Forecast'!F85)</f>
        <v>1.1585479823782306E-3</v>
      </c>
      <c r="G85" s="533">
        <f>CHOOSE(MATCH('Lists and Mapping'!$C$10,'Lists and Mapping'!$B$3:$B$5,0),'2026 Forecast'!G85,'2027 Forecast'!G85,'2028 Forecast'!G85)</f>
        <v>0</v>
      </c>
      <c r="H85" s="533">
        <f>CHOOSE(MATCH('Lists and Mapping'!$C$10,'Lists and Mapping'!$B$3:$B$5,0),'2026 Forecast'!H85,'2027 Forecast'!H85,'2028 Forecast'!H85)</f>
        <v>0</v>
      </c>
      <c r="I85" s="533">
        <f>CHOOSE(MATCH('Lists and Mapping'!$C$10,'Lists and Mapping'!$B$3:$B$5,0),'2026 Forecast'!I85,'2027 Forecast'!I85,'2028 Forecast'!I85)</f>
        <v>0</v>
      </c>
      <c r="J85" s="535">
        <f>CHOOSE(MATCH('Lists and Mapping'!$C$10,'Lists and Mapping'!$B$3:$B$5,0),'2026 Forecast'!J85,'2027 Forecast'!J85,'2028 Forecast'!J85)</f>
        <v>0</v>
      </c>
      <c r="K85" s="535">
        <f>CHOOSE(MATCH('Lists and Mapping'!$C$10,'Lists and Mapping'!$B$3:$B$5,0),'2026 Forecast'!K85,'2027 Forecast'!K85,'2028 Forecast'!K85)</f>
        <v>1</v>
      </c>
      <c r="L85" s="535">
        <f>CHOOSE(MATCH('Lists and Mapping'!$C$10,'Lists and Mapping'!$B$3:$B$5,0),'2026 Forecast'!L85,'2027 Forecast'!L85,'2028 Forecast'!L85)</f>
        <v>0</v>
      </c>
      <c r="M85" s="537">
        <f>CHOOSE(MATCH('Lists and Mapping'!$C$10,'Lists and Mapping'!$B$3:$B$5,0),'2026 Forecast'!M85,'2027 Forecast'!M85,'2028 Forecast'!M85)</f>
        <v>0</v>
      </c>
      <c r="N85" s="537">
        <f>CHOOSE(MATCH('Lists and Mapping'!$C$10,'Lists and Mapping'!$B$3:$B$5,0),'2026 Forecast'!N85,'2027 Forecast'!N85,'2028 Forecast'!N85)</f>
        <v>0</v>
      </c>
      <c r="O85" s="535">
        <f>CHOOSE(MATCH('Lists and Mapping'!$C$10,'Lists and Mapping'!$B$3:$B$5,0),'2026 Forecast'!O85,'2027 Forecast'!O85,'2028 Forecast'!O85)</f>
        <v>0</v>
      </c>
      <c r="P85" s="538">
        <f>CHOOSE(MATCH('Lists and Mapping'!$C$10,'Lists and Mapping'!$B$3:$B$5,0),'2026 Forecast'!P85,'2027 Forecast'!P85,'2028 Forecast'!P85)</f>
        <v>0</v>
      </c>
      <c r="Q85" s="539">
        <f>CHOOSE(MATCH('Lists and Mapping'!$C$10,'Lists and Mapping'!$B$3:$B$5,0),'2026 Forecast'!Q85,'2027 Forecast'!Q85,'2028 Forecast'!Q85)</f>
        <v>0</v>
      </c>
      <c r="R85" s="539">
        <f>CHOOSE(MATCH('Lists and Mapping'!$C$10,'Lists and Mapping'!$B$3:$B$5,0),'2026 Forecast'!R85,'2027 Forecast'!R85,'2028 Forecast'!R85)</f>
        <v>0</v>
      </c>
      <c r="S85" s="539">
        <f>CHOOSE(MATCH('Lists and Mapping'!$C$10,'Lists and Mapping'!$B$3:$B$5,0),'2026 Forecast'!S85,'2027 Forecast'!S85,'2028 Forecast'!S85)</f>
        <v>0</v>
      </c>
      <c r="T85" s="539">
        <f>CHOOSE(MATCH('Lists and Mapping'!$C$10,'Lists and Mapping'!$B$3:$B$5,0),'2026 Forecast'!T85,'2027 Forecast'!T85,'2028 Forecast'!T85)</f>
        <v>0</v>
      </c>
      <c r="U85" s="539">
        <f>CHOOSE(MATCH('Lists and Mapping'!$C$10,'Lists and Mapping'!$B$3:$B$5,0),'2026 Forecast'!U85,'2027 Forecast'!U85,'2028 Forecast'!U85)</f>
        <v>1.7184000000000001E-4</v>
      </c>
      <c r="V85" s="540">
        <f>CHOOSE(MATCH('Lists and Mapping'!$C$10,'Lists and Mapping'!$B$3:$B$5,0),'2026 Forecast'!V85,'2027 Forecast'!V85,'2028 Forecast'!V85)</f>
        <v>1.7184000000000001E-4</v>
      </c>
      <c r="W85" s="542">
        <f>CHOOSE(MATCH('Lists and Mapping'!$C$10,'Lists and Mapping'!$B$3:$B$5,0),'2026 Forecast'!W85,'2027 Forecast'!W85,'2028 Forecast'!W85)</f>
        <v>0</v>
      </c>
      <c r="X85" s="542">
        <f>CHOOSE(MATCH('Lists and Mapping'!$C$10,'Lists and Mapping'!$B$3:$B$5,0),'2026 Forecast'!X85,'2027 Forecast'!X85,'2028 Forecast'!X85)</f>
        <v>0</v>
      </c>
      <c r="Y85" s="542">
        <f>CHOOSE(MATCH('Lists and Mapping'!$C$10,'Lists and Mapping'!$B$3:$B$5,0),'2026 Forecast'!Y85,'2027 Forecast'!Y85,'2028 Forecast'!Y85)</f>
        <v>0</v>
      </c>
      <c r="Z85" s="540">
        <f>CHOOSE(MATCH('Lists and Mapping'!$C$10,'Lists and Mapping'!$B$3:$B$5,0),'2026 Forecast'!Z85,'2027 Forecast'!Z85,'2028 Forecast'!Z85)</f>
        <v>0</v>
      </c>
      <c r="AA85" s="543">
        <f>CHOOSE(MATCH('Lists and Mapping'!$C$10,'Lists and Mapping'!$B$3:$B$5,0),'2026 Forecast'!AA85,'2027 Forecast'!AA85,'2028 Forecast'!AA85)</f>
        <v>1.7184000000000001E-4</v>
      </c>
      <c r="AB85" s="570">
        <f>CHOOSE(MATCH('Lists and Mapping'!$C$10,'Lists and Mapping'!$B$3:$B$5,0),'2026 Forecast'!AB85,'2027 Forecast'!AB85,'2028 Forecast'!AB85)</f>
        <v>1.2766979445937235E-4</v>
      </c>
      <c r="AC85" s="570">
        <f>CHOOSE(MATCH('Lists and Mapping'!$C$10,'Lists and Mapping'!$B$3:$B$5,0),'2026 Forecast'!AC85,'2027 Forecast'!AC85,'2028 Forecast'!AC85)</f>
        <v>5.4154842553259898E-5</v>
      </c>
      <c r="AD85" s="570">
        <f>CHOOSE(MATCH('Lists and Mapping'!$C$10,'Lists and Mapping'!$B$3:$B$5,0),'2026 Forecast'!AD85,'2027 Forecast'!AD85,'2028 Forecast'!AD85)</f>
        <v>6.6384799390272611E-6</v>
      </c>
      <c r="AE85" s="570">
        <f>CHOOSE(MATCH('Lists and Mapping'!$C$10,'Lists and Mapping'!$B$3:$B$5,0),'2026 Forecast'!AE85,'2027 Forecast'!AE85,'2028 Forecast'!AE85)</f>
        <v>1.3529523338212979E-5</v>
      </c>
      <c r="AF85" s="543">
        <f>CHOOSE(MATCH('Lists and Mapping'!$C$10,'Lists and Mapping'!$B$3:$B$5,0),'2026 Forecast'!AF85,'2027 Forecast'!AF85,'2028 Forecast'!AF85)</f>
        <v>9.9519271686289992E-8</v>
      </c>
      <c r="AG85" s="545">
        <f>CHOOSE(MATCH('Lists and Mapping'!$C$10,'Lists and Mapping'!$B$3:$B$5,0),'2026 Forecast'!AG85,'2027 Forecast'!AG85,'2028 Forecast'!AG85)</f>
        <v>3.7393215956155879E-4</v>
      </c>
      <c r="AH85" s="546">
        <f>CHOOSE(MATCH('Lists and Mapping'!$C$10,'Lists and Mapping'!$B$3:$B$5,0),'2026 Forecast'!AH85,'2027 Forecast'!AH85,'2028 Forecast'!AH85)</f>
        <v>14.832359350991428</v>
      </c>
      <c r="AI85" s="546">
        <f>CHOOSE(MATCH('Lists and Mapping'!$C$10,'Lists and Mapping'!$B$3:$B$5,0),'2026 Forecast'!AI85,'2027 Forecast'!AI85,'2028 Forecast'!AI85)</f>
        <v>11.019810694184271</v>
      </c>
      <c r="AJ85" s="546">
        <f>CHOOSE(MATCH('Lists and Mapping'!$C$10,'Lists and Mapping'!$B$3:$B$5,0),'2026 Forecast'!AJ85,'2027 Forecast'!AJ85,'2028 Forecast'!AJ85)</f>
        <v>4.6743720050413922</v>
      </c>
      <c r="AK85" s="547">
        <f>CHOOSE(MATCH('Lists and Mapping'!$C$10,'Lists and Mapping'!$B$3:$B$5,0),'2026 Forecast'!AK85,'2027 Forecast'!AK85,'2028 Forecast'!AK85)</f>
        <v>32.275932050217087</v>
      </c>
      <c r="AL85" s="546">
        <f>CHOOSE(MATCH('Lists and Mapping'!$C$10,'Lists and Mapping'!$B$3:$B$5,0),'2026 Forecast'!AL85,'2027 Forecast'!AL85,'2028 Forecast'!AL85)</f>
        <v>1.1678000000000002</v>
      </c>
      <c r="AM85" s="546">
        <f>CHOOSE(MATCH('Lists and Mapping'!$C$10,'Lists and Mapping'!$B$3:$B$5,0),'2026 Forecast'!AM85,'2027 Forecast'!AM85,'2028 Forecast'!AM85)</f>
        <v>8.5899999999999987E-3</v>
      </c>
      <c r="AN85" s="547">
        <f>CHOOSE(MATCH('Lists and Mapping'!$C$10,'Lists and Mapping'!$B$3:$B$5,0),'2026 Forecast'!AN85,'2027 Forecast'!AN85,'2028 Forecast'!AN85)</f>
        <v>32.275932050217087</v>
      </c>
      <c r="AO85" s="446"/>
      <c r="AP85" s="446"/>
      <c r="AQ85" s="446"/>
      <c r="AR85" s="446"/>
      <c r="AS85" s="446"/>
      <c r="AT85" s="72"/>
      <c r="AU85" s="72"/>
      <c r="AV85" s="72"/>
      <c r="AW85" s="72"/>
      <c r="AX85" s="72"/>
      <c r="AY85" s="72"/>
      <c r="AZ85" s="72"/>
      <c r="BA85" s="72"/>
      <c r="BB85" s="72"/>
    </row>
    <row r="86" spans="2:55">
      <c r="B86" s="529" t="str">
        <f t="shared" si="1"/>
        <v>PLGUM 056</v>
      </c>
      <c r="C86" s="452"/>
      <c r="D86" s="590" t="s">
        <v>136</v>
      </c>
      <c r="E86" s="531">
        <f>CHOOSE(MATCH('Lists and Mapping'!$C$10,'Lists and Mapping'!$B$3:$B$5,0),'2026 Forecast'!E86,'2027 Forecast'!E86,'2028 Forecast'!E86)</f>
        <v>0</v>
      </c>
      <c r="F86" s="608">
        <f>CHOOSE(MATCH('Lists and Mapping'!$C$10,'Lists and Mapping'!$B$3:$B$5,0),'2026 Forecast'!F86,'2027 Forecast'!F86,'2028 Forecast'!F86)</f>
        <v>0.89076892538454222</v>
      </c>
      <c r="G86" s="533">
        <f>CHOOSE(MATCH('Lists and Mapping'!$C$10,'Lists and Mapping'!$B$3:$B$5,0),'2026 Forecast'!G86,'2027 Forecast'!G86,'2028 Forecast'!G86)</f>
        <v>0</v>
      </c>
      <c r="H86" s="533">
        <f>CHOOSE(MATCH('Lists and Mapping'!$C$10,'Lists and Mapping'!$B$3:$B$5,0),'2026 Forecast'!H86,'2027 Forecast'!H86,'2028 Forecast'!H86)</f>
        <v>0</v>
      </c>
      <c r="I86" s="533">
        <f>CHOOSE(MATCH('Lists and Mapping'!$C$10,'Lists and Mapping'!$B$3:$B$5,0),'2026 Forecast'!I86,'2027 Forecast'!I86,'2028 Forecast'!I86)</f>
        <v>0</v>
      </c>
      <c r="J86" s="535">
        <f>CHOOSE(MATCH('Lists and Mapping'!$C$10,'Lists and Mapping'!$B$3:$B$5,0),'2026 Forecast'!J86,'2027 Forecast'!J86,'2028 Forecast'!J86)</f>
        <v>0</v>
      </c>
      <c r="K86" s="535">
        <f>CHOOSE(MATCH('Lists and Mapping'!$C$10,'Lists and Mapping'!$B$3:$B$5,0),'2026 Forecast'!K86,'2027 Forecast'!K86,'2028 Forecast'!K86)</f>
        <v>1182</v>
      </c>
      <c r="L86" s="535">
        <f>CHOOSE(MATCH('Lists and Mapping'!$C$10,'Lists and Mapping'!$B$3:$B$5,0),'2026 Forecast'!L86,'2027 Forecast'!L86,'2028 Forecast'!L86)</f>
        <v>0</v>
      </c>
      <c r="M86" s="537">
        <f>CHOOSE(MATCH('Lists and Mapping'!$C$10,'Lists and Mapping'!$B$3:$B$5,0),'2026 Forecast'!M86,'2027 Forecast'!M86,'2028 Forecast'!M86)</f>
        <v>0</v>
      </c>
      <c r="N86" s="537">
        <f>CHOOSE(MATCH('Lists and Mapping'!$C$10,'Lists and Mapping'!$B$3:$B$5,0),'2026 Forecast'!N86,'2027 Forecast'!N86,'2028 Forecast'!N86)</f>
        <v>0</v>
      </c>
      <c r="O86" s="535">
        <f>CHOOSE(MATCH('Lists and Mapping'!$C$10,'Lists and Mapping'!$B$3:$B$5,0),'2026 Forecast'!O86,'2027 Forecast'!O86,'2028 Forecast'!O86)</f>
        <v>0</v>
      </c>
      <c r="P86" s="538">
        <f>CHOOSE(MATCH('Lists and Mapping'!$C$10,'Lists and Mapping'!$B$3:$B$5,0),'2026 Forecast'!P86,'2027 Forecast'!P86,'2028 Forecast'!P86)</f>
        <v>0</v>
      </c>
      <c r="Q86" s="539">
        <f>CHOOSE(MATCH('Lists and Mapping'!$C$10,'Lists and Mapping'!$B$3:$B$5,0),'2026 Forecast'!Q86,'2027 Forecast'!Q86,'2028 Forecast'!Q86)</f>
        <v>0</v>
      </c>
      <c r="R86" s="539">
        <f>CHOOSE(MATCH('Lists and Mapping'!$C$10,'Lists and Mapping'!$B$3:$B$5,0),'2026 Forecast'!R86,'2027 Forecast'!R86,'2028 Forecast'!R86)</f>
        <v>0</v>
      </c>
      <c r="S86" s="539">
        <f>CHOOSE(MATCH('Lists and Mapping'!$C$10,'Lists and Mapping'!$B$3:$B$5,0),'2026 Forecast'!S86,'2027 Forecast'!S86,'2028 Forecast'!S86)</f>
        <v>0</v>
      </c>
      <c r="T86" s="539">
        <f>CHOOSE(MATCH('Lists and Mapping'!$C$10,'Lists and Mapping'!$B$3:$B$5,0),'2026 Forecast'!T86,'2027 Forecast'!T86,'2028 Forecast'!T86)</f>
        <v>0</v>
      </c>
      <c r="U86" s="539">
        <f>CHOOSE(MATCH('Lists and Mapping'!$C$10,'Lists and Mapping'!$B$3:$B$5,0),'2026 Forecast'!U86,'2027 Forecast'!U86,'2028 Forecast'!U86)</f>
        <v>8.8919520000000002E-2</v>
      </c>
      <c r="V86" s="540">
        <f>CHOOSE(MATCH('Lists and Mapping'!$C$10,'Lists and Mapping'!$B$3:$B$5,0),'2026 Forecast'!V86,'2027 Forecast'!V86,'2028 Forecast'!V86)</f>
        <v>8.8919520000000002E-2</v>
      </c>
      <c r="W86" s="542">
        <f>CHOOSE(MATCH('Lists and Mapping'!$C$10,'Lists and Mapping'!$B$3:$B$5,0),'2026 Forecast'!W86,'2027 Forecast'!W86,'2028 Forecast'!W86)</f>
        <v>0</v>
      </c>
      <c r="X86" s="542">
        <f>CHOOSE(MATCH('Lists and Mapping'!$C$10,'Lists and Mapping'!$B$3:$B$5,0),'2026 Forecast'!X86,'2027 Forecast'!X86,'2028 Forecast'!X86)</f>
        <v>0</v>
      </c>
      <c r="Y86" s="542">
        <f>CHOOSE(MATCH('Lists and Mapping'!$C$10,'Lists and Mapping'!$B$3:$B$5,0),'2026 Forecast'!Y86,'2027 Forecast'!Y86,'2028 Forecast'!Y86)</f>
        <v>0</v>
      </c>
      <c r="Z86" s="540">
        <f>CHOOSE(MATCH('Lists and Mapping'!$C$10,'Lists and Mapping'!$B$3:$B$5,0),'2026 Forecast'!Z86,'2027 Forecast'!Z86,'2028 Forecast'!Z86)</f>
        <v>0</v>
      </c>
      <c r="AA86" s="543">
        <f>CHOOSE(MATCH('Lists and Mapping'!$C$10,'Lists and Mapping'!$B$3:$B$5,0),'2026 Forecast'!AA86,'2027 Forecast'!AA86,'2028 Forecast'!AA86)</f>
        <v>8.8919520000000002E-2</v>
      </c>
      <c r="AB86" s="570">
        <f>CHOOSE(MATCH('Lists and Mapping'!$C$10,'Lists and Mapping'!$B$3:$B$5,0),'2026 Forecast'!AB86,'2027 Forecast'!AB86,'2028 Forecast'!AB86)</f>
        <v>9.816104929999607E-2</v>
      </c>
      <c r="AC86" s="570">
        <f>CHOOSE(MATCH('Lists and Mapping'!$C$10,'Lists and Mapping'!$B$3:$B$5,0),'2026 Forecast'!AC86,'2027 Forecast'!AC86,'2028 Forecast'!AC86)</f>
        <v>4.1637853277783091E-2</v>
      </c>
      <c r="AD86" s="570">
        <f>CHOOSE(MATCH('Lists and Mapping'!$C$10,'Lists and Mapping'!$B$3:$B$5,0),'2026 Forecast'!AD86,'2027 Forecast'!AD86,'2028 Forecast'!AD86)</f>
        <v>5.1041059424534272E-3</v>
      </c>
      <c r="AE86" s="570">
        <f>CHOOSE(MATCH('Lists and Mapping'!$C$10,'Lists and Mapping'!$B$3:$B$5,0),'2026 Forecast'!AE86,'2027 Forecast'!AE86,'2028 Forecast'!AE86)</f>
        <v>1.0402399510640686E-2</v>
      </c>
      <c r="AF86" s="543">
        <f>CHOOSE(MATCH('Lists and Mapping'!$C$10,'Lists and Mapping'!$B$3:$B$5,0),'2026 Forecast'!AF86,'2027 Forecast'!AF86,'2028 Forecast'!AF86)</f>
        <v>7.6517050690532161E-5</v>
      </c>
      <c r="AG86" s="545">
        <f>CHOOSE(MATCH('Lists and Mapping'!$C$10,'Lists and Mapping'!$B$3:$B$5,0),'2026 Forecast'!AG86,'2027 Forecast'!AG86,'2028 Forecast'!AG86)</f>
        <v>0.24430144508156379</v>
      </c>
      <c r="AH86" s="546">
        <f>CHOOSE(MATCH('Lists and Mapping'!$C$10,'Lists and Mapping'!$B$3:$B$5,0),'2026 Forecast'!AH86,'2027 Forecast'!AH86,'2028 Forecast'!AH86)</f>
        <v>9.9823329559474381</v>
      </c>
      <c r="AI86" s="546">
        <f>CHOOSE(MATCH('Lists and Mapping'!$C$10,'Lists and Mapping'!$B$3:$B$5,0),'2026 Forecast'!AI86,'2027 Forecast'!AI86,'2028 Forecast'!AI86)</f>
        <v>11.019810694184267</v>
      </c>
      <c r="AJ86" s="546">
        <f>CHOOSE(MATCH('Lists and Mapping'!$C$10,'Lists and Mapping'!$B$3:$B$5,0),'2026 Forecast'!AJ86,'2027 Forecast'!AJ86,'2028 Forecast'!AJ86)</f>
        <v>4.6743720050413922</v>
      </c>
      <c r="AK86" s="547">
        <f>CHOOSE(MATCH('Lists and Mapping'!$C$10,'Lists and Mapping'!$B$3:$B$5,0),'2026 Forecast'!AK86,'2027 Forecast'!AK86,'2028 Forecast'!AK86)</f>
        <v>27.4259056551731</v>
      </c>
      <c r="AL86" s="546">
        <f>CHOOSE(MATCH('Lists and Mapping'!$C$10,'Lists and Mapping'!$B$3:$B$5,0),'2026 Forecast'!AL86,'2027 Forecast'!AL86,'2028 Forecast'!AL86)</f>
        <v>1.1678000000000002</v>
      </c>
      <c r="AM86" s="546">
        <f>CHOOSE(MATCH('Lists and Mapping'!$C$10,'Lists and Mapping'!$B$3:$B$5,0),'2026 Forecast'!AM86,'2027 Forecast'!AM86,'2028 Forecast'!AM86)</f>
        <v>8.5899999999999987E-3</v>
      </c>
      <c r="AN86" s="547">
        <f>CHOOSE(MATCH('Lists and Mapping'!$C$10,'Lists and Mapping'!$B$3:$B$5,0),'2026 Forecast'!AN86,'2027 Forecast'!AN86,'2028 Forecast'!AN86)</f>
        <v>27.4259056551731</v>
      </c>
      <c r="AO86" s="446"/>
      <c r="AP86" s="446"/>
      <c r="AQ86" s="446"/>
      <c r="AR86" s="446"/>
      <c r="AS86" s="446"/>
      <c r="AT86" s="72"/>
      <c r="AU86" s="72"/>
      <c r="AV86" s="72"/>
      <c r="AW86" s="72"/>
      <c r="AX86" s="72"/>
      <c r="AY86" s="72"/>
      <c r="AZ86" s="72"/>
      <c r="BA86" s="72"/>
      <c r="BB86" s="72"/>
    </row>
    <row r="87" spans="2:55">
      <c r="C87" s="592" t="s">
        <v>253</v>
      </c>
      <c r="D87" s="593" t="s">
        <v>285</v>
      </c>
      <c r="E87" s="594">
        <f>CHOOSE(MATCH('Lists and Mapping'!$C$10,'Lists and Mapping'!$B$3:$B$5,0),'2026 Forecast'!E87,'2027 Forecast'!E87,'2028 Forecast'!E87)</f>
        <v>0</v>
      </c>
      <c r="F87" s="595">
        <f>CHOOSE(MATCH('Lists and Mapping'!$C$10,'Lists and Mapping'!$B$3:$B$5,0),'2026 Forecast'!F87,'2027 Forecast'!F87,'2028 Forecast'!F87)</f>
        <v>1.3797092753190807</v>
      </c>
      <c r="G87" s="595">
        <f>CHOOSE(MATCH('Lists and Mapping'!$C$10,'Lists and Mapping'!$B$3:$B$5,0),'2026 Forecast'!G87,'2027 Forecast'!G87,'2028 Forecast'!G87)</f>
        <v>0</v>
      </c>
      <c r="H87" s="595">
        <f>CHOOSE(MATCH('Lists and Mapping'!$C$10,'Lists and Mapping'!$B$3:$B$5,0),'2026 Forecast'!H87,'2027 Forecast'!H87,'2028 Forecast'!H87)</f>
        <v>0</v>
      </c>
      <c r="I87" s="595">
        <f>CHOOSE(MATCH('Lists and Mapping'!$C$10,'Lists and Mapping'!$B$3:$B$5,0),'2026 Forecast'!I87,'2027 Forecast'!I87,'2028 Forecast'!I87)</f>
        <v>0</v>
      </c>
      <c r="J87" s="596">
        <f>CHOOSE(MATCH('Lists and Mapping'!$C$10,'Lists and Mapping'!$B$3:$B$5,0),'2026 Forecast'!J87,'2027 Forecast'!J87,'2028 Forecast'!J87)</f>
        <v>0</v>
      </c>
      <c r="K87" s="595">
        <f>CHOOSE(MATCH('Lists and Mapping'!$C$10,'Lists and Mapping'!$B$3:$B$5,0),'2026 Forecast'!K87,'2027 Forecast'!K87,'2028 Forecast'!K87)</f>
        <v>2291</v>
      </c>
      <c r="L87" s="597">
        <f>CHOOSE(MATCH('Lists and Mapping'!$C$10,'Lists and Mapping'!$B$3:$B$5,0),'2026 Forecast'!L87,'2027 Forecast'!L87,'2028 Forecast'!L87)</f>
        <v>0</v>
      </c>
      <c r="M87" s="598">
        <f>CHOOSE(MATCH('Lists and Mapping'!$C$10,'Lists and Mapping'!$B$3:$B$5,0),'2026 Forecast'!M87,'2027 Forecast'!M87,'2028 Forecast'!M87)</f>
        <v>0</v>
      </c>
      <c r="N87" s="598">
        <f>CHOOSE(MATCH('Lists and Mapping'!$C$10,'Lists and Mapping'!$B$3:$B$5,0),'2026 Forecast'!N87,'2027 Forecast'!N87,'2028 Forecast'!N87)</f>
        <v>0</v>
      </c>
      <c r="O87" s="599">
        <f>CHOOSE(MATCH('Lists and Mapping'!$C$10,'Lists and Mapping'!$B$3:$B$5,0),'2026 Forecast'!O87,'2027 Forecast'!O87,'2028 Forecast'!O87)</f>
        <v>0</v>
      </c>
      <c r="P87" s="600">
        <f>CHOOSE(MATCH('Lists and Mapping'!$C$10,'Lists and Mapping'!$B$3:$B$5,0),'2026 Forecast'!P87,'2027 Forecast'!P87,'2028 Forecast'!P87)</f>
        <v>0</v>
      </c>
      <c r="Q87" s="601">
        <f>CHOOSE(MATCH('Lists and Mapping'!$C$10,'Lists and Mapping'!$B$3:$B$5,0),'2026 Forecast'!Q87,'2027 Forecast'!Q87,'2028 Forecast'!Q87)</f>
        <v>0</v>
      </c>
      <c r="R87" s="601">
        <f>CHOOSE(MATCH('Lists and Mapping'!$C$10,'Lists and Mapping'!$B$3:$B$5,0),'2026 Forecast'!R87,'2027 Forecast'!R87,'2028 Forecast'!R87)</f>
        <v>0</v>
      </c>
      <c r="S87" s="601">
        <f>CHOOSE(MATCH('Lists and Mapping'!$C$10,'Lists and Mapping'!$B$3:$B$5,0),'2026 Forecast'!S87,'2027 Forecast'!S87,'2028 Forecast'!S87)</f>
        <v>0</v>
      </c>
      <c r="T87" s="601">
        <f>CHOOSE(MATCH('Lists and Mapping'!$C$10,'Lists and Mapping'!$B$3:$B$5,0),'2026 Forecast'!T87,'2027 Forecast'!T87,'2028 Forecast'!T87)</f>
        <v>0</v>
      </c>
      <c r="U87" s="601">
        <f>CHOOSE(MATCH('Lists and Mapping'!$C$10,'Lists and Mapping'!$B$3:$B$5,0),'2026 Forecast'!U87,'2027 Forecast'!U87,'2028 Forecast'!U87)</f>
        <v>0.23752608000000003</v>
      </c>
      <c r="V87" s="602">
        <f>CHOOSE(MATCH('Lists and Mapping'!$C$10,'Lists and Mapping'!$B$3:$B$5,0),'2026 Forecast'!V87,'2027 Forecast'!V87,'2028 Forecast'!V87)</f>
        <v>0.23752608000000003</v>
      </c>
      <c r="W87" s="611">
        <f>CHOOSE(MATCH('Lists and Mapping'!$C$10,'Lists and Mapping'!$B$3:$B$5,0),'2026 Forecast'!W87,'2027 Forecast'!W87,'2028 Forecast'!W87)</f>
        <v>0</v>
      </c>
      <c r="X87" s="601">
        <f>CHOOSE(MATCH('Lists and Mapping'!$C$10,'Lists and Mapping'!$B$3:$B$5,0),'2026 Forecast'!X87,'2027 Forecast'!X87,'2028 Forecast'!X87)</f>
        <v>0</v>
      </c>
      <c r="Y87" s="601">
        <f>CHOOSE(MATCH('Lists and Mapping'!$C$10,'Lists and Mapping'!$B$3:$B$5,0),'2026 Forecast'!Y87,'2027 Forecast'!Y87,'2028 Forecast'!Y87)</f>
        <v>0</v>
      </c>
      <c r="Z87" s="602">
        <f>CHOOSE(MATCH('Lists and Mapping'!$C$10,'Lists and Mapping'!$B$3:$B$5,0),'2026 Forecast'!Z87,'2027 Forecast'!Z87,'2028 Forecast'!Z87)</f>
        <v>0</v>
      </c>
      <c r="AA87" s="603">
        <f>CHOOSE(MATCH('Lists and Mapping'!$C$10,'Lists and Mapping'!$B$3:$B$5,0),'2026 Forecast'!AA87,'2027 Forecast'!AA87,'2028 Forecast'!AA87)</f>
        <v>0.23752608000000003</v>
      </c>
      <c r="AB87" s="604">
        <f>CHOOSE(MATCH('Lists and Mapping'!$C$10,'Lists and Mapping'!$B$3:$B$5,0),'2026 Forecast'!AB87,'2027 Forecast'!AB87,'2028 Forecast'!AB87)</f>
        <v>0.15204135027026433</v>
      </c>
      <c r="AC87" s="604">
        <f>CHOOSE(MATCH('Lists and Mapping'!$C$10,'Lists and Mapping'!$B$3:$B$5,0),'2026 Forecast'!AC87,'2027 Forecast'!AC87,'2028 Forecast'!AC87)</f>
        <v>6.4492744116474585E-2</v>
      </c>
      <c r="AD87" s="604">
        <f>CHOOSE(MATCH('Lists and Mapping'!$C$10,'Lists and Mapping'!$B$3:$B$5,0),'2026 Forecast'!AD87,'2027 Forecast'!AD87,'2028 Forecast'!AD87)</f>
        <v>7.9057341475783326E-3</v>
      </c>
      <c r="AE87" s="604">
        <f>CHOOSE(MATCH('Lists and Mapping'!$C$10,'Lists and Mapping'!$B$3:$B$5,0),'2026 Forecast'!AE87,'2027 Forecast'!AE87,'2028 Forecast'!AE87)</f>
        <v>1.6112244917176229E-2</v>
      </c>
      <c r="AF87" s="602">
        <f>CHOOSE(MATCH('Lists and Mapping'!$C$10,'Lists and Mapping'!$B$3:$B$5,0),'2026 Forecast'!AF87,'2027 Forecast'!AF87,'2028 Forecast'!AF87)</f>
        <v>1.1851702674990901E-4</v>
      </c>
      <c r="AG87" s="602">
        <f>CHOOSE(MATCH('Lists and Mapping'!$C$10,'Lists and Mapping'!$B$3:$B$5,0),'2026 Forecast'!AG87,'2027 Forecast'!AG87,'2028 Forecast'!AG87)</f>
        <v>0.47819667047824332</v>
      </c>
      <c r="AH87" s="605">
        <f>CHOOSE(MATCH('Lists and Mapping'!$C$10,'Lists and Mapping'!$B$3:$B$5,0),'2026 Forecast'!AH87,'2027 Forecast'!AH87,'2028 Forecast'!AH87)</f>
        <v>17.215661607048933</v>
      </c>
      <c r="AI87" s="605">
        <f>CHOOSE(MATCH('Lists and Mapping'!$C$10,'Lists and Mapping'!$B$3:$B$5,0),'2026 Forecast'!AI87,'2027 Forecast'!AI87,'2028 Forecast'!AI87)</f>
        <v>11.019810694184269</v>
      </c>
      <c r="AJ87" s="605">
        <f>CHOOSE(MATCH('Lists and Mapping'!$C$10,'Lists and Mapping'!$B$3:$B$5,0),'2026 Forecast'!AJ87,'2027 Forecast'!AJ87,'2028 Forecast'!AJ87)</f>
        <v>4.6743720050413922</v>
      </c>
      <c r="AK87" s="606">
        <f>CHOOSE(MATCH('Lists and Mapping'!$C$10,'Lists and Mapping'!$B$3:$B$5,0),'2026 Forecast'!AK87,'2027 Forecast'!AK87,'2028 Forecast'!AK87)</f>
        <v>34.659234306274591</v>
      </c>
      <c r="AL87" s="607">
        <f>CHOOSE(MATCH('Lists and Mapping'!$C$10,'Lists and Mapping'!$B$3:$B$5,0),'2026 Forecast'!AL87,'2027 Forecast'!AL87,'2028 Forecast'!AL87)</f>
        <v>1.1678000000000002</v>
      </c>
      <c r="AM87" s="607">
        <f>CHOOSE(MATCH('Lists and Mapping'!$C$10,'Lists and Mapping'!$B$3:$B$5,0),'2026 Forecast'!AM87,'2027 Forecast'!AM87,'2028 Forecast'!AM87)</f>
        <v>8.5899999999999987E-3</v>
      </c>
      <c r="AN87" s="606">
        <f>CHOOSE(MATCH('Lists and Mapping'!$C$10,'Lists and Mapping'!$B$3:$B$5,0),'2026 Forecast'!AN87,'2027 Forecast'!AN87,'2028 Forecast'!AN87)</f>
        <v>34.659234306274591</v>
      </c>
      <c r="AO87" s="446"/>
      <c r="AP87" s="446"/>
      <c r="AQ87" s="446"/>
      <c r="AR87" s="446"/>
      <c r="AS87" s="446"/>
      <c r="AT87" s="72"/>
      <c r="AU87" s="72"/>
      <c r="AV87" s="72"/>
      <c r="AW87" s="72"/>
      <c r="AX87" s="72"/>
      <c r="AY87" s="72"/>
      <c r="AZ87" s="72"/>
      <c r="BA87" s="72"/>
      <c r="BB87" s="72"/>
      <c r="BC87" s="72"/>
    </row>
    <row r="88" spans="2:55">
      <c r="B88" s="529" t="s">
        <v>142</v>
      </c>
      <c r="C88" s="452" t="s">
        <v>253</v>
      </c>
      <c r="D88" s="530" t="s">
        <v>142</v>
      </c>
      <c r="E88" s="531">
        <f>CHOOSE(MATCH('Lists and Mapping'!$C$10,'Lists and Mapping'!$B$3:$B$5,0),'2026 Forecast'!E88,'2027 Forecast'!E88,'2028 Forecast'!E88)</f>
        <v>1</v>
      </c>
      <c r="F88" s="608">
        <f>CHOOSE(MATCH('Lists and Mapping'!$C$10,'Lists and Mapping'!$B$3:$B$5,0),'2026 Forecast'!F88,'2027 Forecast'!F88,'2028 Forecast'!F88)</f>
        <v>3.3564790118043593E-2</v>
      </c>
      <c r="G88" s="533">
        <f>CHOOSE(MATCH('Lists and Mapping'!$C$10,'Lists and Mapping'!$B$3:$B$5,0),'2026 Forecast'!G88,'2027 Forecast'!G88,'2028 Forecast'!G88)</f>
        <v>0</v>
      </c>
      <c r="H88" s="533">
        <f>CHOOSE(MATCH('Lists and Mapping'!$C$10,'Lists and Mapping'!$B$3:$B$5,0),'2026 Forecast'!H88,'2027 Forecast'!H88,'2028 Forecast'!H88)</f>
        <v>0</v>
      </c>
      <c r="I88" s="533">
        <f>CHOOSE(MATCH('Lists and Mapping'!$C$10,'Lists and Mapping'!$B$3:$B$5,0),'2026 Forecast'!I88,'2027 Forecast'!I88,'2028 Forecast'!I88)</f>
        <v>0</v>
      </c>
      <c r="J88" s="535">
        <f>CHOOSE(MATCH('Lists and Mapping'!$C$10,'Lists and Mapping'!$B$3:$B$5,0),'2026 Forecast'!J88,'2027 Forecast'!J88,'2028 Forecast'!J88)</f>
        <v>0</v>
      </c>
      <c r="K88" s="535">
        <f>CHOOSE(MATCH('Lists and Mapping'!$C$10,'Lists and Mapping'!$B$3:$B$5,0),'2026 Forecast'!K88,'2027 Forecast'!K88,'2028 Forecast'!K88)</f>
        <v>26</v>
      </c>
      <c r="L88" s="535">
        <f>CHOOSE(MATCH('Lists and Mapping'!$C$10,'Lists and Mapping'!$B$3:$B$5,0),'2026 Forecast'!L88,'2027 Forecast'!L88,'2028 Forecast'!L88)</f>
        <v>0</v>
      </c>
      <c r="M88" s="537">
        <f>CHOOSE(MATCH('Lists and Mapping'!$C$10,'Lists and Mapping'!$B$3:$B$5,0),'2026 Forecast'!M88,'2027 Forecast'!M88,'2028 Forecast'!M88)</f>
        <v>0</v>
      </c>
      <c r="N88" s="537">
        <f>CHOOSE(MATCH('Lists and Mapping'!$C$10,'Lists and Mapping'!$B$3:$B$5,0),'2026 Forecast'!N88,'2027 Forecast'!N88,'2028 Forecast'!N88)</f>
        <v>0</v>
      </c>
      <c r="O88" s="535">
        <f>CHOOSE(MATCH('Lists and Mapping'!$C$10,'Lists and Mapping'!$B$3:$B$5,0),'2026 Forecast'!O88,'2027 Forecast'!O88,'2028 Forecast'!O88)</f>
        <v>0</v>
      </c>
      <c r="P88" s="538">
        <f>CHOOSE(MATCH('Lists and Mapping'!$C$10,'Lists and Mapping'!$B$3:$B$5,0),'2026 Forecast'!P88,'2027 Forecast'!P88,'2028 Forecast'!P88)</f>
        <v>0</v>
      </c>
      <c r="Q88" s="539">
        <f>CHOOSE(MATCH('Lists and Mapping'!$C$10,'Lists and Mapping'!$B$3:$B$5,0),'2026 Forecast'!Q88,'2027 Forecast'!Q88,'2028 Forecast'!Q88)</f>
        <v>0</v>
      </c>
      <c r="R88" s="539">
        <f>CHOOSE(MATCH('Lists and Mapping'!$C$10,'Lists and Mapping'!$B$3:$B$5,0),'2026 Forecast'!R88,'2027 Forecast'!R88,'2028 Forecast'!R88)</f>
        <v>0</v>
      </c>
      <c r="S88" s="539">
        <f>CHOOSE(MATCH('Lists and Mapping'!$C$10,'Lists and Mapping'!$B$3:$B$5,0),'2026 Forecast'!S88,'2027 Forecast'!S88,'2028 Forecast'!S88)</f>
        <v>0</v>
      </c>
      <c r="T88" s="539">
        <f>CHOOSE(MATCH('Lists and Mapping'!$C$10,'Lists and Mapping'!$B$3:$B$5,0),'2026 Forecast'!T88,'2027 Forecast'!T88,'2028 Forecast'!T88)</f>
        <v>0</v>
      </c>
      <c r="U88" s="539">
        <f>CHOOSE(MATCH('Lists and Mapping'!$C$10,'Lists and Mapping'!$B$3:$B$5,0),'2026 Forecast'!U88,'2027 Forecast'!U88,'2028 Forecast'!U88)</f>
        <v>2.3431199999999998E-3</v>
      </c>
      <c r="V88" s="540">
        <f>CHOOSE(MATCH('Lists and Mapping'!$C$10,'Lists and Mapping'!$B$3:$B$5,0),'2026 Forecast'!V88,'2027 Forecast'!V88,'2028 Forecast'!V88)</f>
        <v>2.3431199999999998E-3</v>
      </c>
      <c r="W88" s="542">
        <f>CHOOSE(MATCH('Lists and Mapping'!$C$10,'Lists and Mapping'!$B$3:$B$5,0),'2026 Forecast'!W88,'2027 Forecast'!W88,'2028 Forecast'!W88)</f>
        <v>0</v>
      </c>
      <c r="X88" s="542">
        <f>CHOOSE(MATCH('Lists and Mapping'!$C$10,'Lists and Mapping'!$B$3:$B$5,0),'2026 Forecast'!X88,'2027 Forecast'!X88,'2028 Forecast'!X88)</f>
        <v>0</v>
      </c>
      <c r="Y88" s="542">
        <f>CHOOSE(MATCH('Lists and Mapping'!$C$10,'Lists and Mapping'!$B$3:$B$5,0),'2026 Forecast'!Y88,'2027 Forecast'!Y88,'2028 Forecast'!Y88)</f>
        <v>0</v>
      </c>
      <c r="Z88" s="540">
        <f>CHOOSE(MATCH('Lists and Mapping'!$C$10,'Lists and Mapping'!$B$3:$B$5,0),'2026 Forecast'!Z88,'2027 Forecast'!Z88,'2028 Forecast'!Z88)</f>
        <v>0</v>
      </c>
      <c r="AA88" s="543">
        <f>CHOOSE(MATCH('Lists and Mapping'!$C$10,'Lists and Mapping'!$B$3:$B$5,0),'2026 Forecast'!AA88,'2027 Forecast'!AA88,'2028 Forecast'!AA88)</f>
        <v>2.3431199999999998E-3</v>
      </c>
      <c r="AB88" s="570">
        <f>CHOOSE(MATCH('Lists and Mapping'!$C$10,'Lists and Mapping'!$B$3:$B$5,0),'2026 Forecast'!AB88,'2027 Forecast'!AB88,'2028 Forecast'!AB88)</f>
        <v>3.6987763309086724E-3</v>
      </c>
      <c r="AC88" s="570">
        <f>CHOOSE(MATCH('Lists and Mapping'!$C$10,'Lists and Mapping'!$B$3:$B$5,0),'2026 Forecast'!AC88,'2027 Forecast'!AC88,'2028 Forecast'!AC88)</f>
        <v>1.5689431528287294E-3</v>
      </c>
      <c r="AD88" s="570">
        <f>CHOOSE(MATCH('Lists and Mapping'!$C$10,'Lists and Mapping'!$B$3:$B$5,0),'2026 Forecast'!AD88,'2027 Forecast'!AD88,'2028 Forecast'!AD88)</f>
        <v>1.9232624737638979E-4</v>
      </c>
      <c r="AE88" s="570">
        <f>CHOOSE(MATCH('Lists and Mapping'!$C$10,'Lists and Mapping'!$B$3:$B$5,0),'2026 Forecast'!AE88,'2027 Forecast'!AE88,'2028 Forecast'!AE88)</f>
        <v>3.9196961899851313E-4</v>
      </c>
      <c r="AF88" s="543">
        <f>CHOOSE(MATCH('Lists and Mapping'!$C$10,'Lists and Mapping'!$B$3:$B$5,0),'2026 Forecast'!AF88,'2027 Forecast'!AF88,'2028 Forecast'!AF88)</f>
        <v>2.8832154711399443E-6</v>
      </c>
      <c r="AG88" s="545">
        <f>CHOOSE(MATCH('Lists and Mapping'!$C$10,'Lists and Mapping'!$B$3:$B$5,0),'2026 Forecast'!AG88,'2027 Forecast'!AG88,'2028 Forecast'!AG88)</f>
        <v>8.1980185655834443E-3</v>
      </c>
      <c r="AH88" s="546">
        <f>CHOOSE(MATCH('Lists and Mapping'!$C$10,'Lists and Mapping'!$B$3:$B$5,0),'2026 Forecast'!AH88,'2027 Forecast'!AH88,'2028 Forecast'!AH88)</f>
        <v>6.9808867916632584</v>
      </c>
      <c r="AI88" s="546">
        <f>CHOOSE(MATCH('Lists and Mapping'!$C$10,'Lists and Mapping'!$B$3:$B$5,0),'2026 Forecast'!AI88,'2027 Forecast'!AI88,'2028 Forecast'!AI88)</f>
        <v>11.019810694184269</v>
      </c>
      <c r="AJ88" s="546">
        <f>CHOOSE(MATCH('Lists and Mapping'!$C$10,'Lists and Mapping'!$B$3:$B$5,0),'2026 Forecast'!AJ88,'2027 Forecast'!AJ88,'2028 Forecast'!AJ88)</f>
        <v>4.6743720050413922</v>
      </c>
      <c r="AK88" s="547">
        <f>CHOOSE(MATCH('Lists and Mapping'!$C$10,'Lists and Mapping'!$B$3:$B$5,0),'2026 Forecast'!AK88,'2027 Forecast'!AK88,'2028 Forecast'!AK88)</f>
        <v>24.424459490888921</v>
      </c>
      <c r="AL88" s="546">
        <f>CHOOSE(MATCH('Lists and Mapping'!$C$10,'Lists and Mapping'!$B$3:$B$5,0),'2026 Forecast'!AL88,'2027 Forecast'!AL88,'2028 Forecast'!AL88)</f>
        <v>1.1678000000000002</v>
      </c>
      <c r="AM88" s="546">
        <f>CHOOSE(MATCH('Lists and Mapping'!$C$10,'Lists and Mapping'!$B$3:$B$5,0),'2026 Forecast'!AM88,'2027 Forecast'!AM88,'2028 Forecast'!AM88)</f>
        <v>8.5899999999999987E-3</v>
      </c>
      <c r="AN88" s="547">
        <f>CHOOSE(MATCH('Lists and Mapping'!$C$10,'Lists and Mapping'!$B$3:$B$5,0),'2026 Forecast'!AN88,'2027 Forecast'!AN88,'2028 Forecast'!AN88)</f>
        <v>0</v>
      </c>
      <c r="AO88" s="446"/>
      <c r="AP88" s="446"/>
      <c r="AQ88" s="446"/>
      <c r="AR88" s="446"/>
      <c r="AS88" s="446"/>
      <c r="AT88" s="72"/>
      <c r="AU88" s="72"/>
      <c r="AV88" s="72"/>
      <c r="AW88" s="72"/>
      <c r="AX88" s="72"/>
      <c r="AY88" s="72"/>
      <c r="AZ88" s="72"/>
      <c r="BA88" s="72"/>
      <c r="BB88" s="72"/>
    </row>
    <row r="89" spans="2:55">
      <c r="B89" s="529" t="s">
        <v>143</v>
      </c>
      <c r="C89" s="452" t="s">
        <v>253</v>
      </c>
      <c r="D89" s="530" t="s">
        <v>143</v>
      </c>
      <c r="E89" s="531">
        <f>CHOOSE(MATCH('Lists and Mapping'!$C$10,'Lists and Mapping'!$B$3:$B$5,0),'2026 Forecast'!E89,'2027 Forecast'!E89,'2028 Forecast'!E89)</f>
        <v>2</v>
      </c>
      <c r="F89" s="608">
        <f>CHOOSE(MATCH('Lists and Mapping'!$C$10,'Lists and Mapping'!$B$3:$B$5,0),'2026 Forecast'!F89,'2027 Forecast'!F89,'2028 Forecast'!F89)</f>
        <v>3.1435268588529325E-2</v>
      </c>
      <c r="G89" s="533">
        <f>CHOOSE(MATCH('Lists and Mapping'!$C$10,'Lists and Mapping'!$B$3:$B$5,0),'2026 Forecast'!G89,'2027 Forecast'!G89,'2028 Forecast'!G89)</f>
        <v>0</v>
      </c>
      <c r="H89" s="533">
        <f>CHOOSE(MATCH('Lists and Mapping'!$C$10,'Lists and Mapping'!$B$3:$B$5,0),'2026 Forecast'!H89,'2027 Forecast'!H89,'2028 Forecast'!H89)</f>
        <v>0</v>
      </c>
      <c r="I89" s="533">
        <f>CHOOSE(MATCH('Lists and Mapping'!$C$10,'Lists and Mapping'!$B$3:$B$5,0),'2026 Forecast'!I89,'2027 Forecast'!I89,'2028 Forecast'!I89)</f>
        <v>0</v>
      </c>
      <c r="J89" s="535">
        <f>CHOOSE(MATCH('Lists and Mapping'!$C$10,'Lists and Mapping'!$B$3:$B$5,0),'2026 Forecast'!J89,'2027 Forecast'!J89,'2028 Forecast'!J89)</f>
        <v>0</v>
      </c>
      <c r="K89" s="535">
        <f>CHOOSE(MATCH('Lists and Mapping'!$C$10,'Lists and Mapping'!$B$3:$B$5,0),'2026 Forecast'!K89,'2027 Forecast'!K89,'2028 Forecast'!K89)</f>
        <v>37</v>
      </c>
      <c r="L89" s="535">
        <f>CHOOSE(MATCH('Lists and Mapping'!$C$10,'Lists and Mapping'!$B$3:$B$5,0),'2026 Forecast'!L89,'2027 Forecast'!L89,'2028 Forecast'!L89)</f>
        <v>0</v>
      </c>
      <c r="M89" s="537">
        <f>CHOOSE(MATCH('Lists and Mapping'!$C$10,'Lists and Mapping'!$B$3:$B$5,0),'2026 Forecast'!M89,'2027 Forecast'!M89,'2028 Forecast'!M89)</f>
        <v>0</v>
      </c>
      <c r="N89" s="537">
        <f>CHOOSE(MATCH('Lists and Mapping'!$C$10,'Lists and Mapping'!$B$3:$B$5,0),'2026 Forecast'!N89,'2027 Forecast'!N89,'2028 Forecast'!N89)</f>
        <v>0</v>
      </c>
      <c r="O89" s="535">
        <f>CHOOSE(MATCH('Lists and Mapping'!$C$10,'Lists and Mapping'!$B$3:$B$5,0),'2026 Forecast'!O89,'2027 Forecast'!O89,'2028 Forecast'!O89)</f>
        <v>0</v>
      </c>
      <c r="P89" s="538">
        <f>CHOOSE(MATCH('Lists and Mapping'!$C$10,'Lists and Mapping'!$B$3:$B$5,0),'2026 Forecast'!P89,'2027 Forecast'!P89,'2028 Forecast'!P89)</f>
        <v>0</v>
      </c>
      <c r="Q89" s="539">
        <f>CHOOSE(MATCH('Lists and Mapping'!$C$10,'Lists and Mapping'!$B$3:$B$5,0),'2026 Forecast'!Q89,'2027 Forecast'!Q89,'2028 Forecast'!Q89)</f>
        <v>0</v>
      </c>
      <c r="R89" s="539">
        <f>CHOOSE(MATCH('Lists and Mapping'!$C$10,'Lists and Mapping'!$B$3:$B$5,0),'2026 Forecast'!R89,'2027 Forecast'!R89,'2028 Forecast'!R89)</f>
        <v>0</v>
      </c>
      <c r="S89" s="539">
        <f>CHOOSE(MATCH('Lists and Mapping'!$C$10,'Lists and Mapping'!$B$3:$B$5,0),'2026 Forecast'!S89,'2027 Forecast'!S89,'2028 Forecast'!S89)</f>
        <v>0</v>
      </c>
      <c r="T89" s="539">
        <f>CHOOSE(MATCH('Lists and Mapping'!$C$10,'Lists and Mapping'!$B$3:$B$5,0),'2026 Forecast'!T89,'2027 Forecast'!T89,'2028 Forecast'!T89)</f>
        <v>0</v>
      </c>
      <c r="U89" s="539">
        <f>CHOOSE(MATCH('Lists and Mapping'!$C$10,'Lists and Mapping'!$B$3:$B$5,0),'2026 Forecast'!U89,'2027 Forecast'!U89,'2028 Forecast'!U89)</f>
        <v>8.8800000000000001E-4</v>
      </c>
      <c r="V89" s="540">
        <f>CHOOSE(MATCH('Lists and Mapping'!$C$10,'Lists and Mapping'!$B$3:$B$5,0),'2026 Forecast'!V89,'2027 Forecast'!V89,'2028 Forecast'!V89)</f>
        <v>8.8800000000000001E-4</v>
      </c>
      <c r="W89" s="542">
        <f>CHOOSE(MATCH('Lists and Mapping'!$C$10,'Lists and Mapping'!$B$3:$B$5,0),'2026 Forecast'!W89,'2027 Forecast'!W89,'2028 Forecast'!W89)</f>
        <v>0</v>
      </c>
      <c r="X89" s="542">
        <f>CHOOSE(MATCH('Lists and Mapping'!$C$10,'Lists and Mapping'!$B$3:$B$5,0),'2026 Forecast'!X89,'2027 Forecast'!X89,'2028 Forecast'!X89)</f>
        <v>0</v>
      </c>
      <c r="Y89" s="542">
        <f>CHOOSE(MATCH('Lists and Mapping'!$C$10,'Lists and Mapping'!$B$3:$B$5,0),'2026 Forecast'!Y89,'2027 Forecast'!Y89,'2028 Forecast'!Y89)</f>
        <v>0</v>
      </c>
      <c r="Z89" s="540">
        <f>CHOOSE(MATCH('Lists and Mapping'!$C$10,'Lists and Mapping'!$B$3:$B$5,0),'2026 Forecast'!Z89,'2027 Forecast'!Z89,'2028 Forecast'!Z89)</f>
        <v>0</v>
      </c>
      <c r="AA89" s="543">
        <f>CHOOSE(MATCH('Lists and Mapping'!$C$10,'Lists and Mapping'!$B$3:$B$5,0),'2026 Forecast'!AA89,'2027 Forecast'!AA89,'2028 Forecast'!AA89)</f>
        <v>8.8800000000000001E-4</v>
      </c>
      <c r="AB89" s="570">
        <f>CHOOSE(MATCH('Lists and Mapping'!$C$10,'Lists and Mapping'!$B$3:$B$5,0),'2026 Forecast'!AB89,'2027 Forecast'!AB89,'2028 Forecast'!AB89)</f>
        <v>3.464107089664303E-3</v>
      </c>
      <c r="AC89" s="570">
        <f>CHOOSE(MATCH('Lists and Mapping'!$C$10,'Lists and Mapping'!$B$3:$B$5,0),'2026 Forecast'!AC89,'2027 Forecast'!AC89,'2028 Forecast'!AC89)</f>
        <v>1.4694013946117853E-3</v>
      </c>
      <c r="AD89" s="570">
        <f>CHOOSE(MATCH('Lists and Mapping'!$C$10,'Lists and Mapping'!$B$3:$B$5,0),'2026 Forecast'!AD89,'2027 Forecast'!AD89,'2028 Forecast'!AD89)</f>
        <v>1.8012408901227301E-4</v>
      </c>
      <c r="AE89" s="570">
        <f>CHOOSE(MATCH('Lists and Mapping'!$C$10,'Lists and Mapping'!$B$3:$B$5,0),'2026 Forecast'!AE89,'2027 Forecast'!AE89,'2028 Forecast'!AE89)</f>
        <v>3.6710106657684548E-4</v>
      </c>
      <c r="AF89" s="543">
        <f>CHOOSE(MATCH('Lists and Mapping'!$C$10,'Lists and Mapping'!$B$3:$B$5,0),'2026 Forecast'!AF89,'2027 Forecast'!AF89,'2028 Forecast'!AF89)</f>
        <v>2.7002895717546684E-6</v>
      </c>
      <c r="AG89" s="545">
        <f>CHOOSE(MATCH('Lists and Mapping'!$C$10,'Lists and Mapping'!$B$3:$B$5,0),'2026 Forecast'!AG89,'2027 Forecast'!AG89,'2028 Forecast'!AG89)</f>
        <v>6.3714339294369616E-3</v>
      </c>
      <c r="AH89" s="546">
        <f>CHOOSE(MATCH('Lists and Mapping'!$C$10,'Lists and Mapping'!$B$3:$B$5,0),'2026 Forecast'!AH89,'2027 Forecast'!AH89,'2028 Forecast'!AH89)</f>
        <v>2.8248525935103022</v>
      </c>
      <c r="AI89" s="546">
        <f>CHOOSE(MATCH('Lists and Mapping'!$C$10,'Lists and Mapping'!$B$3:$B$5,0),'2026 Forecast'!AI89,'2027 Forecast'!AI89,'2028 Forecast'!AI89)</f>
        <v>11.019810694184269</v>
      </c>
      <c r="AJ89" s="546">
        <f>CHOOSE(MATCH('Lists and Mapping'!$C$10,'Lists and Mapping'!$B$3:$B$5,0),'2026 Forecast'!AJ89,'2027 Forecast'!AJ89,'2028 Forecast'!AJ89)</f>
        <v>4.6743720050413922</v>
      </c>
      <c r="AK89" s="547">
        <f>CHOOSE(MATCH('Lists and Mapping'!$C$10,'Lists and Mapping'!$B$3:$B$5,0),'2026 Forecast'!AK89,'2027 Forecast'!AK89,'2028 Forecast'!AK89)</f>
        <v>20.268425292735966</v>
      </c>
      <c r="AL89" s="546">
        <f>CHOOSE(MATCH('Lists and Mapping'!$C$10,'Lists and Mapping'!$B$3:$B$5,0),'2026 Forecast'!AL89,'2027 Forecast'!AL89,'2028 Forecast'!AL89)</f>
        <v>1.1678000000000002</v>
      </c>
      <c r="AM89" s="546">
        <f>CHOOSE(MATCH('Lists and Mapping'!$C$10,'Lists and Mapping'!$B$3:$B$5,0),'2026 Forecast'!AM89,'2027 Forecast'!AM89,'2028 Forecast'!AM89)</f>
        <v>8.5899999999999987E-3</v>
      </c>
      <c r="AN89" s="547">
        <f>CHOOSE(MATCH('Lists and Mapping'!$C$10,'Lists and Mapping'!$B$3:$B$5,0),'2026 Forecast'!AN89,'2027 Forecast'!AN89,'2028 Forecast'!AN89)</f>
        <v>20.268425292735966</v>
      </c>
      <c r="AO89" s="446"/>
      <c r="AP89" s="446"/>
      <c r="AQ89" s="446"/>
      <c r="AR89" s="446"/>
      <c r="AS89" s="446"/>
      <c r="AT89" s="72"/>
      <c r="AU89" s="72"/>
      <c r="AV89" s="72"/>
      <c r="AW89" s="72"/>
      <c r="AX89" s="72"/>
      <c r="AY89" s="72"/>
      <c r="AZ89" s="72"/>
      <c r="BA89" s="72"/>
      <c r="BB89" s="72"/>
    </row>
    <row r="90" spans="2:55">
      <c r="B90" s="529" t="s">
        <v>47</v>
      </c>
      <c r="C90" s="452" t="s">
        <v>269</v>
      </c>
      <c r="D90" s="572" t="s">
        <v>47</v>
      </c>
      <c r="E90" s="531">
        <f>CHOOSE(MATCH('Lists and Mapping'!$C$10,'Lists and Mapping'!$B$3:$B$5,0),'2026 Forecast'!E90,'2027 Forecast'!E90,'2028 Forecast'!E90)</f>
        <v>23</v>
      </c>
      <c r="F90" s="565">
        <f>CHOOSE(MATCH('Lists and Mapping'!$C$10,'Lists and Mapping'!$B$3:$B$5,0),'2026 Forecast'!F90,'2027 Forecast'!F90,'2028 Forecast'!F90)</f>
        <v>3.1091575656600652</v>
      </c>
      <c r="G90" s="533">
        <f>CHOOSE(MATCH('Lists and Mapping'!$C$10,'Lists and Mapping'!$B$3:$B$5,0),'2026 Forecast'!G90,'2027 Forecast'!G90,'2028 Forecast'!G90)</f>
        <v>1.9812000000000001</v>
      </c>
      <c r="H90" s="533">
        <f>CHOOSE(MATCH('Lists and Mapping'!$C$10,'Lists and Mapping'!$B$3:$B$5,0),'2026 Forecast'!H90,'2027 Forecast'!H90,'2028 Forecast'!H90)</f>
        <v>1.1279575656600649</v>
      </c>
      <c r="I90" s="533">
        <f>CHOOSE(MATCH('Lists and Mapping'!$C$10,'Lists and Mapping'!$B$3:$B$5,0),'2026 Forecast'!I90,'2027 Forecast'!I90,'2028 Forecast'!I90)</f>
        <v>0</v>
      </c>
      <c r="J90" s="535">
        <f>CHOOSE(MATCH('Lists and Mapping'!$C$10,'Lists and Mapping'!$B$3:$B$5,0),'2026 Forecast'!J90,'2027 Forecast'!J90,'2028 Forecast'!J90)</f>
        <v>0</v>
      </c>
      <c r="K90" s="535">
        <f>CHOOSE(MATCH('Lists and Mapping'!$C$10,'Lists and Mapping'!$B$3:$B$5,0),'2026 Forecast'!K90,'2027 Forecast'!K90,'2028 Forecast'!K90)</f>
        <v>0</v>
      </c>
      <c r="L90" s="574">
        <f>CHOOSE(MATCH('Lists and Mapping'!$C$10,'Lists and Mapping'!$B$3:$B$5,0),'2026 Forecast'!L90,'2027 Forecast'!L90,'2028 Forecast'!L90)</f>
        <v>21696</v>
      </c>
      <c r="M90" s="537">
        <f>CHOOSE(MATCH('Lists and Mapping'!$C$10,'Lists and Mapping'!$B$3:$B$5,0),'2026 Forecast'!M90,'2027 Forecast'!M90,'2028 Forecast'!M90)</f>
        <v>0</v>
      </c>
      <c r="N90" s="537">
        <f>CHOOSE(MATCH('Lists and Mapping'!$C$10,'Lists and Mapping'!$B$3:$B$5,0),'2026 Forecast'!N90,'2027 Forecast'!N90,'2028 Forecast'!N90)</f>
        <v>0</v>
      </c>
      <c r="O90" s="535">
        <f>CHOOSE(MATCH('Lists and Mapping'!$C$10,'Lists and Mapping'!$B$3:$B$5,0),'2026 Forecast'!O90,'2027 Forecast'!O90,'2028 Forecast'!O90)</f>
        <v>0</v>
      </c>
      <c r="P90" s="538">
        <f>CHOOSE(MATCH('Lists and Mapping'!$C$10,'Lists and Mapping'!$B$3:$B$5,0),'2026 Forecast'!P90,'2027 Forecast'!P90,'2028 Forecast'!P90)</f>
        <v>0</v>
      </c>
      <c r="Q90" s="539">
        <f>CHOOSE(MATCH('Lists and Mapping'!$C$10,'Lists and Mapping'!$B$3:$B$5,0),'2026 Forecast'!Q90,'2027 Forecast'!Q90,'2028 Forecast'!Q90)</f>
        <v>0.30855693312511695</v>
      </c>
      <c r="R90" s="539">
        <f>CHOOSE(MATCH('Lists and Mapping'!$C$10,'Lists and Mapping'!$B$3:$B$5,0),'2026 Forecast'!R90,'2027 Forecast'!R90,'2028 Forecast'!R90)</f>
        <v>0</v>
      </c>
      <c r="S90" s="539">
        <f>CHOOSE(MATCH('Lists and Mapping'!$C$10,'Lists and Mapping'!$B$3:$B$5,0),'2026 Forecast'!S90,'2027 Forecast'!S90,'2028 Forecast'!S90)</f>
        <v>0</v>
      </c>
      <c r="T90" s="539">
        <f>CHOOSE(MATCH('Lists and Mapping'!$C$10,'Lists and Mapping'!$B$3:$B$5,0),'2026 Forecast'!T90,'2027 Forecast'!T90,'2028 Forecast'!T90)</f>
        <v>0</v>
      </c>
      <c r="U90" s="539">
        <f>CHOOSE(MATCH('Lists and Mapping'!$C$10,'Lists and Mapping'!$B$3:$B$5,0),'2026 Forecast'!U90,'2027 Forecast'!U90,'2028 Forecast'!U90)</f>
        <v>0</v>
      </c>
      <c r="V90" s="540">
        <f>CHOOSE(MATCH('Lists and Mapping'!$C$10,'Lists and Mapping'!$B$3:$B$5,0),'2026 Forecast'!V90,'2027 Forecast'!V90,'2028 Forecast'!V90)</f>
        <v>0.30855693312511695</v>
      </c>
      <c r="W90" s="542">
        <f>CHOOSE(MATCH('Lists and Mapping'!$C$10,'Lists and Mapping'!$B$3:$B$5,0),'2026 Forecast'!W90,'2027 Forecast'!W90,'2028 Forecast'!W90)</f>
        <v>0</v>
      </c>
      <c r="X90" s="542">
        <f>CHOOSE(MATCH('Lists and Mapping'!$C$10,'Lists and Mapping'!$B$3:$B$5,0),'2026 Forecast'!X90,'2027 Forecast'!X90,'2028 Forecast'!X90)</f>
        <v>0</v>
      </c>
      <c r="Y90" s="542">
        <f>CHOOSE(MATCH('Lists and Mapping'!$C$10,'Lists and Mapping'!$B$3:$B$5,0),'2026 Forecast'!Y90,'2027 Forecast'!Y90,'2028 Forecast'!Y90)</f>
        <v>0</v>
      </c>
      <c r="Z90" s="540">
        <f>CHOOSE(MATCH('Lists and Mapping'!$C$10,'Lists and Mapping'!$B$3:$B$5,0),'2026 Forecast'!Z90,'2027 Forecast'!Z90,'2028 Forecast'!Z90)</f>
        <v>0</v>
      </c>
      <c r="AA90" s="543">
        <f>CHOOSE(MATCH('Lists and Mapping'!$C$10,'Lists and Mapping'!$B$3:$B$5,0),'2026 Forecast'!AA90,'2027 Forecast'!AA90,'2028 Forecast'!AA90)</f>
        <v>0.30855693312511695</v>
      </c>
      <c r="AB90" s="570">
        <f>CHOOSE(MATCH('Lists and Mapping'!$C$10,'Lists and Mapping'!$B$3:$B$5,0),'2026 Forecast'!AB90,'2027 Forecast'!AB90,'2028 Forecast'!AB90)</f>
        <v>0.34262327791964714</v>
      </c>
      <c r="AC90" s="570">
        <f>CHOOSE(MATCH('Lists and Mapping'!$C$10,'Lists and Mapping'!$B$3:$B$5,0),'2026 Forecast'!AC90,'2027 Forecast'!AC90,'2028 Forecast'!AC90)</f>
        <v>0.14533359084184053</v>
      </c>
      <c r="AD90" s="570">
        <f>CHOOSE(MATCH('Lists and Mapping'!$C$10,'Lists and Mapping'!$B$3:$B$5,0),'2026 Forecast'!AD90,'2027 Forecast'!AD90,'2028 Forecast'!AD90)</f>
        <v>1.7815472851232174E-2</v>
      </c>
      <c r="AE90" s="570">
        <f>CHOOSE(MATCH('Lists and Mapping'!$C$10,'Lists and Mapping'!$B$3:$B$5,0),'2026 Forecast'!AE90,'2027 Forecast'!AE90,'2028 Forecast'!AE90)</f>
        <v>3.6308742051778246E-2</v>
      </c>
      <c r="AF90" s="543">
        <f>CHOOSE(MATCH('Lists and Mapping'!$C$10,'Lists and Mapping'!$B$3:$B$5,0),'2026 Forecast'!AF90,'2027 Forecast'!AF90,'2028 Forecast'!AF90)</f>
        <v>2.6707663489019954E-4</v>
      </c>
      <c r="AG90" s="545">
        <f>CHOOSE(MATCH('Lists and Mapping'!$C$10,'Lists and Mapping'!$B$3:$B$5,0),'2026 Forecast'!AG90,'2027 Forecast'!AG90,'2028 Forecast'!AG90)</f>
        <v>0.85090509342450527</v>
      </c>
      <c r="AH90" s="546">
        <f>CHOOSE(MATCH('Lists and Mapping'!$C$10,'Lists and Mapping'!$B$3:$B$5,0),'2026 Forecast'!AH90,'2027 Forecast'!AH90,'2028 Forecast'!AH90)</f>
        <v>9.9241330363265519</v>
      </c>
      <c r="AI90" s="546">
        <f>CHOOSE(MATCH('Lists and Mapping'!$C$10,'Lists and Mapping'!$B$3:$B$5,0),'2026 Forecast'!AI90,'2027 Forecast'!AI90,'2028 Forecast'!AI90)</f>
        <v>11.019810694184269</v>
      </c>
      <c r="AJ90" s="546">
        <f>CHOOSE(MATCH('Lists and Mapping'!$C$10,'Lists and Mapping'!$B$3:$B$5,0),'2026 Forecast'!AJ90,'2027 Forecast'!AJ90,'2028 Forecast'!AJ90)</f>
        <v>4.6743720050413922</v>
      </c>
      <c r="AK90" s="547">
        <f>CHOOSE(MATCH('Lists and Mapping'!$C$10,'Lists and Mapping'!$B$3:$B$5,0),'2026 Forecast'!AK90,'2027 Forecast'!AK90,'2028 Forecast'!AK90)</f>
        <v>27.367705735552217</v>
      </c>
      <c r="AL90" s="546">
        <f>CHOOSE(MATCH('Lists and Mapping'!$C$10,'Lists and Mapping'!$B$3:$B$5,0),'2026 Forecast'!AL90,'2027 Forecast'!AL90,'2028 Forecast'!AL90)</f>
        <v>1.1678000000000002</v>
      </c>
      <c r="AM90" s="546">
        <f>CHOOSE(MATCH('Lists and Mapping'!$C$10,'Lists and Mapping'!$B$3:$B$5,0),'2026 Forecast'!AM90,'2027 Forecast'!AM90,'2028 Forecast'!AM90)</f>
        <v>8.5899999999999969E-3</v>
      </c>
      <c r="AN90" s="547">
        <f>CHOOSE(MATCH('Lists and Mapping'!$C$10,'Lists and Mapping'!$B$3:$B$5,0),'2026 Forecast'!AN90,'2027 Forecast'!AN90,'2028 Forecast'!AN90)</f>
        <v>27.367705735552217</v>
      </c>
      <c r="AO90" s="446"/>
      <c r="AP90" s="446"/>
      <c r="AQ90" s="446"/>
      <c r="AR90" s="446"/>
      <c r="AS90" s="446"/>
      <c r="AT90" s="72"/>
      <c r="AU90" s="72"/>
      <c r="AV90" s="72"/>
      <c r="AW90" s="72"/>
      <c r="AX90" s="72"/>
      <c r="AY90" s="72"/>
      <c r="AZ90" s="72"/>
      <c r="BA90" s="72"/>
      <c r="BB90" s="72"/>
    </row>
    <row r="91" spans="2:55">
      <c r="B91" s="529" t="s">
        <v>125</v>
      </c>
      <c r="C91" s="452" t="s">
        <v>253</v>
      </c>
      <c r="D91" s="572" t="s">
        <v>125</v>
      </c>
      <c r="E91" s="531">
        <f>CHOOSE(MATCH('Lists and Mapping'!$C$10,'Lists and Mapping'!$B$3:$B$5,0),'2026 Forecast'!E91,'2027 Forecast'!E91,'2028 Forecast'!E91)</f>
        <v>226</v>
      </c>
      <c r="F91" s="565">
        <f>CHOOSE(MATCH('Lists and Mapping'!$C$10,'Lists and Mapping'!$B$3:$B$5,0),'2026 Forecast'!F91,'2027 Forecast'!F91,'2028 Forecast'!F91)</f>
        <v>2.7</v>
      </c>
      <c r="G91" s="533">
        <f>CHOOSE(MATCH('Lists and Mapping'!$C$10,'Lists and Mapping'!$B$3:$B$5,0),'2026 Forecast'!G91,'2027 Forecast'!G91,'2028 Forecast'!G91)</f>
        <v>0</v>
      </c>
      <c r="H91" s="533">
        <f>CHOOSE(MATCH('Lists and Mapping'!$C$10,'Lists and Mapping'!$B$3:$B$5,0),'2026 Forecast'!H91,'2027 Forecast'!H91,'2028 Forecast'!H91)</f>
        <v>0</v>
      </c>
      <c r="I91" s="533">
        <f>CHOOSE(MATCH('Lists and Mapping'!$C$10,'Lists and Mapping'!$B$3:$B$5,0),'2026 Forecast'!I91,'2027 Forecast'!I91,'2028 Forecast'!I91)</f>
        <v>0</v>
      </c>
      <c r="J91" s="535">
        <f>CHOOSE(MATCH('Lists and Mapping'!$C$10,'Lists and Mapping'!$B$3:$B$5,0),'2026 Forecast'!J91,'2027 Forecast'!J91,'2028 Forecast'!J91)</f>
        <v>0</v>
      </c>
      <c r="K91" s="535">
        <f>CHOOSE(MATCH('Lists and Mapping'!$C$10,'Lists and Mapping'!$B$3:$B$5,0),'2026 Forecast'!K91,'2027 Forecast'!K91,'2028 Forecast'!K91)</f>
        <v>0</v>
      </c>
      <c r="L91" s="535">
        <f>CHOOSE(MATCH('Lists and Mapping'!$C$10,'Lists and Mapping'!$B$3:$B$5,0),'2026 Forecast'!L91,'2027 Forecast'!L91,'2028 Forecast'!L91)</f>
        <v>0</v>
      </c>
      <c r="M91" s="537">
        <f>CHOOSE(MATCH('Lists and Mapping'!$C$10,'Lists and Mapping'!$B$3:$B$5,0),'2026 Forecast'!M91,'2027 Forecast'!M91,'2028 Forecast'!M91)</f>
        <v>0</v>
      </c>
      <c r="N91" s="537">
        <f>CHOOSE(MATCH('Lists and Mapping'!$C$10,'Lists and Mapping'!$B$3:$B$5,0),'2026 Forecast'!N91,'2027 Forecast'!N91,'2028 Forecast'!N91)</f>
        <v>0</v>
      </c>
      <c r="O91" s="535">
        <f>CHOOSE(MATCH('Lists and Mapping'!$C$10,'Lists and Mapping'!$B$3:$B$5,0),'2026 Forecast'!O91,'2027 Forecast'!O91,'2028 Forecast'!O91)</f>
        <v>0</v>
      </c>
      <c r="P91" s="538">
        <f>CHOOSE(MATCH('Lists and Mapping'!$C$10,'Lists and Mapping'!$B$3:$B$5,0),'2026 Forecast'!P91,'2027 Forecast'!P91,'2028 Forecast'!P91)</f>
        <v>1.206E-2</v>
      </c>
      <c r="Q91" s="539">
        <f>CHOOSE(MATCH('Lists and Mapping'!$C$10,'Lists and Mapping'!$B$3:$B$5,0),'2026 Forecast'!Q91,'2027 Forecast'!Q91,'2028 Forecast'!Q91)</f>
        <v>0</v>
      </c>
      <c r="R91" s="539">
        <f>CHOOSE(MATCH('Lists and Mapping'!$C$10,'Lists and Mapping'!$B$3:$B$5,0),'2026 Forecast'!R91,'2027 Forecast'!R91,'2028 Forecast'!R91)</f>
        <v>0</v>
      </c>
      <c r="S91" s="539">
        <f>CHOOSE(MATCH('Lists and Mapping'!$C$10,'Lists and Mapping'!$B$3:$B$5,0),'2026 Forecast'!S91,'2027 Forecast'!S91,'2028 Forecast'!S91)</f>
        <v>0</v>
      </c>
      <c r="T91" s="539">
        <f>CHOOSE(MATCH('Lists and Mapping'!$C$10,'Lists and Mapping'!$B$3:$B$5,0),'2026 Forecast'!T91,'2027 Forecast'!T91,'2028 Forecast'!T91)</f>
        <v>0</v>
      </c>
      <c r="U91" s="539">
        <f>CHOOSE(MATCH('Lists and Mapping'!$C$10,'Lists and Mapping'!$B$3:$B$5,0),'2026 Forecast'!U91,'2027 Forecast'!U91,'2028 Forecast'!U91)</f>
        <v>0.19164660216564494</v>
      </c>
      <c r="V91" s="540">
        <f>CHOOSE(MATCH('Lists and Mapping'!$C$10,'Lists and Mapping'!$B$3:$B$5,0),'2026 Forecast'!V91,'2027 Forecast'!V91,'2028 Forecast'!V91)</f>
        <v>0.19164660216564494</v>
      </c>
      <c r="W91" s="542">
        <f>CHOOSE(MATCH('Lists and Mapping'!$C$10,'Lists and Mapping'!$B$3:$B$5,0),'2026 Forecast'!W91,'2027 Forecast'!W91,'2028 Forecast'!W91)</f>
        <v>0</v>
      </c>
      <c r="X91" s="542">
        <f>CHOOSE(MATCH('Lists and Mapping'!$C$10,'Lists and Mapping'!$B$3:$B$5,0),'2026 Forecast'!X91,'2027 Forecast'!X91,'2028 Forecast'!X91)</f>
        <v>0</v>
      </c>
      <c r="Y91" s="542">
        <f>CHOOSE(MATCH('Lists and Mapping'!$C$10,'Lists and Mapping'!$B$3:$B$5,0),'2026 Forecast'!Y91,'2027 Forecast'!Y91,'2028 Forecast'!Y91)</f>
        <v>0</v>
      </c>
      <c r="Z91" s="540">
        <f>CHOOSE(MATCH('Lists and Mapping'!$C$10,'Lists and Mapping'!$B$3:$B$5,0),'2026 Forecast'!Z91,'2027 Forecast'!Z91,'2028 Forecast'!Z91)</f>
        <v>0</v>
      </c>
      <c r="AA91" s="543">
        <f>CHOOSE(MATCH('Lists and Mapping'!$C$10,'Lists and Mapping'!$B$3:$B$5,0),'2026 Forecast'!AA91,'2027 Forecast'!AA91,'2028 Forecast'!AA91)</f>
        <v>0.20370660216564493</v>
      </c>
      <c r="AB91" s="570">
        <f>CHOOSE(MATCH('Lists and Mapping'!$C$10,'Lists and Mapping'!$B$3:$B$5,0),'2026 Forecast'!AB91,'2027 Forecast'!AB91,'2028 Forecast'!AB91)</f>
        <v>0.29753488874297529</v>
      </c>
      <c r="AC91" s="570">
        <f>CHOOSE(MATCH('Lists and Mapping'!$C$10,'Lists and Mapping'!$B$3:$B$5,0),'2026 Forecast'!AC91,'2027 Forecast'!AC91,'2028 Forecast'!AC91)</f>
        <v>0.12620804413611761</v>
      </c>
      <c r="AD91" s="570">
        <f>CHOOSE(MATCH('Lists and Mapping'!$C$10,'Lists and Mapping'!$B$3:$B$5,0),'2026 Forecast'!AD91,'2027 Forecast'!AD91,'2028 Forecast'!AD91)</f>
        <v>1.5471E-2</v>
      </c>
      <c r="AE91" s="570">
        <f>CHOOSE(MATCH('Lists and Mapping'!$C$10,'Lists and Mapping'!$B$3:$B$5,0),'2026 Forecast'!AE91,'2027 Forecast'!AE91,'2028 Forecast'!AE91)</f>
        <v>3.1530600000000006E-2</v>
      </c>
      <c r="AF91" s="543">
        <f>CHOOSE(MATCH('Lists and Mapping'!$C$10,'Lists and Mapping'!$B$3:$B$5,0),'2026 Forecast'!AF91,'2027 Forecast'!AF91,'2028 Forecast'!AF91)</f>
        <v>2.3192999999999998E-4</v>
      </c>
      <c r="AG91" s="545">
        <f>CHOOSE(MATCH('Lists and Mapping'!$C$10,'Lists and Mapping'!$B$3:$B$5,0),'2026 Forecast'!AG91,'2027 Forecast'!AG91,'2028 Forecast'!AG91)</f>
        <v>0.67468306504473785</v>
      </c>
      <c r="AH91" s="546">
        <f>CHOOSE(MATCH('Lists and Mapping'!$C$10,'Lists and Mapping'!$B$3:$B$5,0),'2026 Forecast'!AH91,'2027 Forecast'!AH91,'2028 Forecast'!AH91)</f>
        <v>7.5446889690979599</v>
      </c>
      <c r="AI91" s="546">
        <f>CHOOSE(MATCH('Lists and Mapping'!$C$10,'Lists and Mapping'!$B$3:$B$5,0),'2026 Forecast'!AI91,'2027 Forecast'!AI91,'2028 Forecast'!AI91)</f>
        <v>11.019810694184269</v>
      </c>
      <c r="AJ91" s="546">
        <f>CHOOSE(MATCH('Lists and Mapping'!$C$10,'Lists and Mapping'!$B$3:$B$5,0),'2026 Forecast'!AJ91,'2027 Forecast'!AJ91,'2028 Forecast'!AJ91)</f>
        <v>4.6743720050413922</v>
      </c>
      <c r="AK91" s="547">
        <f>CHOOSE(MATCH('Lists and Mapping'!$C$10,'Lists and Mapping'!$B$3:$B$5,0),'2026 Forecast'!AK91,'2027 Forecast'!AK91,'2028 Forecast'!AK91)</f>
        <v>24.988261668323624</v>
      </c>
      <c r="AL91" s="546">
        <f>CHOOSE(MATCH('Lists and Mapping'!$C$10,'Lists and Mapping'!$B$3:$B$5,0),'2026 Forecast'!AL91,'2027 Forecast'!AL91,'2028 Forecast'!AL91)</f>
        <v>1.1678000000000002</v>
      </c>
      <c r="AM91" s="546">
        <f>CHOOSE(MATCH('Lists and Mapping'!$C$10,'Lists and Mapping'!$B$3:$B$5,0),'2026 Forecast'!AM91,'2027 Forecast'!AM91,'2028 Forecast'!AM91)</f>
        <v>8.5899999999999987E-3</v>
      </c>
      <c r="AN91" s="547">
        <f>CHOOSE(MATCH('Lists and Mapping'!$C$10,'Lists and Mapping'!$B$3:$B$5,0),'2026 Forecast'!AN91,'2027 Forecast'!AN91,'2028 Forecast'!AN91)</f>
        <v>24.988261668323624</v>
      </c>
      <c r="AO91" s="446"/>
      <c r="AP91" s="446"/>
      <c r="AQ91" s="446"/>
      <c r="AR91" s="446"/>
      <c r="AS91" s="446"/>
      <c r="AT91" s="72"/>
      <c r="AU91" s="72"/>
      <c r="AV91" s="72"/>
      <c r="AW91" s="72"/>
      <c r="AX91" s="72"/>
      <c r="AY91" s="72"/>
      <c r="AZ91" s="72"/>
      <c r="BA91" s="72"/>
      <c r="BB91" s="72"/>
    </row>
    <row r="92" spans="2:55">
      <c r="B92" s="529" t="s">
        <v>138</v>
      </c>
      <c r="C92" s="452" t="s">
        <v>253</v>
      </c>
      <c r="D92" s="572" t="s">
        <v>286</v>
      </c>
      <c r="E92" s="531">
        <f>CHOOSE(MATCH('Lists and Mapping'!$C$10,'Lists and Mapping'!$B$3:$B$5,0),'2026 Forecast'!E92,'2027 Forecast'!E92,'2028 Forecast'!E92)</f>
        <v>80</v>
      </c>
      <c r="F92" s="573">
        <f>CHOOSE(MATCH('Lists and Mapping'!$C$10,'Lists and Mapping'!$B$3:$B$5,0),'2026 Forecast'!F92,'2027 Forecast'!F92,'2028 Forecast'!F92)</f>
        <v>0.7</v>
      </c>
      <c r="G92" s="533">
        <f>CHOOSE(MATCH('Lists and Mapping'!$C$10,'Lists and Mapping'!$B$3:$B$5,0),'2026 Forecast'!G92,'2027 Forecast'!G92,'2028 Forecast'!G92)</f>
        <v>0</v>
      </c>
      <c r="H92" s="533">
        <f>CHOOSE(MATCH('Lists and Mapping'!$C$10,'Lists and Mapping'!$B$3:$B$5,0),'2026 Forecast'!H92,'2027 Forecast'!H92,'2028 Forecast'!H92)</f>
        <v>0</v>
      </c>
      <c r="I92" s="533">
        <f>CHOOSE(MATCH('Lists and Mapping'!$C$10,'Lists and Mapping'!$B$3:$B$5,0),'2026 Forecast'!I92,'2027 Forecast'!I92,'2028 Forecast'!I92)</f>
        <v>0</v>
      </c>
      <c r="J92" s="535">
        <f>CHOOSE(MATCH('Lists and Mapping'!$C$10,'Lists and Mapping'!$B$3:$B$5,0),'2026 Forecast'!J92,'2027 Forecast'!J92,'2028 Forecast'!J92)</f>
        <v>0</v>
      </c>
      <c r="K92" s="535">
        <f>CHOOSE(MATCH('Lists and Mapping'!$C$10,'Lists and Mapping'!$B$3:$B$5,0),'2026 Forecast'!K92,'2027 Forecast'!K92,'2028 Forecast'!K92)</f>
        <v>0</v>
      </c>
      <c r="L92" s="535">
        <f>CHOOSE(MATCH('Lists and Mapping'!$C$10,'Lists and Mapping'!$B$3:$B$5,0),'2026 Forecast'!L92,'2027 Forecast'!L92,'2028 Forecast'!L92)</f>
        <v>0</v>
      </c>
      <c r="M92" s="537">
        <f>CHOOSE(MATCH('Lists and Mapping'!$C$10,'Lists and Mapping'!$B$3:$B$5,0),'2026 Forecast'!M92,'2027 Forecast'!M92,'2028 Forecast'!M92)</f>
        <v>0</v>
      </c>
      <c r="N92" s="537">
        <f>CHOOSE(MATCH('Lists and Mapping'!$C$10,'Lists and Mapping'!$B$3:$B$5,0),'2026 Forecast'!N92,'2027 Forecast'!N92,'2028 Forecast'!N92)</f>
        <v>0</v>
      </c>
      <c r="O92" s="535">
        <f>CHOOSE(MATCH('Lists and Mapping'!$C$10,'Lists and Mapping'!$B$3:$B$5,0),'2026 Forecast'!O92,'2027 Forecast'!O92,'2028 Forecast'!O92)</f>
        <v>0</v>
      </c>
      <c r="P92" s="538">
        <f>CHOOSE(MATCH('Lists and Mapping'!$C$10,'Lists and Mapping'!$B$3:$B$5,0),'2026 Forecast'!P92,'2027 Forecast'!P92,'2028 Forecast'!P92)</f>
        <v>4.8599999999999997E-3</v>
      </c>
      <c r="Q92" s="539">
        <f>CHOOSE(MATCH('Lists and Mapping'!$C$10,'Lists and Mapping'!$B$3:$B$5,0),'2026 Forecast'!Q92,'2027 Forecast'!Q92,'2028 Forecast'!Q92)</f>
        <v>0</v>
      </c>
      <c r="R92" s="539">
        <f>CHOOSE(MATCH('Lists and Mapping'!$C$10,'Lists and Mapping'!$B$3:$B$5,0),'2026 Forecast'!R92,'2027 Forecast'!R92,'2028 Forecast'!R92)</f>
        <v>0</v>
      </c>
      <c r="S92" s="539">
        <f>CHOOSE(MATCH('Lists and Mapping'!$C$10,'Lists and Mapping'!$B$3:$B$5,0),'2026 Forecast'!S92,'2027 Forecast'!S92,'2028 Forecast'!S92)</f>
        <v>0</v>
      </c>
      <c r="T92" s="539">
        <f>CHOOSE(MATCH('Lists and Mapping'!$C$10,'Lists and Mapping'!$B$3:$B$5,0),'2026 Forecast'!T92,'2027 Forecast'!T92,'2028 Forecast'!T92)</f>
        <v>0</v>
      </c>
      <c r="U92" s="539">
        <f>CHOOSE(MATCH('Lists and Mapping'!$C$10,'Lists and Mapping'!$B$3:$B$5,0),'2026 Forecast'!U92,'2027 Forecast'!U92,'2028 Forecast'!U92)</f>
        <v>4.818005435019572E-2</v>
      </c>
      <c r="V92" s="540">
        <f>CHOOSE(MATCH('Lists and Mapping'!$C$10,'Lists and Mapping'!$B$3:$B$5,0),'2026 Forecast'!V92,'2027 Forecast'!V92,'2028 Forecast'!V92)</f>
        <v>4.818005435019572E-2</v>
      </c>
      <c r="W92" s="542">
        <f>CHOOSE(MATCH('Lists and Mapping'!$C$10,'Lists and Mapping'!$B$3:$B$5,0),'2026 Forecast'!W92,'2027 Forecast'!W92,'2028 Forecast'!W92)</f>
        <v>0</v>
      </c>
      <c r="X92" s="542">
        <f>CHOOSE(MATCH('Lists and Mapping'!$C$10,'Lists and Mapping'!$B$3:$B$5,0),'2026 Forecast'!X92,'2027 Forecast'!X92,'2028 Forecast'!X92)</f>
        <v>0</v>
      </c>
      <c r="Y92" s="542">
        <f>CHOOSE(MATCH('Lists and Mapping'!$C$10,'Lists and Mapping'!$B$3:$B$5,0),'2026 Forecast'!Y92,'2027 Forecast'!Y92,'2028 Forecast'!Y92)</f>
        <v>0</v>
      </c>
      <c r="Z92" s="540">
        <f>CHOOSE(MATCH('Lists and Mapping'!$C$10,'Lists and Mapping'!$B$3:$B$5,0),'2026 Forecast'!Z92,'2027 Forecast'!Z92,'2028 Forecast'!Z92)</f>
        <v>0</v>
      </c>
      <c r="AA92" s="543">
        <f>CHOOSE(MATCH('Lists and Mapping'!$C$10,'Lists and Mapping'!$B$3:$B$5,0),'2026 Forecast'!AA92,'2027 Forecast'!AA92,'2028 Forecast'!AA92)</f>
        <v>5.3040054350195723E-2</v>
      </c>
      <c r="AB92" s="570">
        <f>CHOOSE(MATCH('Lists and Mapping'!$C$10,'Lists and Mapping'!$B$3:$B$5,0),'2026 Forecast'!AB92,'2027 Forecast'!AB92,'2028 Forecast'!AB92)</f>
        <v>7.713867485928988E-2</v>
      </c>
      <c r="AC92" s="570">
        <f>CHOOSE(MATCH('Lists and Mapping'!$C$10,'Lists and Mapping'!$B$3:$B$5,0),'2026 Forecast'!AC92,'2027 Forecast'!AC92,'2028 Forecast'!AC92)</f>
        <v>3.2720604035289744E-2</v>
      </c>
      <c r="AD92" s="570">
        <f>CHOOSE(MATCH('Lists and Mapping'!$C$10,'Lists and Mapping'!$B$3:$B$5,0),'2026 Forecast'!AD92,'2027 Forecast'!AD92,'2028 Forecast'!AD92)</f>
        <v>4.0109999999999998E-3</v>
      </c>
      <c r="AE92" s="570">
        <f>CHOOSE(MATCH('Lists and Mapping'!$C$10,'Lists and Mapping'!$B$3:$B$5,0),'2026 Forecast'!AE92,'2027 Forecast'!AE92,'2028 Forecast'!AE92)</f>
        <v>8.1746000000000006E-3</v>
      </c>
      <c r="AF92" s="543">
        <f>CHOOSE(MATCH('Lists and Mapping'!$C$10,'Lists and Mapping'!$B$3:$B$5,0),'2026 Forecast'!AF92,'2027 Forecast'!AF92,'2028 Forecast'!AF92)</f>
        <v>6.0129999999999988E-5</v>
      </c>
      <c r="AG92" s="545">
        <f>CHOOSE(MATCH('Lists and Mapping'!$C$10,'Lists and Mapping'!$B$3:$B$5,0),'2026 Forecast'!AG92,'2027 Forecast'!AG92,'2028 Forecast'!AG92)</f>
        <v>0.17514506324477533</v>
      </c>
      <c r="AH92" s="546">
        <f>CHOOSE(MATCH('Lists and Mapping'!$C$10,'Lists and Mapping'!$B$3:$B$5,0),'2026 Forecast'!AH92,'2027 Forecast'!AH92,'2028 Forecast'!AH92)</f>
        <v>7.577150621456533</v>
      </c>
      <c r="AI92" s="546">
        <f>CHOOSE(MATCH('Lists and Mapping'!$C$10,'Lists and Mapping'!$B$3:$B$5,0),'2026 Forecast'!AI92,'2027 Forecast'!AI92,'2028 Forecast'!AI92)</f>
        <v>11.019810694184269</v>
      </c>
      <c r="AJ92" s="546">
        <f>CHOOSE(MATCH('Lists and Mapping'!$C$10,'Lists and Mapping'!$B$3:$B$5,0),'2026 Forecast'!AJ92,'2027 Forecast'!AJ92,'2028 Forecast'!AJ92)</f>
        <v>4.6743720050413922</v>
      </c>
      <c r="AK92" s="547">
        <f>CHOOSE(MATCH('Lists and Mapping'!$C$10,'Lists and Mapping'!$B$3:$B$5,0),'2026 Forecast'!AK92,'2027 Forecast'!AK92,'2028 Forecast'!AK92)</f>
        <v>25.020723320682194</v>
      </c>
      <c r="AL92" s="546">
        <f>CHOOSE(MATCH('Lists and Mapping'!$C$10,'Lists and Mapping'!$B$3:$B$5,0),'2026 Forecast'!AL92,'2027 Forecast'!AL92,'2028 Forecast'!AL92)</f>
        <v>1.1678000000000002</v>
      </c>
      <c r="AM92" s="546">
        <f>CHOOSE(MATCH('Lists and Mapping'!$C$10,'Lists and Mapping'!$B$3:$B$5,0),'2026 Forecast'!AM92,'2027 Forecast'!AM92,'2028 Forecast'!AM92)</f>
        <v>8.5899999999999987E-3</v>
      </c>
      <c r="AN92" s="547">
        <f>CHOOSE(MATCH('Lists and Mapping'!$C$10,'Lists and Mapping'!$B$3:$B$5,0),'2026 Forecast'!AN92,'2027 Forecast'!AN92,'2028 Forecast'!AN92)</f>
        <v>25.020723320682194</v>
      </c>
      <c r="AO92" s="446"/>
      <c r="AP92" s="446"/>
      <c r="AQ92" s="446"/>
      <c r="AR92" s="446"/>
      <c r="AS92" s="446"/>
      <c r="AT92" s="72"/>
      <c r="AU92" s="72"/>
      <c r="AV92" s="72"/>
      <c r="AW92" s="72"/>
      <c r="AX92" s="72"/>
      <c r="AY92" s="72"/>
      <c r="AZ92" s="72"/>
      <c r="BA92" s="72"/>
      <c r="BB92" s="72"/>
    </row>
    <row r="93" spans="2:55">
      <c r="B93" s="529" t="s">
        <v>139</v>
      </c>
      <c r="C93" s="452" t="s">
        <v>253</v>
      </c>
      <c r="D93" s="572" t="s">
        <v>287</v>
      </c>
      <c r="E93" s="531">
        <f>CHOOSE(MATCH('Lists and Mapping'!$C$10,'Lists and Mapping'!$B$3:$B$5,0),'2026 Forecast'!E93,'2027 Forecast'!E93,'2028 Forecast'!E93)</f>
        <v>687</v>
      </c>
      <c r="F93" s="565">
        <f>CHOOSE(MATCH('Lists and Mapping'!$C$10,'Lists and Mapping'!$B$3:$B$5,0),'2026 Forecast'!F93,'2027 Forecast'!F93,'2028 Forecast'!F93)</f>
        <v>1.4</v>
      </c>
      <c r="G93" s="533">
        <f>CHOOSE(MATCH('Lists and Mapping'!$C$10,'Lists and Mapping'!$B$3:$B$5,0),'2026 Forecast'!G93,'2027 Forecast'!G93,'2028 Forecast'!G93)</f>
        <v>0</v>
      </c>
      <c r="H93" s="533">
        <f>CHOOSE(MATCH('Lists and Mapping'!$C$10,'Lists and Mapping'!$B$3:$B$5,0),'2026 Forecast'!H93,'2027 Forecast'!H93,'2028 Forecast'!H93)</f>
        <v>0</v>
      </c>
      <c r="I93" s="533">
        <f>CHOOSE(MATCH('Lists and Mapping'!$C$10,'Lists and Mapping'!$B$3:$B$5,0),'2026 Forecast'!I93,'2027 Forecast'!I93,'2028 Forecast'!I93)</f>
        <v>0</v>
      </c>
      <c r="J93" s="535">
        <f>CHOOSE(MATCH('Lists and Mapping'!$C$10,'Lists and Mapping'!$B$3:$B$5,0),'2026 Forecast'!J93,'2027 Forecast'!J93,'2028 Forecast'!J93)</f>
        <v>0</v>
      </c>
      <c r="K93" s="535">
        <f>CHOOSE(MATCH('Lists and Mapping'!$C$10,'Lists and Mapping'!$B$3:$B$5,0),'2026 Forecast'!K93,'2027 Forecast'!K93,'2028 Forecast'!K93)</f>
        <v>0</v>
      </c>
      <c r="L93" s="535">
        <f>CHOOSE(MATCH('Lists and Mapping'!$C$10,'Lists and Mapping'!$B$3:$B$5,0),'2026 Forecast'!L93,'2027 Forecast'!L93,'2028 Forecast'!L93)</f>
        <v>0</v>
      </c>
      <c r="M93" s="537">
        <f>CHOOSE(MATCH('Lists and Mapping'!$C$10,'Lists and Mapping'!$B$3:$B$5,0),'2026 Forecast'!M93,'2027 Forecast'!M93,'2028 Forecast'!M93)</f>
        <v>0</v>
      </c>
      <c r="N93" s="537">
        <f>CHOOSE(MATCH('Lists and Mapping'!$C$10,'Lists and Mapping'!$B$3:$B$5,0),'2026 Forecast'!N93,'2027 Forecast'!N93,'2028 Forecast'!N93)</f>
        <v>0</v>
      </c>
      <c r="O93" s="535">
        <f>CHOOSE(MATCH('Lists and Mapping'!$C$10,'Lists and Mapping'!$B$3:$B$5,0),'2026 Forecast'!O93,'2027 Forecast'!O93,'2028 Forecast'!O93)</f>
        <v>0</v>
      </c>
      <c r="P93" s="538">
        <f>CHOOSE(MATCH('Lists and Mapping'!$C$10,'Lists and Mapping'!$B$3:$B$5,0),'2026 Forecast'!P93,'2027 Forecast'!P93,'2028 Forecast'!P93)</f>
        <v>0</v>
      </c>
      <c r="Q93" s="539">
        <f>CHOOSE(MATCH('Lists and Mapping'!$C$10,'Lists and Mapping'!$B$3:$B$5,0),'2026 Forecast'!Q93,'2027 Forecast'!Q93,'2028 Forecast'!Q93)</f>
        <v>0</v>
      </c>
      <c r="R93" s="539">
        <f>CHOOSE(MATCH('Lists and Mapping'!$C$10,'Lists and Mapping'!$B$3:$B$5,0),'2026 Forecast'!R93,'2027 Forecast'!R93,'2028 Forecast'!R93)</f>
        <v>0</v>
      </c>
      <c r="S93" s="539">
        <f>CHOOSE(MATCH('Lists and Mapping'!$C$10,'Lists and Mapping'!$B$3:$B$5,0),'2026 Forecast'!S93,'2027 Forecast'!S93,'2028 Forecast'!S93)</f>
        <v>0</v>
      </c>
      <c r="T93" s="539">
        <f>CHOOSE(MATCH('Lists and Mapping'!$C$10,'Lists and Mapping'!$B$3:$B$5,0),'2026 Forecast'!T93,'2027 Forecast'!T93,'2028 Forecast'!T93)</f>
        <v>0</v>
      </c>
      <c r="U93" s="539">
        <f>CHOOSE(MATCH('Lists and Mapping'!$C$10,'Lists and Mapping'!$B$3:$B$5,0),'2026 Forecast'!U93,'2027 Forecast'!U93,'2028 Forecast'!U93)</f>
        <v>7.1241229236892703E-2</v>
      </c>
      <c r="V93" s="540">
        <f>CHOOSE(MATCH('Lists and Mapping'!$C$10,'Lists and Mapping'!$B$3:$B$5,0),'2026 Forecast'!V93,'2027 Forecast'!V93,'2028 Forecast'!V93)</f>
        <v>7.1241229236892703E-2</v>
      </c>
      <c r="W93" s="542">
        <f>CHOOSE(MATCH('Lists and Mapping'!$C$10,'Lists and Mapping'!$B$3:$B$5,0),'2026 Forecast'!W93,'2027 Forecast'!W93,'2028 Forecast'!W93)</f>
        <v>0</v>
      </c>
      <c r="X93" s="542">
        <f>CHOOSE(MATCH('Lists and Mapping'!$C$10,'Lists and Mapping'!$B$3:$B$5,0),'2026 Forecast'!X93,'2027 Forecast'!X93,'2028 Forecast'!X93)</f>
        <v>0</v>
      </c>
      <c r="Y93" s="542">
        <f>CHOOSE(MATCH('Lists and Mapping'!$C$10,'Lists and Mapping'!$B$3:$B$5,0),'2026 Forecast'!Y93,'2027 Forecast'!Y93,'2028 Forecast'!Y93)</f>
        <v>0</v>
      </c>
      <c r="Z93" s="540">
        <f>CHOOSE(MATCH('Lists and Mapping'!$C$10,'Lists and Mapping'!$B$3:$B$5,0),'2026 Forecast'!Z93,'2027 Forecast'!Z93,'2028 Forecast'!Z93)</f>
        <v>0</v>
      </c>
      <c r="AA93" s="543">
        <f>CHOOSE(MATCH('Lists and Mapping'!$C$10,'Lists and Mapping'!$B$3:$B$5,0),'2026 Forecast'!AA93,'2027 Forecast'!AA93,'2028 Forecast'!AA93)</f>
        <v>7.1241229236892703E-2</v>
      </c>
      <c r="AB93" s="570">
        <f>CHOOSE(MATCH('Lists and Mapping'!$C$10,'Lists and Mapping'!$B$3:$B$5,0),'2026 Forecast'!AB93,'2027 Forecast'!AB93,'2028 Forecast'!AB93)</f>
        <v>0.15427734971857976</v>
      </c>
      <c r="AC93" s="570">
        <f>CHOOSE(MATCH('Lists and Mapping'!$C$10,'Lists and Mapping'!$B$3:$B$5,0),'2026 Forecast'!AC93,'2027 Forecast'!AC93,'2028 Forecast'!AC93)</f>
        <v>6.5441208070579487E-2</v>
      </c>
      <c r="AD93" s="570">
        <f>CHOOSE(MATCH('Lists and Mapping'!$C$10,'Lists and Mapping'!$B$3:$B$5,0),'2026 Forecast'!AD93,'2027 Forecast'!AD93,'2028 Forecast'!AD93)</f>
        <v>8.0219999999999996E-3</v>
      </c>
      <c r="AE93" s="570">
        <f>CHOOSE(MATCH('Lists and Mapping'!$C$10,'Lists and Mapping'!$B$3:$B$5,0),'2026 Forecast'!AE93,'2027 Forecast'!AE93,'2028 Forecast'!AE93)</f>
        <v>1.6349200000000001E-2</v>
      </c>
      <c r="AF93" s="543">
        <f>CHOOSE(MATCH('Lists and Mapping'!$C$10,'Lists and Mapping'!$B$3:$B$5,0),'2026 Forecast'!AF93,'2027 Forecast'!AF93,'2028 Forecast'!AF93)</f>
        <v>1.2025999999999998E-4</v>
      </c>
      <c r="AG93" s="545">
        <f>CHOOSE(MATCH('Lists and Mapping'!$C$10,'Lists and Mapping'!$B$3:$B$5,0),'2026 Forecast'!AG93,'2027 Forecast'!AG93,'2028 Forecast'!AG93)</f>
        <v>0.31545124702605193</v>
      </c>
      <c r="AH93" s="546">
        <f>CHOOSE(MATCH('Lists and Mapping'!$C$10,'Lists and Mapping'!$B$3:$B$5,0),'2026 Forecast'!AH93,'2027 Forecast'!AH93,'2028 Forecast'!AH93)</f>
        <v>5.0886592312066226</v>
      </c>
      <c r="AI93" s="546">
        <f>CHOOSE(MATCH('Lists and Mapping'!$C$10,'Lists and Mapping'!$B$3:$B$5,0),'2026 Forecast'!AI93,'2027 Forecast'!AI93,'2028 Forecast'!AI93)</f>
        <v>11.019810694184269</v>
      </c>
      <c r="AJ93" s="546">
        <f>CHOOSE(MATCH('Lists and Mapping'!$C$10,'Lists and Mapping'!$B$3:$B$5,0),'2026 Forecast'!AJ93,'2027 Forecast'!AJ93,'2028 Forecast'!AJ93)</f>
        <v>4.6743720050413922</v>
      </c>
      <c r="AK93" s="547">
        <f>CHOOSE(MATCH('Lists and Mapping'!$C$10,'Lists and Mapping'!$B$3:$B$5,0),'2026 Forecast'!AK93,'2027 Forecast'!AK93,'2028 Forecast'!AK93)</f>
        <v>22.532231930432282</v>
      </c>
      <c r="AL93" s="546">
        <f>CHOOSE(MATCH('Lists and Mapping'!$C$10,'Lists and Mapping'!$B$3:$B$5,0),'2026 Forecast'!AL93,'2027 Forecast'!AL93,'2028 Forecast'!AL93)</f>
        <v>1.1678000000000002</v>
      </c>
      <c r="AM93" s="546">
        <f>CHOOSE(MATCH('Lists and Mapping'!$C$10,'Lists and Mapping'!$B$3:$B$5,0),'2026 Forecast'!AM93,'2027 Forecast'!AM93,'2028 Forecast'!AM93)</f>
        <v>8.5899999999999987E-3</v>
      </c>
      <c r="AN93" s="547">
        <f>CHOOSE(MATCH('Lists and Mapping'!$C$10,'Lists and Mapping'!$B$3:$B$5,0),'2026 Forecast'!AN93,'2027 Forecast'!AN93,'2028 Forecast'!AN93)</f>
        <v>22.532231930432282</v>
      </c>
      <c r="AO93" s="446"/>
      <c r="AP93" s="446"/>
      <c r="AQ93" s="446"/>
      <c r="AR93" s="446"/>
      <c r="AS93" s="446"/>
      <c r="AT93" s="72"/>
      <c r="AU93" s="72"/>
      <c r="AV93" s="72"/>
      <c r="AW93" s="72"/>
      <c r="AX93" s="72"/>
      <c r="AY93" s="72"/>
      <c r="AZ93" s="72"/>
      <c r="BA93" s="72"/>
      <c r="BB93" s="72"/>
    </row>
    <row r="94" spans="2:55">
      <c r="B94" s="529" t="s">
        <v>140</v>
      </c>
      <c r="C94" s="452" t="s">
        <v>253</v>
      </c>
      <c r="D94" s="572" t="s">
        <v>140</v>
      </c>
      <c r="E94" s="612">
        <f>CHOOSE(MATCH('Lists and Mapping'!$C$10,'Lists and Mapping'!$B$3:$B$5,0),'2026 Forecast'!E94,'2027 Forecast'!E94,'2028 Forecast'!E94)</f>
        <v>1038</v>
      </c>
      <c r="F94" s="565">
        <f>CHOOSE(MATCH('Lists and Mapping'!$C$10,'Lists and Mapping'!$B$3:$B$5,0),'2026 Forecast'!F94,'2027 Forecast'!F94,'2028 Forecast'!F94)</f>
        <v>13</v>
      </c>
      <c r="G94" s="575">
        <f>CHOOSE(MATCH('Lists and Mapping'!$C$10,'Lists and Mapping'!$B$3:$B$5,0),'2026 Forecast'!G94,'2027 Forecast'!G94,'2028 Forecast'!G94)</f>
        <v>0</v>
      </c>
      <c r="H94" s="575">
        <f>CHOOSE(MATCH('Lists and Mapping'!$C$10,'Lists and Mapping'!$B$3:$B$5,0),'2026 Forecast'!H94,'2027 Forecast'!H94,'2028 Forecast'!H94)</f>
        <v>0</v>
      </c>
      <c r="I94" s="575">
        <f>CHOOSE(MATCH('Lists and Mapping'!$C$10,'Lists and Mapping'!$B$3:$B$5,0),'2026 Forecast'!I94,'2027 Forecast'!I94,'2028 Forecast'!I94)</f>
        <v>0</v>
      </c>
      <c r="J94" s="587">
        <f>CHOOSE(MATCH('Lists and Mapping'!$C$10,'Lists and Mapping'!$B$3:$B$5,0),'2026 Forecast'!J94,'2027 Forecast'!J94,'2028 Forecast'!J94)</f>
        <v>0</v>
      </c>
      <c r="K94" s="587">
        <f>CHOOSE(MATCH('Lists and Mapping'!$C$10,'Lists and Mapping'!$B$3:$B$5,0),'2026 Forecast'!K94,'2027 Forecast'!K94,'2028 Forecast'!K94)</f>
        <v>0</v>
      </c>
      <c r="L94" s="587">
        <f>CHOOSE(MATCH('Lists and Mapping'!$C$10,'Lists and Mapping'!$B$3:$B$5,0),'2026 Forecast'!L94,'2027 Forecast'!L94,'2028 Forecast'!L94)</f>
        <v>0</v>
      </c>
      <c r="M94" s="613">
        <f>CHOOSE(MATCH('Lists and Mapping'!$C$10,'Lists and Mapping'!$B$3:$B$5,0),'2026 Forecast'!M94,'2027 Forecast'!M94,'2028 Forecast'!M94)</f>
        <v>0</v>
      </c>
      <c r="N94" s="613">
        <f>CHOOSE(MATCH('Lists and Mapping'!$C$10,'Lists and Mapping'!$B$3:$B$5,0),'2026 Forecast'!N94,'2027 Forecast'!N94,'2028 Forecast'!N94)</f>
        <v>0</v>
      </c>
      <c r="O94" s="587">
        <f>CHOOSE(MATCH('Lists and Mapping'!$C$10,'Lists and Mapping'!$B$3:$B$5,0),'2026 Forecast'!O94,'2027 Forecast'!O94,'2028 Forecast'!O94)</f>
        <v>0</v>
      </c>
      <c r="P94" s="538">
        <f>CHOOSE(MATCH('Lists and Mapping'!$C$10,'Lists and Mapping'!$B$3:$B$5,0),'2026 Forecast'!P94,'2027 Forecast'!P94,'2028 Forecast'!P94)</f>
        <v>6.1800000000000001E-2</v>
      </c>
      <c r="Q94" s="578">
        <f>CHOOSE(MATCH('Lists and Mapping'!$C$10,'Lists and Mapping'!$B$3:$B$5,0),'2026 Forecast'!Q94,'2027 Forecast'!Q94,'2028 Forecast'!Q94)</f>
        <v>0</v>
      </c>
      <c r="R94" s="578">
        <f>CHOOSE(MATCH('Lists and Mapping'!$C$10,'Lists and Mapping'!$B$3:$B$5,0),'2026 Forecast'!R94,'2027 Forecast'!R94,'2028 Forecast'!R94)</f>
        <v>0</v>
      </c>
      <c r="S94" s="578">
        <f>CHOOSE(MATCH('Lists and Mapping'!$C$10,'Lists and Mapping'!$B$3:$B$5,0),'2026 Forecast'!S94,'2027 Forecast'!S94,'2028 Forecast'!S94)</f>
        <v>0</v>
      </c>
      <c r="T94" s="578">
        <f>CHOOSE(MATCH('Lists and Mapping'!$C$10,'Lists and Mapping'!$B$3:$B$5,0),'2026 Forecast'!T94,'2027 Forecast'!T94,'2028 Forecast'!T94)</f>
        <v>0</v>
      </c>
      <c r="U94" s="539">
        <f>CHOOSE(MATCH('Lists and Mapping'!$C$10,'Lists and Mapping'!$B$3:$B$5,0),'2026 Forecast'!U94,'2027 Forecast'!U94,'2028 Forecast'!U94)</f>
        <v>0.3951391848937581</v>
      </c>
      <c r="V94" s="540">
        <f>CHOOSE(MATCH('Lists and Mapping'!$C$10,'Lists and Mapping'!$B$3:$B$5,0),'2026 Forecast'!V94,'2027 Forecast'!V94,'2028 Forecast'!V94)</f>
        <v>0.3951391848937581</v>
      </c>
      <c r="W94" s="542">
        <f>CHOOSE(MATCH('Lists and Mapping'!$C$10,'Lists and Mapping'!$B$3:$B$5,0),'2026 Forecast'!W94,'2027 Forecast'!W94,'2028 Forecast'!W94)</f>
        <v>0</v>
      </c>
      <c r="X94" s="542">
        <f>CHOOSE(MATCH('Lists and Mapping'!$C$10,'Lists and Mapping'!$B$3:$B$5,0),'2026 Forecast'!X94,'2027 Forecast'!X94,'2028 Forecast'!X94)</f>
        <v>0</v>
      </c>
      <c r="Y94" s="542">
        <f>CHOOSE(MATCH('Lists and Mapping'!$C$10,'Lists and Mapping'!$B$3:$B$5,0),'2026 Forecast'!Y94,'2027 Forecast'!Y94,'2028 Forecast'!Y94)</f>
        <v>0</v>
      </c>
      <c r="Z94" s="540">
        <f>CHOOSE(MATCH('Lists and Mapping'!$C$10,'Lists and Mapping'!$B$3:$B$5,0),'2026 Forecast'!Z94,'2027 Forecast'!Z94,'2028 Forecast'!Z94)</f>
        <v>0</v>
      </c>
      <c r="AA94" s="543">
        <f>CHOOSE(MATCH('Lists and Mapping'!$C$10,'Lists and Mapping'!$B$3:$B$5,0),'2026 Forecast'!AA94,'2027 Forecast'!AA94,'2028 Forecast'!AA94)</f>
        <v>0.45693918489375812</v>
      </c>
      <c r="AB94" s="570">
        <f>CHOOSE(MATCH('Lists and Mapping'!$C$10,'Lists and Mapping'!$B$3:$B$5,0),'2026 Forecast'!AB94,'2027 Forecast'!AB94,'2028 Forecast'!AB94)</f>
        <v>1.4325753902439551</v>
      </c>
      <c r="AC94" s="570">
        <f>CHOOSE(MATCH('Lists and Mapping'!$C$10,'Lists and Mapping'!$B$3:$B$5,0),'2026 Forecast'!AC94,'2027 Forecast'!AC94,'2028 Forecast'!AC94)</f>
        <v>0.60766836065538099</v>
      </c>
      <c r="AD94" s="570">
        <f>CHOOSE(MATCH('Lists and Mapping'!$C$10,'Lists and Mapping'!$B$3:$B$5,0),'2026 Forecast'!AD94,'2027 Forecast'!AD94,'2028 Forecast'!AD94)</f>
        <v>7.4490000000000001E-2</v>
      </c>
      <c r="AE94" s="570">
        <f>CHOOSE(MATCH('Lists and Mapping'!$C$10,'Lists and Mapping'!$B$3:$B$5,0),'2026 Forecast'!AE94,'2027 Forecast'!AE94,'2028 Forecast'!AE94)</f>
        <v>0.151814</v>
      </c>
      <c r="AF94" s="543">
        <f>CHOOSE(MATCH('Lists and Mapping'!$C$10,'Lists and Mapping'!$B$3:$B$5,0),'2026 Forecast'!AF94,'2027 Forecast'!AF94,'2028 Forecast'!AF94)</f>
        <v>1.1166999999999998E-3</v>
      </c>
      <c r="AG94" s="545">
        <f>CHOOSE(MATCH('Lists and Mapping'!$C$10,'Lists and Mapping'!$B$3:$B$5,0),'2026 Forecast'!AG94,'2027 Forecast'!AG94,'2028 Forecast'!AG94)</f>
        <v>2.7246036357930943</v>
      </c>
      <c r="AH94" s="546">
        <f>CHOOSE(MATCH('Lists and Mapping'!$C$10,'Lists and Mapping'!$B$3:$B$5,0),'2026 Forecast'!AH94,'2027 Forecast'!AH94,'2028 Forecast'!AH94)</f>
        <v>3.5149168068750622</v>
      </c>
      <c r="AI94" s="546">
        <f>CHOOSE(MATCH('Lists and Mapping'!$C$10,'Lists and Mapping'!$B$3:$B$5,0),'2026 Forecast'!AI94,'2027 Forecast'!AI94,'2028 Forecast'!AI94)</f>
        <v>11.019810694184271</v>
      </c>
      <c r="AJ94" s="546">
        <f>CHOOSE(MATCH('Lists and Mapping'!$C$10,'Lists and Mapping'!$B$3:$B$5,0),'2026 Forecast'!AJ94,'2027 Forecast'!AJ94,'2028 Forecast'!AJ94)</f>
        <v>4.6743720050413922</v>
      </c>
      <c r="AK94" s="547">
        <f>CHOOSE(MATCH('Lists and Mapping'!$C$10,'Lists and Mapping'!$B$3:$B$5,0),'2026 Forecast'!AK94,'2027 Forecast'!AK94,'2028 Forecast'!AK94)</f>
        <v>20.958489506100726</v>
      </c>
      <c r="AL94" s="546">
        <f>CHOOSE(MATCH('Lists and Mapping'!$C$10,'Lists and Mapping'!$B$3:$B$5,0),'2026 Forecast'!AL94,'2027 Forecast'!AL94,'2028 Forecast'!AL94)</f>
        <v>1.1678000000000002</v>
      </c>
      <c r="AM94" s="546">
        <f>CHOOSE(MATCH('Lists and Mapping'!$C$10,'Lists and Mapping'!$B$3:$B$5,0),'2026 Forecast'!AM94,'2027 Forecast'!AM94,'2028 Forecast'!AM94)</f>
        <v>8.5899999999999987E-3</v>
      </c>
      <c r="AN94" s="547">
        <f>CHOOSE(MATCH('Lists and Mapping'!$C$10,'Lists and Mapping'!$B$3:$B$5,0),'2026 Forecast'!AN94,'2027 Forecast'!AN94,'2028 Forecast'!AN94)</f>
        <v>20.958489506100726</v>
      </c>
      <c r="AO94" s="446"/>
      <c r="AP94" s="446"/>
      <c r="AQ94" s="446"/>
      <c r="AR94" s="446"/>
      <c r="AS94" s="446"/>
      <c r="AT94" s="72"/>
      <c r="AU94" s="72"/>
      <c r="AV94" s="72"/>
      <c r="AW94" s="72"/>
      <c r="AX94" s="72"/>
      <c r="AY94" s="72"/>
      <c r="AZ94" s="72"/>
      <c r="BA94" s="72"/>
      <c r="BB94" s="72"/>
    </row>
    <row r="95" spans="2:55">
      <c r="C95" s="549"/>
      <c r="D95" s="549" t="s">
        <v>222</v>
      </c>
      <c r="E95" s="550">
        <f>CHOOSE(MATCH('Lists and Mapping'!$C$10,'Lists and Mapping'!$B$3:$B$5,0),'2026 Forecast'!E95,'2027 Forecast'!E95,'2028 Forecast'!E95)</f>
        <v>2207.1047265987027</v>
      </c>
      <c r="F95" s="552">
        <f>CHOOSE(MATCH('Lists and Mapping'!$C$10,'Lists and Mapping'!$B$3:$B$5,0),'2026 Forecast'!F95,'2027 Forecast'!F95,'2028 Forecast'!F95)</f>
        <v>268.85386689968573</v>
      </c>
      <c r="G95" s="552">
        <f>CHOOSE(MATCH('Lists and Mapping'!$C$10,'Lists and Mapping'!$B$3:$B$5,0),'2026 Forecast'!G95,'2027 Forecast'!G95,'2028 Forecast'!G95)</f>
        <v>1.9812000000000001</v>
      </c>
      <c r="H95" s="552">
        <f>CHOOSE(MATCH('Lists and Mapping'!$C$10,'Lists and Mapping'!$B$3:$B$5,0),'2026 Forecast'!H95,'2027 Forecast'!H95,'2028 Forecast'!H95)</f>
        <v>1.1279575656600649</v>
      </c>
      <c r="I95" s="552">
        <f>CHOOSE(MATCH('Lists and Mapping'!$C$10,'Lists and Mapping'!$B$3:$B$5,0),'2026 Forecast'!I95,'2027 Forecast'!I95,'2028 Forecast'!I95)</f>
        <v>0</v>
      </c>
      <c r="J95" s="553">
        <f>CHOOSE(MATCH('Lists and Mapping'!$C$10,'Lists and Mapping'!$B$3:$B$5,0),'2026 Forecast'!J95,'2027 Forecast'!J95,'2028 Forecast'!J95)</f>
        <v>0</v>
      </c>
      <c r="K95" s="553">
        <f>CHOOSE(MATCH('Lists and Mapping'!$C$10,'Lists and Mapping'!$B$3:$B$5,0),'2026 Forecast'!K95,'2027 Forecast'!K95,'2028 Forecast'!K95)</f>
        <v>446276</v>
      </c>
      <c r="L95" s="553">
        <f>CHOOSE(MATCH('Lists and Mapping'!$C$10,'Lists and Mapping'!$B$3:$B$5,0),'2026 Forecast'!L95,'2027 Forecast'!L95,'2028 Forecast'!L95)</f>
        <v>0</v>
      </c>
      <c r="M95" s="554">
        <f>CHOOSE(MATCH('Lists and Mapping'!$C$10,'Lists and Mapping'!$B$3:$B$5,0),'2026 Forecast'!M95,'2027 Forecast'!M95,'2028 Forecast'!M95)</f>
        <v>0</v>
      </c>
      <c r="N95" s="554">
        <f>CHOOSE(MATCH('Lists and Mapping'!$C$10,'Lists and Mapping'!$B$3:$B$5,0),'2026 Forecast'!N95,'2027 Forecast'!N95,'2028 Forecast'!N95)</f>
        <v>0</v>
      </c>
      <c r="O95" s="555">
        <f>CHOOSE(MATCH('Lists and Mapping'!$C$10,'Lists and Mapping'!$B$3:$B$5,0),'2026 Forecast'!O95,'2027 Forecast'!O95,'2028 Forecast'!O95)</f>
        <v>0</v>
      </c>
      <c r="P95" s="556">
        <f>CHOOSE(MATCH('Lists and Mapping'!$C$10,'Lists and Mapping'!$B$3:$B$5,0),'2026 Forecast'!P95,'2027 Forecast'!P95,'2028 Forecast'!P95)</f>
        <v>7.8719999999999998E-2</v>
      </c>
      <c r="Q95" s="614">
        <f>CHOOSE(MATCH('Lists and Mapping'!$C$10,'Lists and Mapping'!$B$3:$B$5,0),'2026 Forecast'!Q95,'2027 Forecast'!Q95,'2028 Forecast'!Q95)</f>
        <v>0.30855693312511695</v>
      </c>
      <c r="R95" s="588">
        <f>CHOOSE(MATCH('Lists and Mapping'!$C$10,'Lists and Mapping'!$B$3:$B$5,0),'2026 Forecast'!R95,'2027 Forecast'!R95,'2028 Forecast'!R95)</f>
        <v>0</v>
      </c>
      <c r="S95" s="588">
        <f>CHOOSE(MATCH('Lists and Mapping'!$C$10,'Lists and Mapping'!$B$3:$B$5,0),'2026 Forecast'!S95,'2027 Forecast'!S95,'2028 Forecast'!S95)</f>
        <v>0</v>
      </c>
      <c r="T95" s="588">
        <f>CHOOSE(MATCH('Lists and Mapping'!$C$10,'Lists and Mapping'!$B$3:$B$5,0),'2026 Forecast'!T95,'2027 Forecast'!T95,'2028 Forecast'!T95)</f>
        <v>0</v>
      </c>
      <c r="U95" s="588">
        <f>CHOOSE(MATCH('Lists and Mapping'!$C$10,'Lists and Mapping'!$B$3:$B$5,0),'2026 Forecast'!U95,'2027 Forecast'!U95,'2028 Forecast'!U95)</f>
        <v>61.642122350646481</v>
      </c>
      <c r="V95" s="615">
        <f>CHOOSE(MATCH('Lists and Mapping'!$C$10,'Lists and Mapping'!$B$3:$B$5,0),'2026 Forecast'!V95,'2027 Forecast'!V95,'2028 Forecast'!V95)</f>
        <v>61.950679283771599</v>
      </c>
      <c r="W95" s="616">
        <f>CHOOSE(MATCH('Lists and Mapping'!$C$10,'Lists and Mapping'!$B$3:$B$5,0),'2026 Forecast'!W95,'2027 Forecast'!W95,'2028 Forecast'!W95)</f>
        <v>0</v>
      </c>
      <c r="X95" s="588">
        <f>CHOOSE(MATCH('Lists and Mapping'!$C$10,'Lists and Mapping'!$B$3:$B$5,0),'2026 Forecast'!X95,'2027 Forecast'!X95,'2028 Forecast'!X95)</f>
        <v>0</v>
      </c>
      <c r="Y95" s="588">
        <f>CHOOSE(MATCH('Lists and Mapping'!$C$10,'Lists and Mapping'!$B$3:$B$5,0),'2026 Forecast'!Y95,'2027 Forecast'!Y95,'2028 Forecast'!Y95)</f>
        <v>0</v>
      </c>
      <c r="Z95" s="615">
        <f>CHOOSE(MATCH('Lists and Mapping'!$C$10,'Lists and Mapping'!$B$3:$B$5,0),'2026 Forecast'!Z95,'2027 Forecast'!Z95,'2028 Forecast'!Z95)</f>
        <v>0</v>
      </c>
      <c r="AA95" s="556">
        <f>CHOOSE(MATCH('Lists and Mapping'!$C$10,'Lists and Mapping'!$B$3:$B$5,0),'2026 Forecast'!AA95,'2027 Forecast'!AA95,'2028 Forecast'!AA95)</f>
        <v>62.029399283771596</v>
      </c>
      <c r="AB95" s="560">
        <f>CHOOSE(MATCH('Lists and Mapping'!$C$10,'Lists and Mapping'!$B$3:$B$5,0),'2026 Forecast'!AB95,'2027 Forecast'!AB95,'2028 Forecast'!AB95)</f>
        <v>29.627187176339497</v>
      </c>
      <c r="AC95" s="560">
        <f>CHOOSE(MATCH('Lists and Mapping'!$C$10,'Lists and Mapping'!$B$3:$B$5,0),'2026 Forecast'!AC95,'2027 Forecast'!AC95,'2028 Forecast'!AC95)</f>
        <v>12.567229888830155</v>
      </c>
      <c r="AD95" s="560">
        <f>CHOOSE(MATCH('Lists and Mapping'!$C$10,'Lists and Mapping'!$B$3:$B$5,0),'2026 Forecast'!AD95,'2027 Forecast'!AD95,'2028 Forecast'!AD95)</f>
        <v>1.540532657335199</v>
      </c>
      <c r="AE95" s="560">
        <f>CHOOSE(MATCH('Lists and Mapping'!$C$10,'Lists and Mapping'!$B$3:$B$5,0),'2026 Forecast'!AE95,'2027 Forecast'!AE95,'2028 Forecast'!AE95)</f>
        <v>3.1396754576545312</v>
      </c>
      <c r="AF95" s="558">
        <f>CHOOSE(MATCH('Lists and Mapping'!$C$10,'Lists and Mapping'!$B$3:$B$5,0),'2026 Forecast'!AF95,'2027 Forecast'!AF95,'2028 Forecast'!AF95)</f>
        <v>2.3094547166682997E-2</v>
      </c>
      <c r="AG95" s="582">
        <f>CHOOSE(MATCH('Lists and Mapping'!$C$10,'Lists and Mapping'!$B$3:$B$5,0),'2026 Forecast'!AG95,'2027 Forecast'!AG95,'2028 Forecast'!AG95)</f>
        <v>108.92711901109766</v>
      </c>
      <c r="AH95" s="582">
        <f>CHOOSE(MATCH('Lists and Mapping'!$C$10,'Lists and Mapping'!$B$3:$B$5,0),'2026 Forecast'!AH95,'2027 Forecast'!AH95,'2028 Forecast'!AH95)</f>
        <v>23.071789890571257</v>
      </c>
      <c r="AI95" s="582">
        <f>CHOOSE(MATCH('Lists and Mapping'!$C$10,'Lists and Mapping'!$B$3:$B$5,0),'2026 Forecast'!AI95,'2027 Forecast'!AI95,'2028 Forecast'!AI95)</f>
        <v>11.019810694184265</v>
      </c>
      <c r="AJ95" s="582">
        <f>CHOOSE(MATCH('Lists and Mapping'!$C$10,'Lists and Mapping'!$B$3:$B$5,0),'2026 Forecast'!AJ95,'2027 Forecast'!AJ95,'2028 Forecast'!AJ95)</f>
        <v>4.6743720050413922</v>
      </c>
      <c r="AK95" s="563">
        <f>CHOOSE(MATCH('Lists and Mapping'!$C$10,'Lists and Mapping'!$B$3:$B$5,0),'2026 Forecast'!AK95,'2027 Forecast'!AK95,'2028 Forecast'!AK95)</f>
        <v>40.515362589796915</v>
      </c>
      <c r="AL95" s="562">
        <f>CHOOSE(MATCH('Lists and Mapping'!$C$10,'Lists and Mapping'!$B$3:$B$5,0),'2026 Forecast'!AL95,'2027 Forecast'!AL95,'2028 Forecast'!AL95)</f>
        <v>1.1678000000000004</v>
      </c>
      <c r="AM95" s="562">
        <f>CHOOSE(MATCH('Lists and Mapping'!$C$10,'Lists and Mapping'!$B$3:$B$5,0),'2026 Forecast'!AM95,'2027 Forecast'!AM95,'2028 Forecast'!AM95)</f>
        <v>8.5899999999999969E-3</v>
      </c>
      <c r="AN95" s="563">
        <f>CHOOSE(MATCH('Lists and Mapping'!$C$10,'Lists and Mapping'!$B$3:$B$5,0),'2026 Forecast'!AN95,'2027 Forecast'!AN95,'2028 Forecast'!AN95)</f>
        <v>40.515362589796915</v>
      </c>
      <c r="AO95" s="446"/>
      <c r="AP95" s="446"/>
      <c r="AQ95" s="446"/>
      <c r="AR95" s="446"/>
      <c r="AS95" s="446"/>
      <c r="AT95" s="72"/>
      <c r="AU95" s="72"/>
      <c r="AV95" s="72"/>
      <c r="AW95" s="72"/>
      <c r="AX95" s="72"/>
      <c r="AY95" s="72"/>
      <c r="AZ95" s="72"/>
      <c r="BA95" s="72"/>
      <c r="BB95" s="72"/>
      <c r="BC95" s="72"/>
    </row>
    <row r="96" spans="2:55" ht="21.75" customHeight="1">
      <c r="C96" s="420" t="s">
        <v>288</v>
      </c>
      <c r="D96" s="452"/>
      <c r="E96" s="531">
        <f>CHOOSE(MATCH('Lists and Mapping'!$C$10,'Lists and Mapping'!$B$3:$B$5,0),'2026 Forecast'!E96,'2027 Forecast'!E96,'2028 Forecast'!E96)</f>
        <v>0</v>
      </c>
      <c r="F96" s="589">
        <f>CHOOSE(MATCH('Lists and Mapping'!$C$10,'Lists and Mapping'!$B$3:$B$5,0),'2026 Forecast'!F96,'2027 Forecast'!F96,'2028 Forecast'!F96)</f>
        <v>0</v>
      </c>
      <c r="G96" s="533">
        <f>CHOOSE(MATCH('Lists and Mapping'!$C$10,'Lists and Mapping'!$B$3:$B$5,0),'2026 Forecast'!G96,'2027 Forecast'!G96,'2028 Forecast'!G96)</f>
        <v>0</v>
      </c>
      <c r="H96" s="533">
        <f>CHOOSE(MATCH('Lists and Mapping'!$C$10,'Lists and Mapping'!$B$3:$B$5,0),'2026 Forecast'!H96,'2027 Forecast'!H96,'2028 Forecast'!H96)</f>
        <v>0</v>
      </c>
      <c r="I96" s="533">
        <f>CHOOSE(MATCH('Lists and Mapping'!$C$10,'Lists and Mapping'!$B$3:$B$5,0),'2026 Forecast'!I96,'2027 Forecast'!I96,'2028 Forecast'!I96)</f>
        <v>0</v>
      </c>
      <c r="J96" s="535">
        <f>CHOOSE(MATCH('Lists and Mapping'!$C$10,'Lists and Mapping'!$B$3:$B$5,0),'2026 Forecast'!J96,'2027 Forecast'!J96,'2028 Forecast'!J96)</f>
        <v>0</v>
      </c>
      <c r="K96" s="535">
        <f>CHOOSE(MATCH('Lists and Mapping'!$C$10,'Lists and Mapping'!$B$3:$B$5,0),'2026 Forecast'!K96,'2027 Forecast'!K96,'2028 Forecast'!K96)</f>
        <v>0</v>
      </c>
      <c r="L96" s="535">
        <f>CHOOSE(MATCH('Lists and Mapping'!$C$10,'Lists and Mapping'!$B$3:$B$5,0),'2026 Forecast'!L96,'2027 Forecast'!L96,'2028 Forecast'!L96)</f>
        <v>0</v>
      </c>
      <c r="M96" s="537">
        <f>CHOOSE(MATCH('Lists and Mapping'!$C$10,'Lists and Mapping'!$B$3:$B$5,0),'2026 Forecast'!M96,'2027 Forecast'!M96,'2028 Forecast'!M96)</f>
        <v>0</v>
      </c>
      <c r="N96" s="537">
        <f>CHOOSE(MATCH('Lists and Mapping'!$C$10,'Lists and Mapping'!$B$3:$B$5,0),'2026 Forecast'!N96,'2027 Forecast'!N96,'2028 Forecast'!N96)</f>
        <v>0</v>
      </c>
      <c r="O96" s="548">
        <f>CHOOSE(MATCH('Lists and Mapping'!$C$10,'Lists and Mapping'!$B$3:$B$5,0),'2026 Forecast'!O96,'2027 Forecast'!O96,'2028 Forecast'!O96)</f>
        <v>0</v>
      </c>
      <c r="P96" s="538">
        <f>CHOOSE(MATCH('Lists and Mapping'!$C$10,'Lists and Mapping'!$B$3:$B$5,0),'2026 Forecast'!P96,'2027 Forecast'!P96,'2028 Forecast'!P96)</f>
        <v>0</v>
      </c>
      <c r="Q96" s="542">
        <f>CHOOSE(MATCH('Lists and Mapping'!$C$10,'Lists and Mapping'!$B$3:$B$5,0),'2026 Forecast'!Q96,'2027 Forecast'!Q96,'2028 Forecast'!Q96)</f>
        <v>0</v>
      </c>
      <c r="R96" s="542">
        <f>CHOOSE(MATCH('Lists and Mapping'!$C$10,'Lists and Mapping'!$B$3:$B$5,0),'2026 Forecast'!R96,'2027 Forecast'!R96,'2028 Forecast'!R96)</f>
        <v>0</v>
      </c>
      <c r="S96" s="542">
        <f>CHOOSE(MATCH('Lists and Mapping'!$C$10,'Lists and Mapping'!$B$3:$B$5,0),'2026 Forecast'!S96,'2027 Forecast'!S96,'2028 Forecast'!S96)</f>
        <v>0</v>
      </c>
      <c r="T96" s="542">
        <f>CHOOSE(MATCH('Lists and Mapping'!$C$10,'Lists and Mapping'!$B$3:$B$5,0),'2026 Forecast'!T96,'2027 Forecast'!T96,'2028 Forecast'!T96)</f>
        <v>0</v>
      </c>
      <c r="U96" s="542">
        <f>CHOOSE(MATCH('Lists and Mapping'!$C$10,'Lists and Mapping'!$B$3:$B$5,0),'2026 Forecast'!U96,'2027 Forecast'!U96,'2028 Forecast'!U96)</f>
        <v>0</v>
      </c>
      <c r="V96" s="540">
        <f>CHOOSE(MATCH('Lists and Mapping'!$C$10,'Lists and Mapping'!$B$3:$B$5,0),'2026 Forecast'!V96,'2027 Forecast'!V96,'2028 Forecast'!V96)</f>
        <v>0</v>
      </c>
      <c r="W96" s="542">
        <f>CHOOSE(MATCH('Lists and Mapping'!$C$10,'Lists and Mapping'!$B$3:$B$5,0),'2026 Forecast'!W96,'2027 Forecast'!W96,'2028 Forecast'!W96)</f>
        <v>0</v>
      </c>
      <c r="X96" s="542">
        <f>CHOOSE(MATCH('Lists and Mapping'!$C$10,'Lists and Mapping'!$B$3:$B$5,0),'2026 Forecast'!X96,'2027 Forecast'!X96,'2028 Forecast'!X96)</f>
        <v>0</v>
      </c>
      <c r="Y96" s="542">
        <f>CHOOSE(MATCH('Lists and Mapping'!$C$10,'Lists and Mapping'!$B$3:$B$5,0),'2026 Forecast'!Y96,'2027 Forecast'!Y96,'2028 Forecast'!Y96)</f>
        <v>0</v>
      </c>
      <c r="Z96" s="540">
        <f>CHOOSE(MATCH('Lists and Mapping'!$C$10,'Lists and Mapping'!$B$3:$B$5,0),'2026 Forecast'!Z96,'2027 Forecast'!Z96,'2028 Forecast'!Z96)</f>
        <v>0</v>
      </c>
      <c r="AA96" s="543">
        <f>CHOOSE(MATCH('Lists and Mapping'!$C$10,'Lists and Mapping'!$B$3:$B$5,0),'2026 Forecast'!AA96,'2027 Forecast'!AA96,'2028 Forecast'!AA96)</f>
        <v>0</v>
      </c>
      <c r="AB96" s="617">
        <f>CHOOSE(MATCH('Lists and Mapping'!$C$10,'Lists and Mapping'!$B$3:$B$5,0),'2026 Forecast'!AB96,'2027 Forecast'!AB96,'2028 Forecast'!AB96)</f>
        <v>0</v>
      </c>
      <c r="AC96" s="617">
        <f>CHOOSE(MATCH('Lists and Mapping'!$C$10,'Lists and Mapping'!$B$3:$B$5,0),'2026 Forecast'!AC96,'2027 Forecast'!AC96,'2028 Forecast'!AC96)</f>
        <v>0</v>
      </c>
      <c r="AD96" s="617">
        <f>CHOOSE(MATCH('Lists and Mapping'!$C$10,'Lists and Mapping'!$B$3:$B$5,0),'2026 Forecast'!AD96,'2027 Forecast'!AD96,'2028 Forecast'!AD96)</f>
        <v>0</v>
      </c>
      <c r="AE96" s="617">
        <f>CHOOSE(MATCH('Lists and Mapping'!$C$10,'Lists and Mapping'!$B$3:$B$5,0),'2026 Forecast'!AE96,'2027 Forecast'!AE96,'2028 Forecast'!AE96)</f>
        <v>0</v>
      </c>
      <c r="AF96" s="540">
        <f>CHOOSE(MATCH('Lists and Mapping'!$C$10,'Lists and Mapping'!$B$3:$B$5,0),'2026 Forecast'!AF96,'2027 Forecast'!AF96,'2028 Forecast'!AF96)</f>
        <v>0</v>
      </c>
      <c r="AG96" s="545">
        <f>CHOOSE(MATCH('Lists and Mapping'!$C$10,'Lists and Mapping'!$B$3:$B$5,0),'2026 Forecast'!AG96,'2027 Forecast'!AG96,'2028 Forecast'!AG96)</f>
        <v>0</v>
      </c>
      <c r="AH96" s="546">
        <f>CHOOSE(MATCH('Lists and Mapping'!$C$10,'Lists and Mapping'!$B$3:$B$5,0),'2026 Forecast'!AH96,'2027 Forecast'!AH96,'2028 Forecast'!AH96)</f>
        <v>0</v>
      </c>
      <c r="AI96" s="571">
        <f>CHOOSE(MATCH('Lists and Mapping'!$C$10,'Lists and Mapping'!$B$3:$B$5,0),'2026 Forecast'!AI96,'2027 Forecast'!AI96,'2028 Forecast'!AI96)</f>
        <v>0</v>
      </c>
      <c r="AJ96" s="546">
        <f>CHOOSE(MATCH('Lists and Mapping'!$C$10,'Lists and Mapping'!$B$3:$B$5,0),'2026 Forecast'!AJ96,'2027 Forecast'!AJ96,'2028 Forecast'!AJ96)</f>
        <v>0</v>
      </c>
      <c r="AK96" s="547">
        <f>CHOOSE(MATCH('Lists and Mapping'!$C$10,'Lists and Mapping'!$B$3:$B$5,0),'2026 Forecast'!AK96,'2027 Forecast'!AK96,'2028 Forecast'!AK96)</f>
        <v>0</v>
      </c>
      <c r="AL96" s="546">
        <f>CHOOSE(MATCH('Lists and Mapping'!$C$10,'Lists and Mapping'!$B$3:$B$5,0),'2026 Forecast'!AL96,'2027 Forecast'!AL96,'2028 Forecast'!AL96)</f>
        <v>0</v>
      </c>
      <c r="AM96" s="546">
        <f>CHOOSE(MATCH('Lists and Mapping'!$C$10,'Lists and Mapping'!$B$3:$B$5,0),'2026 Forecast'!AM96,'2027 Forecast'!AM96,'2028 Forecast'!AM96)</f>
        <v>0</v>
      </c>
      <c r="AN96" s="547">
        <f>CHOOSE(MATCH('Lists and Mapping'!$C$10,'Lists and Mapping'!$B$3:$B$5,0),'2026 Forecast'!AN96,'2027 Forecast'!AN96,'2028 Forecast'!AN96)</f>
        <v>0</v>
      </c>
      <c r="AO96" s="446"/>
      <c r="AP96" s="446"/>
      <c r="AQ96" s="446"/>
      <c r="AR96" s="446"/>
      <c r="AS96" s="446"/>
      <c r="AT96" s="72"/>
      <c r="AU96" s="72"/>
      <c r="AV96" s="72"/>
      <c r="AW96" s="72"/>
      <c r="AX96" s="72"/>
      <c r="AY96" s="72"/>
      <c r="AZ96" s="72"/>
      <c r="BA96" s="72"/>
      <c r="BB96" s="72"/>
    </row>
    <row r="97" spans="2:54">
      <c r="B97" s="529" t="s">
        <v>13</v>
      </c>
      <c r="C97" s="618" t="s">
        <v>271</v>
      </c>
      <c r="D97" s="618" t="s">
        <v>289</v>
      </c>
      <c r="E97" s="612">
        <f>CHOOSE(MATCH('Lists and Mapping'!$C$10,'Lists and Mapping'!$B$3:$B$5,0),'2026 Forecast'!E97,'2027 Forecast'!E97,'2028 Forecast'!E97)</f>
        <v>2</v>
      </c>
      <c r="F97" s="619">
        <f>CHOOSE(MATCH('Lists and Mapping'!$C$10,'Lists and Mapping'!$B$3:$B$5,0),'2026 Forecast'!F97,'2027 Forecast'!F97,'2028 Forecast'!F97)</f>
        <v>38.293598199999998</v>
      </c>
      <c r="G97" s="575">
        <f>CHOOSE(MATCH('Lists and Mapping'!$C$10,'Lists and Mapping'!$B$3:$B$5,0),'2026 Forecast'!G97,'2027 Forecast'!G97,'2028 Forecast'!G97)</f>
        <v>22.384799999999998</v>
      </c>
      <c r="H97" s="575">
        <f>CHOOSE(MATCH('Lists and Mapping'!$C$10,'Lists and Mapping'!$B$3:$B$5,0),'2026 Forecast'!H97,'2027 Forecast'!H97,'2028 Forecast'!H97)</f>
        <v>15.9087982</v>
      </c>
      <c r="I97" s="575">
        <f>CHOOSE(MATCH('Lists and Mapping'!$C$10,'Lists and Mapping'!$B$3:$B$5,0),'2026 Forecast'!I97,'2027 Forecast'!I97,'2028 Forecast'!I97)</f>
        <v>0</v>
      </c>
      <c r="J97" s="587">
        <f>CHOOSE(MATCH('Lists and Mapping'!$C$10,'Lists and Mapping'!$B$3:$B$5,0),'2026 Forecast'!J97,'2027 Forecast'!J97,'2028 Forecast'!J97)</f>
        <v>0</v>
      </c>
      <c r="K97" s="587">
        <f>CHOOSE(MATCH('Lists and Mapping'!$C$10,'Lists and Mapping'!$B$3:$B$5,0),'2026 Forecast'!K97,'2027 Forecast'!K97,'2028 Forecast'!K97)</f>
        <v>0</v>
      </c>
      <c r="L97" s="587">
        <f>CHOOSE(MATCH('Lists and Mapping'!$C$10,'Lists and Mapping'!$B$3:$B$5,0),'2026 Forecast'!L97,'2027 Forecast'!L97,'2028 Forecast'!L97)</f>
        <v>70176</v>
      </c>
      <c r="M97" s="613">
        <f>CHOOSE(MATCH('Lists and Mapping'!$C$10,'Lists and Mapping'!$B$3:$B$5,0),'2026 Forecast'!M97,'2027 Forecast'!M97,'2028 Forecast'!M97)</f>
        <v>76284</v>
      </c>
      <c r="N97" s="613">
        <f>CHOOSE(MATCH('Lists and Mapping'!$C$10,'Lists and Mapping'!$B$3:$B$5,0),'2026 Forecast'!N97,'2027 Forecast'!N97,'2028 Forecast'!N97)</f>
        <v>0</v>
      </c>
      <c r="O97" s="620">
        <f>CHOOSE(MATCH('Lists and Mapping'!$C$10,'Lists and Mapping'!$B$3:$B$5,0),'2026 Forecast'!O97,'2027 Forecast'!O97,'2028 Forecast'!O97)</f>
        <v>0</v>
      </c>
      <c r="P97" s="621">
        <f>CHOOSE(MATCH('Lists and Mapping'!$C$10,'Lists and Mapping'!$B$3:$B$5,0),'2026 Forecast'!P97,'2027 Forecast'!P97,'2028 Forecast'!P97)</f>
        <v>1.0800000000000001E-2</v>
      </c>
      <c r="Q97" s="578">
        <f>CHOOSE(MATCH('Lists and Mapping'!$C$10,'Lists and Mapping'!$B$3:$B$5,0),'2026 Forecast'!Q97,'2027 Forecast'!Q97,'2028 Forecast'!Q97)</f>
        <v>0.72413488800000003</v>
      </c>
      <c r="R97" s="578">
        <f>CHOOSE(MATCH('Lists and Mapping'!$C$10,'Lists and Mapping'!$B$3:$B$5,0),'2026 Forecast'!R97,'2027 Forecast'!R97,'2028 Forecast'!R97)</f>
        <v>0.5302680862796606</v>
      </c>
      <c r="S97" s="578">
        <f>CHOOSE(MATCH('Lists and Mapping'!$C$10,'Lists and Mapping'!$B$3:$B$5,0),'2026 Forecast'!S97,'2027 Forecast'!S97,'2028 Forecast'!S97)</f>
        <v>0</v>
      </c>
      <c r="T97" s="578">
        <f>CHOOSE(MATCH('Lists and Mapping'!$C$10,'Lists and Mapping'!$B$3:$B$5,0),'2026 Forecast'!T97,'2027 Forecast'!T97,'2028 Forecast'!T97)</f>
        <v>0</v>
      </c>
      <c r="U97" s="578">
        <f>CHOOSE(MATCH('Lists and Mapping'!$C$10,'Lists and Mapping'!$B$3:$B$5,0),'2026 Forecast'!U97,'2027 Forecast'!U97,'2028 Forecast'!U97)</f>
        <v>0</v>
      </c>
      <c r="V97" s="622">
        <f>CHOOSE(MATCH('Lists and Mapping'!$C$10,'Lists and Mapping'!$B$3:$B$5,0),'2026 Forecast'!V97,'2027 Forecast'!V97,'2028 Forecast'!V97)</f>
        <v>1.2544029742796607</v>
      </c>
      <c r="W97" s="623">
        <f>CHOOSE(MATCH('Lists and Mapping'!$C$10,'Lists and Mapping'!$B$3:$B$5,0),'2026 Forecast'!W97,'2027 Forecast'!W97,'2028 Forecast'!W97)</f>
        <v>0.54783959999999998</v>
      </c>
      <c r="X97" s="578">
        <f>CHOOSE(MATCH('Lists and Mapping'!$C$10,'Lists and Mapping'!$B$3:$B$5,0),'2026 Forecast'!X97,'2027 Forecast'!X97,'2028 Forecast'!X97)</f>
        <v>0</v>
      </c>
      <c r="Y97" s="578">
        <f>CHOOSE(MATCH('Lists and Mapping'!$C$10,'Lists and Mapping'!$B$3:$B$5,0),'2026 Forecast'!Y97,'2027 Forecast'!Y97,'2028 Forecast'!Y97)</f>
        <v>0</v>
      </c>
      <c r="Z97" s="622">
        <f>CHOOSE(MATCH('Lists and Mapping'!$C$10,'Lists and Mapping'!$B$3:$B$5,0),'2026 Forecast'!Z97,'2027 Forecast'!Z97,'2028 Forecast'!Z97)</f>
        <v>0.54783959999999998</v>
      </c>
      <c r="AA97" s="624">
        <f>CHOOSE(MATCH('Lists and Mapping'!$C$10,'Lists and Mapping'!$B$3:$B$5,0),'2026 Forecast'!AA97,'2027 Forecast'!AA97,'2028 Forecast'!AA97)</f>
        <v>1.8130425742796608</v>
      </c>
      <c r="AB97" s="625">
        <f>CHOOSE(MATCH('Lists and Mapping'!$C$10,'Lists and Mapping'!$B$3:$B$5,0),'2026 Forecast'!AB97,'2027 Forecast'!AB97,'2028 Forecast'!AB97)</f>
        <v>4.2198820296315542</v>
      </c>
      <c r="AC97" s="625">
        <f>CHOOSE(MATCH('Lists and Mapping'!$C$10,'Lists and Mapping'!$B$3:$B$5,0),'2026 Forecast'!AC97,'2027 Forecast'!AC97,'2028 Forecast'!AC97)</f>
        <v>1.7899852339838345</v>
      </c>
      <c r="AD97" s="625">
        <f>CHOOSE(MATCH('Lists and Mapping'!$C$10,'Lists and Mapping'!$B$3:$B$5,0),'2026 Forecast'!AD97,'2027 Forecast'!AD97,'2028 Forecast'!AD97)</f>
        <v>0.21942231768599998</v>
      </c>
      <c r="AE97" s="625">
        <f>CHOOSE(MATCH('Lists and Mapping'!$C$10,'Lists and Mapping'!$B$3:$B$5,0),'2026 Forecast'!AE97,'2027 Forecast'!AE97,'2028 Forecast'!AE97)</f>
        <v>0.4471926397796</v>
      </c>
      <c r="AF97" s="622">
        <f>CHOOSE(MATCH('Lists and Mapping'!$C$10,'Lists and Mapping'!$B$3:$B$5,0),'2026 Forecast'!AF97,'2027 Forecast'!AF97,'2028 Forecast'!AF97)</f>
        <v>3.2894200853799994E-3</v>
      </c>
      <c r="AG97" s="622">
        <f>CHOOSE(MATCH('Lists and Mapping'!$C$10,'Lists and Mapping'!$B$3:$B$5,0),'2026 Forecast'!AG97,'2027 Forecast'!AG97,'2028 Forecast'!AG97)</f>
        <v>8.49281421544603</v>
      </c>
      <c r="AH97" s="626">
        <f>CHOOSE(MATCH('Lists and Mapping'!$C$10,'Lists and Mapping'!$B$3:$B$5,0),'2026 Forecast'!AH97,'2027 Forecast'!AH97,'2028 Forecast'!AH97)</f>
        <v>4.7345840022932624</v>
      </c>
      <c r="AI97" s="626">
        <f>CHOOSE(MATCH('Lists and Mapping'!$C$10,'Lists and Mapping'!$B$3:$B$5,0),'2026 Forecast'!AI97,'2027 Forecast'!AI97,'2028 Forecast'!AI97)</f>
        <v>11.019810694184267</v>
      </c>
      <c r="AJ97" s="626">
        <f>CHOOSE(MATCH('Lists and Mapping'!$C$10,'Lists and Mapping'!$B$3:$B$5,0),'2026 Forecast'!AJ97,'2027 Forecast'!AJ97,'2028 Forecast'!AJ97)</f>
        <v>4.6743720050413922</v>
      </c>
      <c r="AK97" s="626">
        <f>CHOOSE(MATCH('Lists and Mapping'!$C$10,'Lists and Mapping'!$B$3:$B$5,0),'2026 Forecast'!AK97,'2027 Forecast'!AK97,'2028 Forecast'!AK97)</f>
        <v>22.178156701518926</v>
      </c>
      <c r="AL97" s="626">
        <f>CHOOSE(MATCH('Lists and Mapping'!$C$10,'Lists and Mapping'!$B$3:$B$5,0),'2026 Forecast'!AL97,'2027 Forecast'!AL97,'2028 Forecast'!AL97)</f>
        <v>1.1678000000000002</v>
      </c>
      <c r="AM97" s="626">
        <f>CHOOSE(MATCH('Lists and Mapping'!$C$10,'Lists and Mapping'!$B$3:$B$5,0),'2026 Forecast'!AM97,'2027 Forecast'!AM97,'2028 Forecast'!AM97)</f>
        <v>8.5899999999999987E-3</v>
      </c>
      <c r="AN97" s="627">
        <f>CHOOSE(MATCH('Lists and Mapping'!$C$10,'Lists and Mapping'!$B$3:$B$5,0),'2026 Forecast'!AN97,'2027 Forecast'!AN97,'2028 Forecast'!AN97)</f>
        <v>22.178156701518926</v>
      </c>
      <c r="AO97" s="446"/>
      <c r="AP97" s="449"/>
      <c r="AQ97" s="446"/>
      <c r="AR97" s="446"/>
      <c r="AS97" s="446"/>
      <c r="AT97" s="72"/>
      <c r="AU97" s="72"/>
      <c r="AV97" s="72"/>
      <c r="AW97" s="72"/>
      <c r="AX97" s="72"/>
      <c r="AY97" s="72"/>
      <c r="AZ97" s="72"/>
      <c r="BA97" s="72"/>
      <c r="BB97" s="72"/>
    </row>
    <row r="98" spans="2:54">
      <c r="C98" s="549"/>
      <c r="D98" s="549" t="s">
        <v>222</v>
      </c>
      <c r="E98" s="550">
        <f>CHOOSE(MATCH('Lists and Mapping'!$C$10,'Lists and Mapping'!$B$3:$B$5,0),'2026 Forecast'!E98,'2027 Forecast'!E98,'2028 Forecast'!E98)</f>
        <v>2</v>
      </c>
      <c r="F98" s="552">
        <f>CHOOSE(MATCH('Lists and Mapping'!$C$10,'Lists and Mapping'!$B$3:$B$5,0),'2026 Forecast'!F98,'2027 Forecast'!F98,'2028 Forecast'!F98)</f>
        <v>38.293598199999998</v>
      </c>
      <c r="G98" s="552">
        <f>CHOOSE(MATCH('Lists and Mapping'!$C$10,'Lists and Mapping'!$B$3:$B$5,0),'2026 Forecast'!G98,'2027 Forecast'!G98,'2028 Forecast'!G98)</f>
        <v>22.384799999999998</v>
      </c>
      <c r="H98" s="552">
        <f>CHOOSE(MATCH('Lists and Mapping'!$C$10,'Lists and Mapping'!$B$3:$B$5,0),'2026 Forecast'!H98,'2027 Forecast'!H98,'2028 Forecast'!H98)</f>
        <v>15.9087982</v>
      </c>
      <c r="I98" s="552">
        <f>CHOOSE(MATCH('Lists and Mapping'!$C$10,'Lists and Mapping'!$B$3:$B$5,0),'2026 Forecast'!I98,'2027 Forecast'!I98,'2028 Forecast'!I98)</f>
        <v>0</v>
      </c>
      <c r="J98" s="553">
        <f>CHOOSE(MATCH('Lists and Mapping'!$C$10,'Lists and Mapping'!$B$3:$B$5,0),'2026 Forecast'!J98,'2027 Forecast'!J98,'2028 Forecast'!J98)</f>
        <v>0</v>
      </c>
      <c r="K98" s="553">
        <f>CHOOSE(MATCH('Lists and Mapping'!$C$10,'Lists and Mapping'!$B$3:$B$5,0),'2026 Forecast'!K98,'2027 Forecast'!K98,'2028 Forecast'!K98)</f>
        <v>0</v>
      </c>
      <c r="L98" s="553">
        <f>CHOOSE(MATCH('Lists and Mapping'!$C$10,'Lists and Mapping'!$B$3:$B$5,0),'2026 Forecast'!L98,'2027 Forecast'!L98,'2028 Forecast'!L98)</f>
        <v>0</v>
      </c>
      <c r="M98" s="554">
        <f>CHOOSE(MATCH('Lists and Mapping'!$C$10,'Lists and Mapping'!$B$3:$B$5,0),'2026 Forecast'!M98,'2027 Forecast'!M98,'2028 Forecast'!M98)</f>
        <v>76284</v>
      </c>
      <c r="N98" s="554">
        <f>CHOOSE(MATCH('Lists and Mapping'!$C$10,'Lists and Mapping'!$B$3:$B$5,0),'2026 Forecast'!N98,'2027 Forecast'!N98,'2028 Forecast'!N98)</f>
        <v>0</v>
      </c>
      <c r="O98" s="555">
        <f>CHOOSE(MATCH('Lists and Mapping'!$C$10,'Lists and Mapping'!$B$3:$B$5,0),'2026 Forecast'!O98,'2027 Forecast'!O98,'2028 Forecast'!O98)</f>
        <v>0</v>
      </c>
      <c r="P98" s="556">
        <f>CHOOSE(MATCH('Lists and Mapping'!$C$10,'Lists and Mapping'!$B$3:$B$5,0),'2026 Forecast'!P98,'2027 Forecast'!P98,'2028 Forecast'!P98)</f>
        <v>1.0800000000000001E-2</v>
      </c>
      <c r="Q98" s="557">
        <f>CHOOSE(MATCH('Lists and Mapping'!$C$10,'Lists and Mapping'!$B$3:$B$5,0),'2026 Forecast'!Q98,'2027 Forecast'!Q98,'2028 Forecast'!Q98)</f>
        <v>0.72413488800000003</v>
      </c>
      <c r="R98" s="557">
        <f>CHOOSE(MATCH('Lists and Mapping'!$C$10,'Lists and Mapping'!$B$3:$B$5,0),'2026 Forecast'!R98,'2027 Forecast'!R98,'2028 Forecast'!R98)</f>
        <v>0.5302680862796606</v>
      </c>
      <c r="S98" s="557">
        <f>CHOOSE(MATCH('Lists and Mapping'!$C$10,'Lists and Mapping'!$B$3:$B$5,0),'2026 Forecast'!S98,'2027 Forecast'!S98,'2028 Forecast'!S98)</f>
        <v>0</v>
      </c>
      <c r="T98" s="557">
        <f>CHOOSE(MATCH('Lists and Mapping'!$C$10,'Lists and Mapping'!$B$3:$B$5,0),'2026 Forecast'!T98,'2027 Forecast'!T98,'2028 Forecast'!T98)</f>
        <v>0</v>
      </c>
      <c r="U98" s="557">
        <f>CHOOSE(MATCH('Lists and Mapping'!$C$10,'Lists and Mapping'!$B$3:$B$5,0),'2026 Forecast'!U98,'2027 Forecast'!U98,'2028 Forecast'!U98)</f>
        <v>0</v>
      </c>
      <c r="V98" s="558">
        <f>CHOOSE(MATCH('Lists and Mapping'!$C$10,'Lists and Mapping'!$B$3:$B$5,0),'2026 Forecast'!V98,'2027 Forecast'!V98,'2028 Forecast'!V98)</f>
        <v>1.2544029742796607</v>
      </c>
      <c r="W98" s="557">
        <f>CHOOSE(MATCH('Lists and Mapping'!$C$10,'Lists and Mapping'!$B$3:$B$5,0),'2026 Forecast'!W98,'2027 Forecast'!W98,'2028 Forecast'!W98)</f>
        <v>0.54783959999999998</v>
      </c>
      <c r="X98" s="557">
        <f>CHOOSE(MATCH('Lists and Mapping'!$C$10,'Lists and Mapping'!$B$3:$B$5,0),'2026 Forecast'!X98,'2027 Forecast'!X98,'2028 Forecast'!X98)</f>
        <v>0</v>
      </c>
      <c r="Y98" s="557">
        <f>CHOOSE(MATCH('Lists and Mapping'!$C$10,'Lists and Mapping'!$B$3:$B$5,0),'2026 Forecast'!Y98,'2027 Forecast'!Y98,'2028 Forecast'!Y98)</f>
        <v>0</v>
      </c>
      <c r="Z98" s="557">
        <f>CHOOSE(MATCH('Lists and Mapping'!$C$10,'Lists and Mapping'!$B$3:$B$5,0),'2026 Forecast'!Z98,'2027 Forecast'!Z98,'2028 Forecast'!Z98)</f>
        <v>0.54783959999999998</v>
      </c>
      <c r="AA98" s="628">
        <f>CHOOSE(MATCH('Lists and Mapping'!$C$10,'Lists and Mapping'!$B$3:$B$5,0),'2026 Forecast'!AA98,'2027 Forecast'!AA98,'2028 Forecast'!AA98)</f>
        <v>1.8130425742796608</v>
      </c>
      <c r="AB98" s="560">
        <f>CHOOSE(MATCH('Lists and Mapping'!$C$10,'Lists and Mapping'!$B$3:$B$5,0),'2026 Forecast'!AB98,'2027 Forecast'!AB98,'2028 Forecast'!AB98)</f>
        <v>4.2198820296315542</v>
      </c>
      <c r="AC98" s="560">
        <f>CHOOSE(MATCH('Lists and Mapping'!$C$10,'Lists and Mapping'!$B$3:$B$5,0),'2026 Forecast'!AC98,'2027 Forecast'!AC98,'2028 Forecast'!AC98)</f>
        <v>1.7899852339838345</v>
      </c>
      <c r="AD98" s="560">
        <f>CHOOSE(MATCH('Lists and Mapping'!$C$10,'Lists and Mapping'!$B$3:$B$5,0),'2026 Forecast'!AD98,'2027 Forecast'!AD98,'2028 Forecast'!AD98)</f>
        <v>0.21942231768599998</v>
      </c>
      <c r="AE98" s="560">
        <f>CHOOSE(MATCH('Lists and Mapping'!$C$10,'Lists and Mapping'!$B$3:$B$5,0),'2026 Forecast'!AE98,'2027 Forecast'!AE98,'2028 Forecast'!AE98)</f>
        <v>0.4471926397796</v>
      </c>
      <c r="AF98" s="558">
        <f>CHOOSE(MATCH('Lists and Mapping'!$C$10,'Lists and Mapping'!$B$3:$B$5,0),'2026 Forecast'!AF98,'2027 Forecast'!AF98,'2028 Forecast'!AF98)</f>
        <v>3.2894200853799994E-3</v>
      </c>
      <c r="AG98" s="582">
        <f>CHOOSE(MATCH('Lists and Mapping'!$C$10,'Lists and Mapping'!$B$3:$B$5,0),'2026 Forecast'!AG98,'2027 Forecast'!AG98,'2028 Forecast'!AG98)</f>
        <v>8.49281421544603</v>
      </c>
      <c r="AH98" s="582">
        <f>CHOOSE(MATCH('Lists and Mapping'!$C$10,'Lists and Mapping'!$B$3:$B$5,0),'2026 Forecast'!AH98,'2027 Forecast'!AH98,'2028 Forecast'!AH98)</f>
        <v>4.7345840022932624</v>
      </c>
      <c r="AI98" s="582">
        <f>CHOOSE(MATCH('Lists and Mapping'!$C$10,'Lists and Mapping'!$B$3:$B$5,0),'2026 Forecast'!AI98,'2027 Forecast'!AI98,'2028 Forecast'!AI98)</f>
        <v>11.019810694184267</v>
      </c>
      <c r="AJ98" s="582">
        <f>CHOOSE(MATCH('Lists and Mapping'!$C$10,'Lists and Mapping'!$B$3:$B$5,0),'2026 Forecast'!AJ98,'2027 Forecast'!AJ98,'2028 Forecast'!AJ98)</f>
        <v>4.6743720050413922</v>
      </c>
      <c r="AK98" s="582">
        <f>CHOOSE(MATCH('Lists and Mapping'!$C$10,'Lists and Mapping'!$B$3:$B$5,0),'2026 Forecast'!AK98,'2027 Forecast'!AK98,'2028 Forecast'!AK98)</f>
        <v>22.178156701518926</v>
      </c>
      <c r="AL98" s="562">
        <f>CHOOSE(MATCH('Lists and Mapping'!$C$10,'Lists and Mapping'!$B$3:$B$5,0),'2026 Forecast'!AL98,'2027 Forecast'!AL98,'2028 Forecast'!AL98)</f>
        <v>1.1678000000000002</v>
      </c>
      <c r="AM98" s="562">
        <f>CHOOSE(MATCH('Lists and Mapping'!$C$10,'Lists and Mapping'!$B$3:$B$5,0),'2026 Forecast'!AM98,'2027 Forecast'!AM98,'2028 Forecast'!AM98)</f>
        <v>8.5899999999999987E-3</v>
      </c>
      <c r="AN98" s="563">
        <f>CHOOSE(MATCH('Lists and Mapping'!$C$10,'Lists and Mapping'!$B$3:$B$5,0),'2026 Forecast'!AN98,'2027 Forecast'!AN98,'2028 Forecast'!AN98)</f>
        <v>22.178156701518926</v>
      </c>
      <c r="AO98" s="446"/>
      <c r="AP98" s="449"/>
      <c r="AQ98" s="446"/>
      <c r="AR98" s="446"/>
      <c r="AS98" s="446"/>
      <c r="AT98" s="72"/>
      <c r="AU98" s="72"/>
      <c r="AV98" s="72"/>
      <c r="AW98" s="72"/>
      <c r="AX98" s="72"/>
      <c r="AY98" s="72"/>
      <c r="AZ98" s="72"/>
      <c r="BA98" s="72"/>
      <c r="BB98" s="72"/>
    </row>
    <row r="99" spans="2:54" ht="25.5" customHeight="1">
      <c r="C99" s="420" t="s">
        <v>290</v>
      </c>
      <c r="D99" s="452"/>
      <c r="E99" s="531">
        <f>CHOOSE(MATCH('Lists and Mapping'!$C$10,'Lists and Mapping'!$B$3:$B$5,0),'2026 Forecast'!E99,'2027 Forecast'!E99,'2028 Forecast'!E99)</f>
        <v>0</v>
      </c>
      <c r="F99" s="589">
        <f>CHOOSE(MATCH('Lists and Mapping'!$C$10,'Lists and Mapping'!$B$3:$B$5,0),'2026 Forecast'!F99,'2027 Forecast'!F99,'2028 Forecast'!F99)</f>
        <v>0</v>
      </c>
      <c r="G99" s="533">
        <f>CHOOSE(MATCH('Lists and Mapping'!$C$10,'Lists and Mapping'!$B$3:$B$5,0),'2026 Forecast'!G99,'2027 Forecast'!G99,'2028 Forecast'!G99)</f>
        <v>0</v>
      </c>
      <c r="H99" s="533">
        <f>CHOOSE(MATCH('Lists and Mapping'!$C$10,'Lists and Mapping'!$B$3:$B$5,0),'2026 Forecast'!H99,'2027 Forecast'!H99,'2028 Forecast'!H99)</f>
        <v>0</v>
      </c>
      <c r="I99" s="533">
        <f>CHOOSE(MATCH('Lists and Mapping'!$C$10,'Lists and Mapping'!$B$3:$B$5,0),'2026 Forecast'!I99,'2027 Forecast'!I99,'2028 Forecast'!I99)</f>
        <v>0</v>
      </c>
      <c r="J99" s="535">
        <f>CHOOSE(MATCH('Lists and Mapping'!$C$10,'Lists and Mapping'!$B$3:$B$5,0),'2026 Forecast'!J99,'2027 Forecast'!J99,'2028 Forecast'!J99)</f>
        <v>0</v>
      </c>
      <c r="K99" s="535">
        <f>CHOOSE(MATCH('Lists and Mapping'!$C$10,'Lists and Mapping'!$B$3:$B$5,0),'2026 Forecast'!K99,'2027 Forecast'!K99,'2028 Forecast'!K99)</f>
        <v>0</v>
      </c>
      <c r="L99" s="535">
        <f>CHOOSE(MATCH('Lists and Mapping'!$C$10,'Lists and Mapping'!$B$3:$B$5,0),'2026 Forecast'!L99,'2027 Forecast'!L99,'2028 Forecast'!L99)</f>
        <v>0</v>
      </c>
      <c r="M99" s="537">
        <f>CHOOSE(MATCH('Lists and Mapping'!$C$10,'Lists and Mapping'!$B$3:$B$5,0),'2026 Forecast'!M99,'2027 Forecast'!M99,'2028 Forecast'!M99)</f>
        <v>0</v>
      </c>
      <c r="N99" s="537">
        <f>CHOOSE(MATCH('Lists and Mapping'!$C$10,'Lists and Mapping'!$B$3:$B$5,0),'2026 Forecast'!N99,'2027 Forecast'!N99,'2028 Forecast'!N99)</f>
        <v>0</v>
      </c>
      <c r="O99" s="548">
        <f>CHOOSE(MATCH('Lists and Mapping'!$C$10,'Lists and Mapping'!$B$3:$B$5,0),'2026 Forecast'!O99,'2027 Forecast'!O99,'2028 Forecast'!O99)</f>
        <v>0</v>
      </c>
      <c r="P99" s="538">
        <f>CHOOSE(MATCH('Lists and Mapping'!$C$10,'Lists and Mapping'!$B$3:$B$5,0),'2026 Forecast'!P99,'2027 Forecast'!P99,'2028 Forecast'!P99)</f>
        <v>0</v>
      </c>
      <c r="Q99" s="542">
        <f>CHOOSE(MATCH('Lists and Mapping'!$C$10,'Lists and Mapping'!$B$3:$B$5,0),'2026 Forecast'!Q99,'2027 Forecast'!Q99,'2028 Forecast'!Q99)</f>
        <v>0</v>
      </c>
      <c r="R99" s="542">
        <f>CHOOSE(MATCH('Lists and Mapping'!$C$10,'Lists and Mapping'!$B$3:$B$5,0),'2026 Forecast'!R99,'2027 Forecast'!R99,'2028 Forecast'!R99)</f>
        <v>0</v>
      </c>
      <c r="S99" s="542">
        <f>CHOOSE(MATCH('Lists and Mapping'!$C$10,'Lists and Mapping'!$B$3:$B$5,0),'2026 Forecast'!S99,'2027 Forecast'!S99,'2028 Forecast'!S99)</f>
        <v>0</v>
      </c>
      <c r="T99" s="542">
        <f>CHOOSE(MATCH('Lists and Mapping'!$C$10,'Lists and Mapping'!$B$3:$B$5,0),'2026 Forecast'!T99,'2027 Forecast'!T99,'2028 Forecast'!T99)</f>
        <v>0</v>
      </c>
      <c r="U99" s="542">
        <f>CHOOSE(MATCH('Lists and Mapping'!$C$10,'Lists and Mapping'!$B$3:$B$5,0),'2026 Forecast'!U99,'2027 Forecast'!U99,'2028 Forecast'!U99)</f>
        <v>0</v>
      </c>
      <c r="V99" s="540">
        <f>CHOOSE(MATCH('Lists and Mapping'!$C$10,'Lists and Mapping'!$B$3:$B$5,0),'2026 Forecast'!V99,'2027 Forecast'!V99,'2028 Forecast'!V99)</f>
        <v>0</v>
      </c>
      <c r="W99" s="542">
        <f>CHOOSE(MATCH('Lists and Mapping'!$C$10,'Lists and Mapping'!$B$3:$B$5,0),'2026 Forecast'!W99,'2027 Forecast'!W99,'2028 Forecast'!W99)</f>
        <v>0</v>
      </c>
      <c r="X99" s="542">
        <f>CHOOSE(MATCH('Lists and Mapping'!$C$10,'Lists and Mapping'!$B$3:$B$5,0),'2026 Forecast'!X99,'2027 Forecast'!X99,'2028 Forecast'!X99)</f>
        <v>0</v>
      </c>
      <c r="Y99" s="542">
        <f>CHOOSE(MATCH('Lists and Mapping'!$C$10,'Lists and Mapping'!$B$3:$B$5,0),'2026 Forecast'!Y99,'2027 Forecast'!Y99,'2028 Forecast'!Y99)</f>
        <v>0</v>
      </c>
      <c r="Z99" s="540">
        <f>CHOOSE(MATCH('Lists and Mapping'!$C$10,'Lists and Mapping'!$B$3:$B$5,0),'2026 Forecast'!Z99,'2027 Forecast'!Z99,'2028 Forecast'!Z99)</f>
        <v>0</v>
      </c>
      <c r="AA99" s="543">
        <f>CHOOSE(MATCH('Lists and Mapping'!$C$10,'Lists and Mapping'!$B$3:$B$5,0),'2026 Forecast'!AA99,'2027 Forecast'!AA99,'2028 Forecast'!AA99)</f>
        <v>0</v>
      </c>
      <c r="AB99" s="617">
        <f>CHOOSE(MATCH('Lists and Mapping'!$C$10,'Lists and Mapping'!$B$3:$B$5,0),'2026 Forecast'!AB99,'2027 Forecast'!AB99,'2028 Forecast'!AB99)</f>
        <v>0</v>
      </c>
      <c r="AC99" s="617">
        <f>CHOOSE(MATCH('Lists and Mapping'!$C$10,'Lists and Mapping'!$B$3:$B$5,0),'2026 Forecast'!AC99,'2027 Forecast'!AC99,'2028 Forecast'!AC99)</f>
        <v>0</v>
      </c>
      <c r="AD99" s="617">
        <f>CHOOSE(MATCH('Lists and Mapping'!$C$10,'Lists and Mapping'!$B$3:$B$5,0),'2026 Forecast'!AD99,'2027 Forecast'!AD99,'2028 Forecast'!AD99)</f>
        <v>0</v>
      </c>
      <c r="AE99" s="617">
        <f>CHOOSE(MATCH('Lists and Mapping'!$C$10,'Lists and Mapping'!$B$3:$B$5,0),'2026 Forecast'!AE99,'2027 Forecast'!AE99,'2028 Forecast'!AE99)</f>
        <v>0</v>
      </c>
      <c r="AF99" s="540">
        <f>CHOOSE(MATCH('Lists and Mapping'!$C$10,'Lists and Mapping'!$B$3:$B$5,0),'2026 Forecast'!AF99,'2027 Forecast'!AF99,'2028 Forecast'!AF99)</f>
        <v>0</v>
      </c>
      <c r="AG99" s="545">
        <f>CHOOSE(MATCH('Lists and Mapping'!$C$10,'Lists and Mapping'!$B$3:$B$5,0),'2026 Forecast'!AG99,'2027 Forecast'!AG99,'2028 Forecast'!AG99)</f>
        <v>0</v>
      </c>
      <c r="AH99" s="546">
        <f>CHOOSE(MATCH('Lists and Mapping'!$C$10,'Lists and Mapping'!$B$3:$B$5,0),'2026 Forecast'!AH99,'2027 Forecast'!AH99,'2028 Forecast'!AH99)</f>
        <v>0</v>
      </c>
      <c r="AI99" s="546">
        <f>CHOOSE(MATCH('Lists and Mapping'!$C$10,'Lists and Mapping'!$B$3:$B$5,0),'2026 Forecast'!AI99,'2027 Forecast'!AI99,'2028 Forecast'!AI99)</f>
        <v>0</v>
      </c>
      <c r="AJ99" s="546">
        <f>CHOOSE(MATCH('Lists and Mapping'!$C$10,'Lists and Mapping'!$B$3:$B$5,0),'2026 Forecast'!AJ99,'2027 Forecast'!AJ99,'2028 Forecast'!AJ99)</f>
        <v>0</v>
      </c>
      <c r="AK99" s="547">
        <f>CHOOSE(MATCH('Lists and Mapping'!$C$10,'Lists and Mapping'!$B$3:$B$5,0),'2026 Forecast'!AK99,'2027 Forecast'!AK99,'2028 Forecast'!AK99)</f>
        <v>0</v>
      </c>
      <c r="AL99" s="546">
        <f>CHOOSE(MATCH('Lists and Mapping'!$C$10,'Lists and Mapping'!$B$3:$B$5,0),'2026 Forecast'!AL99,'2027 Forecast'!AL99,'2028 Forecast'!AL99)</f>
        <v>0</v>
      </c>
      <c r="AM99" s="546">
        <f>CHOOSE(MATCH('Lists and Mapping'!$C$10,'Lists and Mapping'!$B$3:$B$5,0),'2026 Forecast'!AM99,'2027 Forecast'!AM99,'2028 Forecast'!AM99)</f>
        <v>0</v>
      </c>
      <c r="AN99" s="629">
        <f>CHOOSE(MATCH('Lists and Mapping'!$C$10,'Lists and Mapping'!$B$3:$B$5,0),'2026 Forecast'!AN99,'2027 Forecast'!AN99,'2028 Forecast'!AN99)</f>
        <v>0</v>
      </c>
      <c r="AO99" s="446"/>
      <c r="AP99" s="446"/>
      <c r="AQ99" s="446"/>
      <c r="AR99" s="446"/>
      <c r="AS99" s="446"/>
      <c r="AT99" s="72"/>
      <c r="AU99" s="72"/>
      <c r="AV99" s="72"/>
      <c r="AW99" s="72"/>
      <c r="AX99" s="72"/>
      <c r="AY99" s="72"/>
      <c r="AZ99" s="72"/>
      <c r="BA99" s="72"/>
      <c r="BB99" s="72"/>
    </row>
    <row r="100" spans="2:54">
      <c r="B100" s="529" t="s">
        <v>19</v>
      </c>
      <c r="C100" s="618" t="s">
        <v>253</v>
      </c>
      <c r="D100" s="618" t="s">
        <v>291</v>
      </c>
      <c r="E100" s="531">
        <f>CHOOSE(MATCH('Lists and Mapping'!$C$10,'Lists and Mapping'!$B$3:$B$5,0),'2026 Forecast'!E100,'2027 Forecast'!E100,'2028 Forecast'!E100)</f>
        <v>1082</v>
      </c>
      <c r="F100" s="619">
        <f>CHOOSE(MATCH('Lists and Mapping'!$C$10,'Lists and Mapping'!$B$3:$B$5,0),'2026 Forecast'!F100,'2027 Forecast'!F100,'2028 Forecast'!F100)</f>
        <v>23.109614930104854</v>
      </c>
      <c r="G100" s="575">
        <f>CHOOSE(MATCH('Lists and Mapping'!$C$10,'Lists and Mapping'!$B$3:$B$5,0),'2026 Forecast'!G100,'2027 Forecast'!G100,'2028 Forecast'!G100)</f>
        <v>0</v>
      </c>
      <c r="H100" s="575">
        <f>CHOOSE(MATCH('Lists and Mapping'!$C$10,'Lists and Mapping'!$B$3:$B$5,0),'2026 Forecast'!H100,'2027 Forecast'!H100,'2028 Forecast'!H100)</f>
        <v>0</v>
      </c>
      <c r="I100" s="575">
        <f>CHOOSE(MATCH('Lists and Mapping'!$C$10,'Lists and Mapping'!$B$3:$B$5,0),'2026 Forecast'!I100,'2027 Forecast'!I100,'2028 Forecast'!I100)</f>
        <v>0</v>
      </c>
      <c r="J100" s="587">
        <f>CHOOSE(MATCH('Lists and Mapping'!$C$10,'Lists and Mapping'!$B$3:$B$5,0),'2026 Forecast'!J100,'2027 Forecast'!J100,'2028 Forecast'!J100)</f>
        <v>0</v>
      </c>
      <c r="K100" s="587">
        <f>CHOOSE(MATCH('Lists and Mapping'!$C$10,'Lists and Mapping'!$B$3:$B$5,0),'2026 Forecast'!K100,'2027 Forecast'!K100,'2028 Forecast'!K100)</f>
        <v>0</v>
      </c>
      <c r="L100" s="587">
        <f>CHOOSE(MATCH('Lists and Mapping'!$C$10,'Lists and Mapping'!$B$3:$B$5,0),'2026 Forecast'!L100,'2027 Forecast'!L100,'2028 Forecast'!L100)</f>
        <v>0</v>
      </c>
      <c r="M100" s="613">
        <f>CHOOSE(MATCH('Lists and Mapping'!$C$10,'Lists and Mapping'!$B$3:$B$5,0),'2026 Forecast'!M100,'2027 Forecast'!M100,'2028 Forecast'!M100)</f>
        <v>0</v>
      </c>
      <c r="N100" s="613">
        <f>CHOOSE(MATCH('Lists and Mapping'!$C$10,'Lists and Mapping'!$B$3:$B$5,0),'2026 Forecast'!N100,'2027 Forecast'!N100,'2028 Forecast'!N100)</f>
        <v>0</v>
      </c>
      <c r="O100" s="620">
        <f>CHOOSE(MATCH('Lists and Mapping'!$C$10,'Lists and Mapping'!$B$3:$B$5,0),'2026 Forecast'!O100,'2027 Forecast'!O100,'2028 Forecast'!O100)</f>
        <v>0</v>
      </c>
      <c r="P100" s="621">
        <f>CHOOSE(MATCH('Lists and Mapping'!$C$10,'Lists and Mapping'!$B$3:$B$5,0),'2026 Forecast'!P100,'2027 Forecast'!P100,'2028 Forecast'!P100)</f>
        <v>0.13236000000000001</v>
      </c>
      <c r="Q100" s="578">
        <f>CHOOSE(MATCH('Lists and Mapping'!$C$10,'Lists and Mapping'!$B$3:$B$5,0),'2026 Forecast'!Q100,'2027 Forecast'!Q100,'2028 Forecast'!Q100)</f>
        <v>0</v>
      </c>
      <c r="R100" s="578">
        <f>CHOOSE(MATCH('Lists and Mapping'!$C$10,'Lists and Mapping'!$B$3:$B$5,0),'2026 Forecast'!R100,'2027 Forecast'!R100,'2028 Forecast'!R100)</f>
        <v>0</v>
      </c>
      <c r="S100" s="578">
        <f>CHOOSE(MATCH('Lists and Mapping'!$C$10,'Lists and Mapping'!$B$3:$B$5,0),'2026 Forecast'!S100,'2027 Forecast'!S100,'2028 Forecast'!S100)</f>
        <v>0</v>
      </c>
      <c r="T100" s="578">
        <f>CHOOSE(MATCH('Lists and Mapping'!$C$10,'Lists and Mapping'!$B$3:$B$5,0),'2026 Forecast'!T100,'2027 Forecast'!T100,'2028 Forecast'!T100)</f>
        <v>0</v>
      </c>
      <c r="U100" s="539">
        <f>CHOOSE(MATCH('Lists and Mapping'!$C$10,'Lists and Mapping'!$B$3:$B$5,0),'2026 Forecast'!U100,'2027 Forecast'!U100,'2028 Forecast'!U100)</f>
        <v>1.2058546745066152</v>
      </c>
      <c r="V100" s="622">
        <f>CHOOSE(MATCH('Lists and Mapping'!$C$10,'Lists and Mapping'!$B$3:$B$5,0),'2026 Forecast'!V100,'2027 Forecast'!V100,'2028 Forecast'!V100)</f>
        <v>1.2058546745066152</v>
      </c>
      <c r="W100" s="578">
        <f>CHOOSE(MATCH('Lists and Mapping'!$C$10,'Lists and Mapping'!$B$3:$B$5,0),'2026 Forecast'!W100,'2027 Forecast'!W100,'2028 Forecast'!W100)</f>
        <v>0</v>
      </c>
      <c r="X100" s="578">
        <f>CHOOSE(MATCH('Lists and Mapping'!$C$10,'Lists and Mapping'!$B$3:$B$5,0),'2026 Forecast'!X100,'2027 Forecast'!X100,'2028 Forecast'!X100)</f>
        <v>0</v>
      </c>
      <c r="Y100" s="578">
        <f>CHOOSE(MATCH('Lists and Mapping'!$C$10,'Lists and Mapping'!$B$3:$B$5,0),'2026 Forecast'!Y100,'2027 Forecast'!Y100,'2028 Forecast'!Y100)</f>
        <v>0</v>
      </c>
      <c r="Z100" s="622">
        <f>CHOOSE(MATCH('Lists and Mapping'!$C$10,'Lists and Mapping'!$B$3:$B$5,0),'2026 Forecast'!Z100,'2027 Forecast'!Z100,'2028 Forecast'!Z100)</f>
        <v>0</v>
      </c>
      <c r="AA100" s="624">
        <f>CHOOSE(MATCH('Lists and Mapping'!$C$10,'Lists and Mapping'!$B$3:$B$5,0),'2026 Forecast'!AA100,'2027 Forecast'!AA100,'2028 Forecast'!AA100)</f>
        <v>1.3382146745066152</v>
      </c>
      <c r="AB100" s="625">
        <f>CHOOSE(MATCH('Lists and Mapping'!$C$10,'Lists and Mapping'!$B$3:$B$5,0),'2026 Forecast'!AB100,'2027 Forecast'!AB100,'2028 Forecast'!AB100)</f>
        <v>2.5466358174524992</v>
      </c>
      <c r="AC100" s="625">
        <f>CHOOSE(MATCH('Lists and Mapping'!$C$10,'Lists and Mapping'!$B$3:$B$5,0),'2026 Forecast'!AC100,'2027 Forecast'!AC100,'2028 Forecast'!AC100)</f>
        <v>1.0802293707656874</v>
      </c>
      <c r="AD100" s="625">
        <f>CHOOSE(MATCH('Lists and Mapping'!$C$10,'Lists and Mapping'!$B$3:$B$5,0),'2026 Forecast'!AD100,'2027 Forecast'!AD100,'2028 Forecast'!AD100)</f>
        <v>0.13241809354950082</v>
      </c>
      <c r="AE100" s="617">
        <f>CHOOSE(MATCH('Lists and Mapping'!$C$10,'Lists and Mapping'!$B$3:$B$5,0),'2026 Forecast'!AE100,'2027 Forecast'!AE100,'2028 Forecast'!AE100)</f>
        <v>0.26987408315376449</v>
      </c>
      <c r="AF100" s="543">
        <f>CHOOSE(MATCH('Lists and Mapping'!$C$10,'Lists and Mapping'!$B$3:$B$5,0),'2026 Forecast'!AF100,'2027 Forecast'!AF100,'2028 Forecast'!AF100)</f>
        <v>1.9851159224960066E-3</v>
      </c>
      <c r="AG100" s="545">
        <f>CHOOSE(MATCH('Lists and Mapping'!$C$10,'Lists and Mapping'!$B$3:$B$5,0),'2026 Forecast'!AG100,'2027 Forecast'!AG100,'2028 Forecast'!AG100)</f>
        <v>5.3693571553505635</v>
      </c>
      <c r="AH100" s="546">
        <f>CHOOSE(MATCH('Lists and Mapping'!$C$10,'Lists and Mapping'!$B$3:$B$5,0),'2026 Forecast'!AH100,'2027 Forecast'!AH100,'2028 Forecast'!AH100)</f>
        <v>5.7907268405555534</v>
      </c>
      <c r="AI100" s="546">
        <f>CHOOSE(MATCH('Lists and Mapping'!$C$10,'Lists and Mapping'!$B$3:$B$5,0),'2026 Forecast'!AI100,'2027 Forecast'!AI100,'2028 Forecast'!AI100)</f>
        <v>11.019810694184269</v>
      </c>
      <c r="AJ100" s="546">
        <f>CHOOSE(MATCH('Lists and Mapping'!$C$10,'Lists and Mapping'!$B$3:$B$5,0),'2026 Forecast'!AJ100,'2027 Forecast'!AJ100,'2028 Forecast'!AJ100)</f>
        <v>4.6743720050413931</v>
      </c>
      <c r="AK100" s="547">
        <f>CHOOSE(MATCH('Lists and Mapping'!$C$10,'Lists and Mapping'!$B$3:$B$5,0),'2026 Forecast'!AK100,'2027 Forecast'!AK100,'2028 Forecast'!AK100)</f>
        <v>23.234299539781215</v>
      </c>
      <c r="AL100" s="546">
        <f>CHOOSE(MATCH('Lists and Mapping'!$C$10,'Lists and Mapping'!$B$3:$B$5,0),'2026 Forecast'!AL100,'2027 Forecast'!AL100,'2028 Forecast'!AL100)</f>
        <v>1.1678000000000002</v>
      </c>
      <c r="AM100" s="546">
        <f>CHOOSE(MATCH('Lists and Mapping'!$C$10,'Lists and Mapping'!$B$3:$B$5,0),'2026 Forecast'!AM100,'2027 Forecast'!AM100,'2028 Forecast'!AM100)</f>
        <v>8.5899999999999987E-3</v>
      </c>
      <c r="AN100" s="547">
        <f>CHOOSE(MATCH('Lists and Mapping'!$C$10,'Lists and Mapping'!$B$3:$B$5,0),'2026 Forecast'!AN100,'2027 Forecast'!AN100,'2028 Forecast'!AN100)</f>
        <v>23.234299539781215</v>
      </c>
      <c r="AO100" s="446"/>
      <c r="AP100" s="446"/>
      <c r="AQ100" s="446"/>
      <c r="AR100" s="446"/>
      <c r="AS100" s="446"/>
      <c r="AT100" s="72"/>
      <c r="AU100" s="72"/>
      <c r="AV100" s="72"/>
      <c r="AW100" s="72"/>
      <c r="AX100" s="72"/>
      <c r="AY100" s="72"/>
      <c r="AZ100" s="72"/>
      <c r="BA100" s="72"/>
      <c r="BB100" s="72"/>
    </row>
    <row r="101" spans="2:54">
      <c r="C101" s="549"/>
      <c r="D101" s="549" t="s">
        <v>222</v>
      </c>
      <c r="E101" s="550">
        <f>CHOOSE(MATCH('Lists and Mapping'!$C$10,'Lists and Mapping'!$B$3:$B$5,0),'2026 Forecast'!E101,'2027 Forecast'!E101,'2028 Forecast'!E101)</f>
        <v>1082</v>
      </c>
      <c r="F101" s="552">
        <f>CHOOSE(MATCH('Lists and Mapping'!$C$10,'Lists and Mapping'!$B$3:$B$5,0),'2026 Forecast'!F101,'2027 Forecast'!F101,'2028 Forecast'!F101)</f>
        <v>23.109614930104854</v>
      </c>
      <c r="G101" s="552">
        <f>CHOOSE(MATCH('Lists and Mapping'!$C$10,'Lists and Mapping'!$B$3:$B$5,0),'2026 Forecast'!G101,'2027 Forecast'!G101,'2028 Forecast'!G101)</f>
        <v>0</v>
      </c>
      <c r="H101" s="552">
        <f>CHOOSE(MATCH('Lists and Mapping'!$C$10,'Lists and Mapping'!$B$3:$B$5,0),'2026 Forecast'!H101,'2027 Forecast'!H101,'2028 Forecast'!H101)</f>
        <v>0</v>
      </c>
      <c r="I101" s="552">
        <f>CHOOSE(MATCH('Lists and Mapping'!$C$10,'Lists and Mapping'!$B$3:$B$5,0),'2026 Forecast'!I101,'2027 Forecast'!I101,'2028 Forecast'!I101)</f>
        <v>0</v>
      </c>
      <c r="J101" s="553">
        <f>CHOOSE(MATCH('Lists and Mapping'!$C$10,'Lists and Mapping'!$B$3:$B$5,0),'2026 Forecast'!J101,'2027 Forecast'!J101,'2028 Forecast'!J101)</f>
        <v>0</v>
      </c>
      <c r="K101" s="553">
        <f>CHOOSE(MATCH('Lists and Mapping'!$C$10,'Lists and Mapping'!$B$3:$B$5,0),'2026 Forecast'!K101,'2027 Forecast'!K101,'2028 Forecast'!K101)</f>
        <v>0</v>
      </c>
      <c r="L101" s="553">
        <f>CHOOSE(MATCH('Lists and Mapping'!$C$10,'Lists and Mapping'!$B$3:$B$5,0),'2026 Forecast'!L101,'2027 Forecast'!L101,'2028 Forecast'!L101)</f>
        <v>0</v>
      </c>
      <c r="M101" s="554">
        <f>CHOOSE(MATCH('Lists and Mapping'!$C$10,'Lists and Mapping'!$B$3:$B$5,0),'2026 Forecast'!M101,'2027 Forecast'!M101,'2028 Forecast'!M101)</f>
        <v>0</v>
      </c>
      <c r="N101" s="554">
        <f>CHOOSE(MATCH('Lists and Mapping'!$C$10,'Lists and Mapping'!$B$3:$B$5,0),'2026 Forecast'!N101,'2027 Forecast'!N101,'2028 Forecast'!N101)</f>
        <v>0</v>
      </c>
      <c r="O101" s="555">
        <f>CHOOSE(MATCH('Lists and Mapping'!$C$10,'Lists and Mapping'!$B$3:$B$5,0),'2026 Forecast'!O101,'2027 Forecast'!O101,'2028 Forecast'!O101)</f>
        <v>0</v>
      </c>
      <c r="P101" s="556">
        <f>CHOOSE(MATCH('Lists and Mapping'!$C$10,'Lists and Mapping'!$B$3:$B$5,0),'2026 Forecast'!P101,'2027 Forecast'!P101,'2028 Forecast'!P101)</f>
        <v>0.13236000000000001</v>
      </c>
      <c r="Q101" s="557">
        <f>CHOOSE(MATCH('Lists and Mapping'!$C$10,'Lists and Mapping'!$B$3:$B$5,0),'2026 Forecast'!Q101,'2027 Forecast'!Q101,'2028 Forecast'!Q101)</f>
        <v>0</v>
      </c>
      <c r="R101" s="557">
        <f>CHOOSE(MATCH('Lists and Mapping'!$C$10,'Lists and Mapping'!$B$3:$B$5,0),'2026 Forecast'!R101,'2027 Forecast'!R101,'2028 Forecast'!R101)</f>
        <v>0</v>
      </c>
      <c r="S101" s="557">
        <f>CHOOSE(MATCH('Lists and Mapping'!$C$10,'Lists and Mapping'!$B$3:$B$5,0),'2026 Forecast'!S101,'2027 Forecast'!S101,'2028 Forecast'!S101)</f>
        <v>0</v>
      </c>
      <c r="T101" s="557">
        <f>CHOOSE(MATCH('Lists and Mapping'!$C$10,'Lists and Mapping'!$B$3:$B$5,0),'2026 Forecast'!T101,'2027 Forecast'!T101,'2028 Forecast'!T101)</f>
        <v>0</v>
      </c>
      <c r="U101" s="557">
        <f>CHOOSE(MATCH('Lists and Mapping'!$C$10,'Lists and Mapping'!$B$3:$B$5,0),'2026 Forecast'!U101,'2027 Forecast'!U101,'2028 Forecast'!U101)</f>
        <v>1.2058546745066152</v>
      </c>
      <c r="V101" s="558">
        <f>CHOOSE(MATCH('Lists and Mapping'!$C$10,'Lists and Mapping'!$B$3:$B$5,0),'2026 Forecast'!V101,'2027 Forecast'!V101,'2028 Forecast'!V101)</f>
        <v>1.2058546745066152</v>
      </c>
      <c r="W101" s="557">
        <f>CHOOSE(MATCH('Lists and Mapping'!$C$10,'Lists and Mapping'!$B$3:$B$5,0),'2026 Forecast'!W101,'2027 Forecast'!W101,'2028 Forecast'!W101)</f>
        <v>0</v>
      </c>
      <c r="X101" s="557">
        <f>CHOOSE(MATCH('Lists and Mapping'!$C$10,'Lists and Mapping'!$B$3:$B$5,0),'2026 Forecast'!X101,'2027 Forecast'!X101,'2028 Forecast'!X101)</f>
        <v>0</v>
      </c>
      <c r="Y101" s="557">
        <f>CHOOSE(MATCH('Lists and Mapping'!$C$10,'Lists and Mapping'!$B$3:$B$5,0),'2026 Forecast'!Y101,'2027 Forecast'!Y101,'2028 Forecast'!Y101)</f>
        <v>0</v>
      </c>
      <c r="Z101" s="558">
        <f>CHOOSE(MATCH('Lists and Mapping'!$C$10,'Lists and Mapping'!$B$3:$B$5,0),'2026 Forecast'!Z101,'2027 Forecast'!Z101,'2028 Forecast'!Z101)</f>
        <v>0</v>
      </c>
      <c r="AA101" s="559">
        <f>CHOOSE(MATCH('Lists and Mapping'!$C$10,'Lists and Mapping'!$B$3:$B$5,0),'2026 Forecast'!AA101,'2027 Forecast'!AA101,'2028 Forecast'!AA101)</f>
        <v>1.3382146745066152</v>
      </c>
      <c r="AB101" s="560">
        <f>CHOOSE(MATCH('Lists and Mapping'!$C$10,'Lists and Mapping'!$B$3:$B$5,0),'2026 Forecast'!AB101,'2027 Forecast'!AB101,'2028 Forecast'!AB101)</f>
        <v>2.5466358174524992</v>
      </c>
      <c r="AC101" s="560">
        <f>CHOOSE(MATCH('Lists and Mapping'!$C$10,'Lists and Mapping'!$B$3:$B$5,0),'2026 Forecast'!AC101,'2027 Forecast'!AC101,'2028 Forecast'!AC101)</f>
        <v>1.0802293707656874</v>
      </c>
      <c r="AD101" s="560">
        <f>CHOOSE(MATCH('Lists and Mapping'!$C$10,'Lists and Mapping'!$B$3:$B$5,0),'2026 Forecast'!AD101,'2027 Forecast'!AD101,'2028 Forecast'!AD101)</f>
        <v>0.13241809354950082</v>
      </c>
      <c r="AE101" s="560">
        <f>CHOOSE(MATCH('Lists and Mapping'!$C$10,'Lists and Mapping'!$B$3:$B$5,0),'2026 Forecast'!AE101,'2027 Forecast'!AE101,'2028 Forecast'!AE101)</f>
        <v>0.26987408315376449</v>
      </c>
      <c r="AF101" s="558">
        <f>CHOOSE(MATCH('Lists and Mapping'!$C$10,'Lists and Mapping'!$B$3:$B$5,0),'2026 Forecast'!AF101,'2027 Forecast'!AF101,'2028 Forecast'!AF101)</f>
        <v>1.9851159224960066E-3</v>
      </c>
      <c r="AG101" s="582">
        <f>CHOOSE(MATCH('Lists and Mapping'!$C$10,'Lists and Mapping'!$B$3:$B$5,0),'2026 Forecast'!AG101,'2027 Forecast'!AG101,'2028 Forecast'!AG101)</f>
        <v>5.3693571553505635</v>
      </c>
      <c r="AH101" s="582">
        <f>CHOOSE(MATCH('Lists and Mapping'!$C$10,'Lists and Mapping'!$B$3:$B$5,0),'2026 Forecast'!AH101,'2027 Forecast'!AH101,'2028 Forecast'!AH101)</f>
        <v>5.7907268405555534</v>
      </c>
      <c r="AI101" s="582">
        <f>CHOOSE(MATCH('Lists and Mapping'!$C$10,'Lists and Mapping'!$B$3:$B$5,0),'2026 Forecast'!AI101,'2027 Forecast'!AI101,'2028 Forecast'!AI101)</f>
        <v>11.019810694184269</v>
      </c>
      <c r="AJ101" s="582">
        <f>CHOOSE(MATCH('Lists and Mapping'!$C$10,'Lists and Mapping'!$B$3:$B$5,0),'2026 Forecast'!AJ101,'2027 Forecast'!AJ101,'2028 Forecast'!AJ101)</f>
        <v>4.6743720050413931</v>
      </c>
      <c r="AK101" s="582">
        <f>CHOOSE(MATCH('Lists and Mapping'!$C$10,'Lists and Mapping'!$B$3:$B$5,0),'2026 Forecast'!AK101,'2027 Forecast'!AK101,'2028 Forecast'!AK101)</f>
        <v>23.234299539781215</v>
      </c>
      <c r="AL101" s="562">
        <f>CHOOSE(MATCH('Lists and Mapping'!$C$10,'Lists and Mapping'!$B$3:$B$5,0),'2026 Forecast'!AL101,'2027 Forecast'!AL101,'2028 Forecast'!AL101)</f>
        <v>1.1678000000000002</v>
      </c>
      <c r="AM101" s="562">
        <f>CHOOSE(MATCH('Lists and Mapping'!$C$10,'Lists and Mapping'!$B$3:$B$5,0),'2026 Forecast'!AM101,'2027 Forecast'!AM101,'2028 Forecast'!AM101)</f>
        <v>8.5899999999999987E-3</v>
      </c>
      <c r="AN101" s="563">
        <f>CHOOSE(MATCH('Lists and Mapping'!$C$10,'Lists and Mapping'!$B$3:$B$5,0),'2026 Forecast'!AN101,'2027 Forecast'!AN101,'2028 Forecast'!AN101)</f>
        <v>23.234299539781215</v>
      </c>
      <c r="AO101" s="446"/>
      <c r="AP101" s="449"/>
      <c r="AQ101" s="446"/>
      <c r="AR101" s="446"/>
      <c r="AS101" s="446"/>
      <c r="AT101" s="72"/>
      <c r="AU101" s="72"/>
      <c r="AV101" s="72"/>
      <c r="AW101" s="72"/>
      <c r="AX101" s="72"/>
      <c r="AY101" s="72"/>
      <c r="AZ101" s="72"/>
      <c r="BA101" s="72"/>
      <c r="BB101" s="72"/>
    </row>
    <row r="102" spans="2:54" ht="24" customHeight="1" thickBot="1">
      <c r="C102" s="431"/>
      <c r="D102" s="431" t="s">
        <v>222</v>
      </c>
      <c r="E102" s="432">
        <f>CHOOSE(MATCH('Lists and Mapping'!$C$10,'Lists and Mapping'!$B$3:$B$5,0),'2026 Forecast'!E102,'2027 Forecast'!E102,'2028 Forecast'!E102)</f>
        <v>1517953.1047265986</v>
      </c>
      <c r="F102" s="630">
        <f>CHOOSE(MATCH('Lists and Mapping'!$C$10,'Lists and Mapping'!$B$3:$B$5,0),'2026 Forecast'!F102,'2027 Forecast'!F102,'2028 Forecast'!F102)</f>
        <v>15526.65708002979</v>
      </c>
      <c r="G102" s="434">
        <f>CHOOSE(MATCH('Lists and Mapping'!$C$10,'Lists and Mapping'!$B$3:$B$5,0),'2026 Forecast'!G102,'2027 Forecast'!G102,'2028 Forecast'!G102)</f>
        <v>9962.6660000000011</v>
      </c>
      <c r="H102" s="434">
        <f>CHOOSE(MATCH('Lists and Mapping'!$C$10,'Lists and Mapping'!$B$3:$B$5,0),'2026 Forecast'!H102,'2027 Forecast'!H102,'2028 Forecast'!H102)</f>
        <v>2719.7367557656598</v>
      </c>
      <c r="I102" s="434">
        <f>CHOOSE(MATCH('Lists and Mapping'!$C$10,'Lists and Mapping'!$B$3:$B$5,0),'2026 Forecast'!I102,'2027 Forecast'!I102,'2028 Forecast'!I102)</f>
        <v>112.39999999999999</v>
      </c>
      <c r="J102" s="433">
        <f>CHOOSE(MATCH('Lists and Mapping'!$C$10,'Lists and Mapping'!$B$3:$B$5,0),'2026 Forecast'!J102,'2027 Forecast'!J102,'2028 Forecast'!J102)</f>
        <v>182.9</v>
      </c>
      <c r="K102" s="433">
        <f>CHOOSE(MATCH('Lists and Mapping'!$C$10,'Lists and Mapping'!$B$3:$B$5,0),'2026 Forecast'!K102,'2027 Forecast'!K102,'2028 Forecast'!K102)</f>
        <v>446276</v>
      </c>
      <c r="L102" s="433">
        <f>CHOOSE(MATCH('Lists and Mapping'!$C$10,'Lists and Mapping'!$B$3:$B$5,0),'2026 Forecast'!L102,'2027 Forecast'!L102,'2028 Forecast'!L102)</f>
        <v>0</v>
      </c>
      <c r="M102" s="434">
        <f>CHOOSE(MATCH('Lists and Mapping'!$C$10,'Lists and Mapping'!$B$3:$B$5,0),'2026 Forecast'!M102,'2027 Forecast'!M102,'2028 Forecast'!M102)</f>
        <v>21609000</v>
      </c>
      <c r="N102" s="434">
        <f>CHOOSE(MATCH('Lists and Mapping'!$C$10,'Lists and Mapping'!$B$3:$B$5,0),'2026 Forecast'!N102,'2027 Forecast'!N102,'2028 Forecast'!N102)</f>
        <v>976344</v>
      </c>
      <c r="O102" s="435">
        <f>CHOOSE(MATCH('Lists and Mapping'!$C$10,'Lists and Mapping'!$B$3:$B$5,0),'2026 Forecast'!O102,'2027 Forecast'!O102,'2028 Forecast'!O102)</f>
        <v>973680</v>
      </c>
      <c r="P102" s="436">
        <f>CHOOSE(MATCH('Lists and Mapping'!$C$10,'Lists and Mapping'!$B$3:$B$5,0),'2026 Forecast'!P102,'2027 Forecast'!P102,'2028 Forecast'!P102)</f>
        <v>96.411145919999996</v>
      </c>
      <c r="Q102" s="437">
        <f>CHOOSE(MATCH('Lists and Mapping'!$C$10,'Lists and Mapping'!$B$3:$B$5,0),'2026 Forecast'!Q102,'2027 Forecast'!Q102,'2028 Forecast'!Q102)</f>
        <v>487.13301451410223</v>
      </c>
      <c r="R102" s="438">
        <f>CHOOSE(MATCH('Lists and Mapping'!$C$10,'Lists and Mapping'!$B$3:$B$5,0),'2026 Forecast'!R102,'2027 Forecast'!R102,'2028 Forecast'!R102)</f>
        <v>32.264380049887365</v>
      </c>
      <c r="S102" s="438">
        <f>CHOOSE(MATCH('Lists and Mapping'!$C$10,'Lists and Mapping'!$B$3:$B$5,0),'2026 Forecast'!S102,'2027 Forecast'!S102,'2028 Forecast'!S102)</f>
        <v>8.3080048073046893</v>
      </c>
      <c r="T102" s="438">
        <f>CHOOSE(MATCH('Lists and Mapping'!$C$10,'Lists and Mapping'!$B$3:$B$5,0),'2026 Forecast'!T102,'2027 Forecast'!T102,'2028 Forecast'!T102)</f>
        <v>5.0666950005874103</v>
      </c>
      <c r="U102" s="438">
        <f>CHOOSE(MATCH('Lists and Mapping'!$C$10,'Lists and Mapping'!$B$3:$B$5,0),'2026 Forecast'!U102,'2027 Forecast'!U102,'2028 Forecast'!U102)</f>
        <v>253.60415414356743</v>
      </c>
      <c r="V102" s="439">
        <f>CHOOSE(MATCH('Lists and Mapping'!$C$10,'Lists and Mapping'!$B$3:$B$5,0),'2026 Forecast'!V102,'2027 Forecast'!V102,'2028 Forecast'!V102)</f>
        <v>786.37624851544911</v>
      </c>
      <c r="W102" s="437">
        <f>CHOOSE(MATCH('Lists and Mapping'!$C$10,'Lists and Mapping'!$B$3:$B$5,0),'2026 Forecast'!W102,'2027 Forecast'!W102,'2028 Forecast'!W102)</f>
        <v>172.18715331600001</v>
      </c>
      <c r="X102" s="438">
        <f>CHOOSE(MATCH('Lists and Mapping'!$C$10,'Lists and Mapping'!$B$3:$B$5,0),'2026 Forecast'!X102,'2027 Forecast'!X102,'2028 Forecast'!X102)</f>
        <v>0.83276899999999998</v>
      </c>
      <c r="Y102" s="438">
        <f>CHOOSE(MATCH('Lists and Mapping'!$C$10,'Lists and Mapping'!$B$3:$B$5,0),'2026 Forecast'!Y102,'2027 Forecast'!Y102,'2028 Forecast'!Y102)</f>
        <v>0.10777435</v>
      </c>
      <c r="Z102" s="439">
        <f>CHOOSE(MATCH('Lists and Mapping'!$C$10,'Lists and Mapping'!$B$3:$B$5,0),'2026 Forecast'!Z102,'2027 Forecast'!Z102,'2028 Forecast'!Z102)</f>
        <v>173.12769666599999</v>
      </c>
      <c r="AA102" s="440">
        <f>CHOOSE(MATCH('Lists and Mapping'!$C$10,'Lists and Mapping'!$B$3:$B$5,0),'2026 Forecast'!AA102,'2027 Forecast'!AA102,'2028 Forecast'!AA102)</f>
        <v>1055.915091101449</v>
      </c>
      <c r="AB102" s="441">
        <f>CHOOSE(MATCH('Lists and Mapping'!$C$10,'Lists and Mapping'!$B$3:$B$5,0),'2026 Forecast'!AB102,'2027 Forecast'!AB102,'2028 Forecast'!AB102)</f>
        <v>1711.0082173544417</v>
      </c>
      <c r="AC102" s="441">
        <f>CHOOSE(MATCH('Lists and Mapping'!$C$10,'Lists and Mapping'!$B$3:$B$5,0),'2026 Forecast'!AC102,'2027 Forecast'!AC102,'2028 Forecast'!AC102)</f>
        <v>725.77371186768994</v>
      </c>
      <c r="AD102" s="441">
        <f>CHOOSE(MATCH('Lists and Mapping'!$C$10,'Lists and Mapping'!$B$3:$B$5,0),'2026 Forecast'!AD102,'2027 Forecast'!AD102,'2028 Forecast'!AD102)</f>
        <v>88.967745068570693</v>
      </c>
      <c r="AE102" s="441">
        <f>CHOOSE(MATCH('Lists and Mapping'!$C$10,'Lists and Mapping'!$B$3:$B$5,0),'2026 Forecast'!AE102,'2027 Forecast'!AE102,'2028 Forecast'!AE102)</f>
        <v>181.32030138058789</v>
      </c>
      <c r="AF102" s="439">
        <f>CHOOSE(MATCH('Lists and Mapping'!$C$10,'Lists and Mapping'!$B$3:$B$5,0),'2026 Forecast'!AF102,'2027 Forecast'!AF102,'2028 Forecast'!AF102)</f>
        <v>1.3337398431745586</v>
      </c>
      <c r="AG102" s="442">
        <f>CHOOSE(MATCH('Lists and Mapping'!$C$10,'Lists and Mapping'!$B$3:$B$5,0),'2026 Forecast'!AG102,'2027 Forecast'!AG102,'2028 Forecast'!AG102)</f>
        <v>3764.3188066159137</v>
      </c>
      <c r="AH102" s="443">
        <f>CHOOSE(MATCH('Lists and Mapping'!$C$10,'Lists and Mapping'!$B$3:$B$5,0),'2026 Forecast'!AH102,'2027 Forecast'!AH102,'2028 Forecast'!AH102)</f>
        <v>6</v>
      </c>
      <c r="AI102" s="443">
        <f>CHOOSE(MATCH('Lists and Mapping'!$C$10,'Lists and Mapping'!$B$3:$B$5,0),'2026 Forecast'!AI102,'2027 Forecast'!AI102,'2028 Forecast'!AI102)</f>
        <v>11.019810694184269</v>
      </c>
      <c r="AJ102" s="443">
        <f>CHOOSE(MATCH('Lists and Mapping'!$C$10,'Lists and Mapping'!$B$3:$B$5,0),'2026 Forecast'!AJ102,'2027 Forecast'!AJ102,'2028 Forecast'!AJ102)</f>
        <v>4.6743720050413931</v>
      </c>
      <c r="AK102" s="444">
        <f>CHOOSE(MATCH('Lists and Mapping'!$C$10,'Lists and Mapping'!$B$3:$B$5,0),'2026 Forecast'!AK102,'2027 Forecast'!AK102,'2028 Forecast'!AK102)</f>
        <v>24.244232272364265</v>
      </c>
      <c r="AL102" s="443">
        <f>CHOOSE(MATCH('Lists and Mapping'!$C$10,'Lists and Mapping'!$B$3:$B$5,0),'2026 Forecast'!AL102,'2027 Forecast'!AL102,'2028 Forecast'!AL102)</f>
        <v>1.1677999999999999</v>
      </c>
      <c r="AM102" s="443">
        <f>CHOOSE(MATCH('Lists and Mapping'!$C$10,'Lists and Mapping'!$B$3:$B$5,0),'2026 Forecast'!AM102,'2027 Forecast'!AM102,'2028 Forecast'!AM102)</f>
        <v>8.5899999999999969E-3</v>
      </c>
      <c r="AN102" s="444">
        <f>CHOOSE(MATCH('Lists and Mapping'!$C$10,'Lists and Mapping'!$B$3:$B$5,0),'2026 Forecast'!AN102,'2027 Forecast'!AN102,'2028 Forecast'!AN102)</f>
        <v>24.244232272364265</v>
      </c>
      <c r="AO102" s="446"/>
      <c r="AP102" s="449"/>
      <c r="AQ102" s="446"/>
      <c r="AR102" s="446"/>
      <c r="AS102" s="446"/>
      <c r="AT102" s="72"/>
      <c r="AU102" s="72"/>
      <c r="AV102" s="72"/>
      <c r="AW102" s="72"/>
      <c r="AX102" s="72"/>
      <c r="AY102" s="72"/>
      <c r="AZ102" s="72"/>
      <c r="BA102" s="72"/>
      <c r="BB102" s="72"/>
    </row>
    <row r="103" spans="2:54">
      <c r="C103" s="452"/>
      <c r="F103" s="476"/>
      <c r="H103" s="478"/>
      <c r="I103" s="478"/>
      <c r="J103" s="478"/>
      <c r="K103" s="478"/>
      <c r="L103" s="478"/>
      <c r="M103" s="478"/>
      <c r="N103" s="478"/>
      <c r="Q103" s="485"/>
      <c r="R103" s="485"/>
      <c r="S103" s="485"/>
      <c r="T103" s="485"/>
      <c r="V103" s="485"/>
      <c r="W103" s="485"/>
      <c r="X103" s="485"/>
      <c r="Y103" s="485"/>
      <c r="Z103" s="485"/>
      <c r="AA103" s="485"/>
      <c r="AB103" s="453"/>
      <c r="AC103" s="453"/>
      <c r="AD103" s="453"/>
      <c r="AE103" s="453"/>
      <c r="AF103" s="452"/>
      <c r="AG103" s="452"/>
      <c r="AH103" s="452"/>
      <c r="AI103" s="631"/>
      <c r="AJ103" s="452"/>
      <c r="AK103" s="452"/>
      <c r="AL103" s="452"/>
      <c r="AM103" s="452"/>
      <c r="AN103" s="452"/>
      <c r="AO103" s="446"/>
      <c r="AP103" s="446"/>
      <c r="AQ103" s="446"/>
      <c r="AR103" s="446"/>
      <c r="AS103" s="446"/>
      <c r="AT103" s="72"/>
      <c r="AU103" s="72"/>
      <c r="AV103" s="72"/>
      <c r="AW103" s="72"/>
      <c r="AX103" s="72"/>
      <c r="AY103" s="72"/>
      <c r="AZ103" s="72"/>
      <c r="BA103" s="72"/>
      <c r="BB103" s="72"/>
    </row>
    <row r="104" spans="2:54">
      <c r="E104" s="632"/>
      <c r="F104" s="589">
        <f>CHOOSE(MATCH('Lists and Mapping'!$C$10,'Lists and Mapping'!$B$3:$B$5,0),'2026 Forecast'!F104,'2027 Forecast'!F104,'2028 Forecast'!F104)</f>
        <v>33.539140263858684</v>
      </c>
      <c r="P104" s="633">
        <v>-6.0246840000000077</v>
      </c>
      <c r="Q104" s="633">
        <v>-24.188412931402581</v>
      </c>
      <c r="R104" s="633">
        <v>-0.83294874224739601</v>
      </c>
      <c r="S104" s="633">
        <v>0</v>
      </c>
      <c r="T104" s="633">
        <v>0</v>
      </c>
      <c r="U104" s="633">
        <v>-4.7859700221948742E-2</v>
      </c>
      <c r="V104" s="633">
        <v>-25.069221373871983</v>
      </c>
      <c r="W104" s="633">
        <v>0</v>
      </c>
      <c r="X104" s="633">
        <v>3.0660606899999943E-2</v>
      </c>
      <c r="Y104" s="633">
        <v>0</v>
      </c>
      <c r="Z104" s="633">
        <v>3.0660606899999721E-2</v>
      </c>
      <c r="AA104" s="633">
        <v>-31.06324476697182</v>
      </c>
      <c r="AB104" s="453"/>
      <c r="AC104" s="453"/>
      <c r="AD104" s="453"/>
      <c r="AE104" s="453">
        <f>SUM(AE102:AF102)</f>
        <v>182.65404122376245</v>
      </c>
      <c r="AF104" s="453"/>
      <c r="AG104" s="452"/>
      <c r="AH104" s="452"/>
      <c r="AI104" s="634">
        <f>AI102/100*E15</f>
        <v>1607.7880984307726</v>
      </c>
      <c r="AJ104" s="452"/>
      <c r="AK104" s="452"/>
      <c r="AL104" s="452"/>
      <c r="AM104" s="452"/>
      <c r="AN104" s="452"/>
      <c r="AO104" s="446"/>
      <c r="AP104" s="446"/>
      <c r="AQ104" s="446"/>
      <c r="AR104" s="446"/>
      <c r="AS104" s="446"/>
      <c r="AT104" s="72"/>
      <c r="AU104" s="72"/>
      <c r="AV104" s="72"/>
      <c r="AW104" s="72"/>
      <c r="AX104" s="72"/>
      <c r="AY104" s="72"/>
      <c r="AZ104" s="72"/>
      <c r="BA104" s="72"/>
      <c r="BB104" s="72"/>
    </row>
    <row r="105" spans="2:54">
      <c r="E105" s="635" t="s">
        <v>292</v>
      </c>
      <c r="F105" s="589">
        <f>CHOOSE(MATCH('Lists and Mapping'!$C$10,'Lists and Mapping'!$B$3:$B$5,0),'2026 Forecast'!F105,'2027 Forecast'!F105,'2028 Forecast'!F105)</f>
        <v>268.85386689968573</v>
      </c>
      <c r="U105" s="636"/>
      <c r="AB105" s="453"/>
      <c r="AC105" s="453"/>
      <c r="AD105" s="453"/>
      <c r="AE105" s="453"/>
      <c r="AF105" s="453"/>
      <c r="AG105" s="452"/>
      <c r="AH105" s="452"/>
      <c r="AI105" s="452"/>
      <c r="AJ105" s="452"/>
      <c r="AK105" s="452"/>
      <c r="AL105" s="452"/>
      <c r="AM105" s="452"/>
      <c r="AN105" s="452"/>
      <c r="AO105" s="446"/>
      <c r="AP105" s="446"/>
      <c r="AQ105" s="446"/>
      <c r="AR105" s="446"/>
      <c r="AS105" s="446"/>
      <c r="AT105" s="72"/>
      <c r="AU105" s="72"/>
      <c r="AV105" s="72"/>
      <c r="AW105" s="72"/>
      <c r="AX105" s="72"/>
      <c r="AY105" s="72"/>
      <c r="AZ105" s="72"/>
      <c r="BA105" s="72"/>
      <c r="BB105" s="72"/>
    </row>
    <row r="106" spans="2:54">
      <c r="E106" s="635" t="s">
        <v>9</v>
      </c>
      <c r="F106" s="589">
        <f>CHOOSE(MATCH('Lists and Mapping'!$C$10,'Lists and Mapping'!$B$3:$B$5,0),'2026 Forecast'!F106,'2027 Forecast'!F106,'2028 Forecast'!F106)</f>
        <v>262.10000000000002</v>
      </c>
      <c r="U106" s="636"/>
      <c r="AB106" s="453"/>
      <c r="AC106" s="453"/>
      <c r="AD106" s="453"/>
      <c r="AE106" s="453"/>
      <c r="AF106" s="453"/>
      <c r="AG106" s="452"/>
      <c r="AH106" s="452"/>
      <c r="AI106" s="452"/>
      <c r="AJ106" s="452"/>
      <c r="AK106" s="452"/>
      <c r="AL106" s="452"/>
      <c r="AM106" s="452"/>
      <c r="AN106" s="452"/>
      <c r="AO106" s="446"/>
      <c r="AP106" s="446"/>
      <c r="AQ106" s="446"/>
      <c r="AR106" s="446"/>
      <c r="AS106" s="446"/>
      <c r="AT106" s="72"/>
      <c r="AU106" s="72"/>
      <c r="AV106" s="72"/>
      <c r="AW106" s="72"/>
      <c r="AX106" s="72"/>
      <c r="AY106" s="72"/>
      <c r="AZ106" s="72"/>
      <c r="BA106" s="72"/>
      <c r="BB106" s="72"/>
    </row>
    <row r="107" spans="2:54">
      <c r="C107" s="452"/>
      <c r="E107" s="635" t="s">
        <v>293</v>
      </c>
      <c r="F107" s="589">
        <f>CHOOSE(MATCH('Lists and Mapping'!$C$10,'Lists and Mapping'!$B$3:$B$5,0),'2026 Forecast'!F107,'2027 Forecast'!F107,'2028 Forecast'!F107)</f>
        <v>14995.703213130104</v>
      </c>
      <c r="H107" s="478"/>
      <c r="I107" s="478"/>
      <c r="J107" s="478"/>
      <c r="K107" s="478"/>
      <c r="L107" s="478"/>
      <c r="M107" s="478"/>
      <c r="N107" s="478"/>
      <c r="Q107" s="485"/>
      <c r="R107" s="485"/>
      <c r="S107" s="485"/>
      <c r="T107" s="485"/>
      <c r="V107" s="485"/>
      <c r="W107" s="485"/>
      <c r="X107" s="485"/>
      <c r="Y107" s="485"/>
      <c r="Z107" s="485"/>
      <c r="AA107" s="485"/>
      <c r="AB107" s="453"/>
      <c r="AC107" s="453"/>
      <c r="AD107" s="453"/>
      <c r="AE107" s="453"/>
      <c r="AF107" s="453"/>
      <c r="AG107" s="452"/>
      <c r="AH107" s="452"/>
      <c r="AI107" s="452"/>
      <c r="AJ107" s="452"/>
      <c r="AK107" s="452"/>
      <c r="AL107" s="452"/>
      <c r="AM107" s="452"/>
      <c r="AN107" s="452"/>
      <c r="AO107" s="446"/>
      <c r="AP107" s="446"/>
      <c r="AQ107" s="446"/>
      <c r="AR107" s="446"/>
      <c r="AS107" s="446"/>
      <c r="AT107" s="72"/>
      <c r="AU107" s="72"/>
      <c r="AV107" s="72"/>
      <c r="AW107" s="72"/>
      <c r="AX107" s="72"/>
      <c r="AY107" s="72"/>
      <c r="AZ107" s="72"/>
      <c r="BA107" s="72"/>
      <c r="BB107" s="72"/>
    </row>
    <row r="108" spans="2:54">
      <c r="C108" s="452"/>
      <c r="H108" s="478"/>
      <c r="I108" s="478"/>
      <c r="J108" s="478"/>
      <c r="K108" s="478"/>
      <c r="L108" s="478"/>
      <c r="M108" s="478"/>
      <c r="N108" s="478"/>
      <c r="Q108" s="485"/>
      <c r="R108" s="485"/>
      <c r="S108" s="485"/>
      <c r="T108" s="485"/>
      <c r="V108" s="485"/>
      <c r="W108" s="485"/>
      <c r="X108" s="485"/>
      <c r="Y108" s="485"/>
      <c r="Z108" s="485"/>
      <c r="AA108" s="485"/>
      <c r="AB108" s="453"/>
      <c r="AC108" s="453"/>
      <c r="AD108" s="453"/>
      <c r="AE108" s="453"/>
      <c r="AF108" s="452"/>
      <c r="AG108" s="452"/>
      <c r="AH108" s="452"/>
      <c r="AJ108" s="452"/>
      <c r="AK108" s="452"/>
      <c r="AL108" s="452"/>
      <c r="AM108" s="452"/>
      <c r="AN108" s="452"/>
      <c r="AO108" s="446"/>
      <c r="AP108" s="446"/>
      <c r="AQ108" s="446"/>
      <c r="AR108" s="446"/>
      <c r="AS108" s="446"/>
      <c r="AT108" s="72"/>
      <c r="AU108" s="72"/>
      <c r="AV108" s="72"/>
      <c r="AW108" s="72"/>
      <c r="AX108" s="72"/>
      <c r="AY108" s="72"/>
      <c r="AZ108" s="72"/>
      <c r="BA108" s="72"/>
      <c r="BB108" s="72"/>
    </row>
    <row r="109" spans="2:54">
      <c r="C109" s="452"/>
      <c r="Q109" s="485"/>
      <c r="R109" s="485"/>
      <c r="S109" s="485"/>
      <c r="T109" s="485"/>
      <c r="U109" s="485"/>
      <c r="V109" s="485"/>
      <c r="W109" s="485"/>
      <c r="X109" s="485"/>
      <c r="Y109" s="485"/>
      <c r="Z109" s="485"/>
      <c r="AA109" s="485"/>
      <c r="AB109" s="453"/>
      <c r="AC109" s="453"/>
      <c r="AD109" s="453"/>
      <c r="AE109" s="453"/>
      <c r="AF109" s="452"/>
      <c r="AG109" s="452"/>
      <c r="AH109" s="452"/>
      <c r="AI109" s="452"/>
      <c r="AJ109" s="452"/>
      <c r="AK109" s="452"/>
      <c r="AL109" s="452"/>
      <c r="AM109" s="452"/>
      <c r="AN109" s="452"/>
      <c r="AO109" s="446"/>
      <c r="AP109" s="446"/>
      <c r="AQ109" s="446"/>
      <c r="AR109" s="446"/>
      <c r="AS109" s="446"/>
      <c r="AT109" s="72"/>
      <c r="AU109" s="72"/>
      <c r="AV109" s="72"/>
      <c r="AW109" s="72"/>
      <c r="AX109" s="72"/>
      <c r="AY109" s="72"/>
      <c r="AZ109" s="72"/>
      <c r="BA109" s="72"/>
      <c r="BB109" s="72"/>
    </row>
    <row r="110" spans="2:54">
      <c r="C110" s="452"/>
      <c r="Q110" s="485"/>
      <c r="R110" s="485"/>
      <c r="S110" s="485"/>
      <c r="T110" s="485"/>
      <c r="U110" s="485"/>
      <c r="V110" s="485"/>
      <c r="W110" s="485"/>
      <c r="X110" s="485"/>
      <c r="Y110" s="485"/>
      <c r="Z110" s="485"/>
      <c r="AA110" s="485"/>
      <c r="AB110" s="453"/>
      <c r="AC110" s="453"/>
      <c r="AD110" s="453"/>
      <c r="AE110" s="450"/>
      <c r="AF110" s="452"/>
      <c r="AG110" s="452"/>
      <c r="AH110" s="452"/>
      <c r="AI110" s="452"/>
      <c r="AJ110" s="452"/>
      <c r="AK110" s="452"/>
      <c r="AL110" s="452"/>
      <c r="AM110" s="452"/>
      <c r="AN110" s="452"/>
      <c r="AO110" s="446"/>
      <c r="AP110" s="446"/>
      <c r="AQ110" s="446"/>
      <c r="AR110" s="446"/>
      <c r="AS110" s="446"/>
      <c r="AT110" s="72"/>
      <c r="AU110" s="72"/>
      <c r="AV110" s="72"/>
      <c r="AW110" s="72"/>
      <c r="AX110" s="72"/>
      <c r="AY110" s="72"/>
      <c r="AZ110" s="72"/>
      <c r="BA110" s="72"/>
      <c r="BB110" s="72"/>
    </row>
    <row r="111" spans="2:54">
      <c r="C111" s="452"/>
      <c r="Q111" s="452"/>
      <c r="R111" s="452"/>
      <c r="S111" s="452"/>
      <c r="T111" s="452"/>
      <c r="U111" s="452"/>
      <c r="V111" s="452"/>
      <c r="W111" s="485"/>
      <c r="X111" s="452"/>
      <c r="Y111" s="452"/>
      <c r="Z111" s="452"/>
      <c r="AA111" s="485"/>
      <c r="AB111" s="453"/>
      <c r="AC111" s="453"/>
      <c r="AD111" s="453"/>
      <c r="AE111" s="453"/>
      <c r="AF111" s="452"/>
      <c r="AG111" s="452"/>
      <c r="AH111" s="452"/>
      <c r="AI111" s="452"/>
      <c r="AJ111" s="452"/>
      <c r="AK111" s="452"/>
      <c r="AL111" s="452"/>
      <c r="AM111" s="452"/>
      <c r="AN111" s="452"/>
      <c r="AO111" s="446"/>
      <c r="AP111" s="446"/>
      <c r="AQ111" s="446"/>
      <c r="AR111" s="446"/>
      <c r="AS111" s="446"/>
      <c r="AT111" s="72"/>
      <c r="AU111" s="72"/>
      <c r="AV111" s="72"/>
      <c r="AW111" s="72"/>
      <c r="AX111" s="72"/>
      <c r="AY111" s="72"/>
      <c r="AZ111" s="72"/>
      <c r="BA111" s="72"/>
      <c r="BB111" s="72"/>
    </row>
    <row r="112" spans="2:54">
      <c r="C112" s="452"/>
      <c r="Q112" s="452"/>
      <c r="R112" s="452"/>
      <c r="S112" s="452"/>
      <c r="T112" s="452"/>
      <c r="U112" s="452"/>
      <c r="V112" s="452"/>
      <c r="W112" s="485"/>
      <c r="X112" s="452"/>
      <c r="Y112" s="452"/>
      <c r="Z112" s="452"/>
      <c r="AA112" s="485"/>
      <c r="AB112" s="453"/>
      <c r="AC112" s="453"/>
      <c r="AD112" s="453"/>
      <c r="AE112" s="453"/>
      <c r="AF112" s="452"/>
      <c r="AG112" s="452"/>
      <c r="AH112" s="452"/>
      <c r="AI112" s="452"/>
      <c r="AJ112" s="452"/>
      <c r="AK112" s="452"/>
      <c r="AL112" s="452"/>
      <c r="AM112" s="452"/>
      <c r="AN112" s="452"/>
      <c r="AO112" s="446"/>
      <c r="AP112" s="446"/>
      <c r="AQ112" s="446"/>
      <c r="AR112" s="446"/>
      <c r="AS112" s="446"/>
      <c r="AT112" s="72"/>
      <c r="AU112" s="72"/>
      <c r="AV112" s="72"/>
      <c r="AW112" s="72"/>
      <c r="AX112" s="72"/>
      <c r="AY112" s="72"/>
      <c r="AZ112" s="72"/>
      <c r="BA112" s="72"/>
      <c r="BB112" s="72"/>
    </row>
    <row r="113" spans="3:54">
      <c r="C113" s="452"/>
      <c r="D113" s="637" t="s">
        <v>294</v>
      </c>
      <c r="Q113" s="452"/>
      <c r="R113" s="452"/>
      <c r="S113" s="452"/>
      <c r="T113" s="452"/>
      <c r="U113" s="452"/>
      <c r="V113" s="452"/>
      <c r="W113" s="485"/>
      <c r="X113" s="452"/>
      <c r="Y113" s="452"/>
      <c r="Z113" s="452"/>
      <c r="AA113" s="485"/>
      <c r="AB113" s="453"/>
      <c r="AC113" s="453"/>
      <c r="AD113" s="453"/>
      <c r="AE113" s="453"/>
      <c r="AF113" s="452"/>
      <c r="AG113" s="452"/>
      <c r="AH113" s="452"/>
      <c r="AI113" s="452"/>
      <c r="AJ113" s="452"/>
      <c r="AK113" s="452"/>
      <c r="AL113" s="452"/>
      <c r="AM113" s="452"/>
      <c r="AN113" s="452"/>
      <c r="AO113" s="446"/>
      <c r="AP113" s="446"/>
      <c r="AQ113" s="446"/>
      <c r="AR113" s="446"/>
      <c r="AS113" s="446"/>
      <c r="AT113" s="72"/>
      <c r="AU113" s="72"/>
      <c r="AV113" s="72"/>
      <c r="AW113" s="72"/>
      <c r="AX113" s="72"/>
      <c r="AY113" s="72"/>
      <c r="AZ113" s="72"/>
      <c r="BA113" s="72"/>
      <c r="BB113" s="72"/>
    </row>
    <row r="114" spans="3:54">
      <c r="C114" s="452"/>
      <c r="Q114" s="452"/>
      <c r="R114" s="452"/>
      <c r="S114" s="452"/>
      <c r="T114" s="452"/>
      <c r="U114" s="452"/>
      <c r="V114" s="452"/>
      <c r="X114" s="452"/>
      <c r="Y114" s="452"/>
      <c r="Z114" s="452"/>
      <c r="AB114" s="453"/>
      <c r="AC114" s="453"/>
      <c r="AD114" s="453"/>
      <c r="AE114" s="453"/>
      <c r="AF114" s="452"/>
      <c r="AG114" s="452"/>
      <c r="AH114" s="452"/>
      <c r="AI114" s="452"/>
      <c r="AJ114" s="452"/>
      <c r="AK114" s="452"/>
      <c r="AL114" s="452"/>
      <c r="AM114" s="452"/>
      <c r="AN114" s="452"/>
      <c r="AO114" s="446"/>
      <c r="AP114" s="446"/>
      <c r="AQ114" s="446"/>
      <c r="AR114" s="446"/>
      <c r="AS114" s="446"/>
      <c r="AT114" s="72"/>
      <c r="AU114" s="72"/>
      <c r="AV114" s="72"/>
      <c r="AW114" s="72"/>
      <c r="AX114" s="72"/>
      <c r="AY114" s="72"/>
      <c r="AZ114" s="72"/>
      <c r="BA114" s="72"/>
      <c r="BB114" s="72"/>
    </row>
    <row r="115" spans="3:54">
      <c r="C115" s="452"/>
      <c r="Q115" s="452"/>
      <c r="R115" s="452"/>
      <c r="S115" s="452"/>
      <c r="T115" s="452"/>
      <c r="U115" s="452"/>
      <c r="V115" s="452"/>
      <c r="X115" s="452"/>
      <c r="Y115" s="452"/>
      <c r="Z115" s="452"/>
      <c r="AB115" s="453"/>
      <c r="AC115" s="453"/>
      <c r="AD115" s="453"/>
      <c r="AE115" s="453"/>
      <c r="AF115" s="452"/>
      <c r="AG115" s="452"/>
      <c r="AH115" s="452"/>
      <c r="AI115" s="452"/>
      <c r="AJ115" s="452"/>
      <c r="AK115" s="452"/>
      <c r="AL115" s="452"/>
      <c r="AM115" s="452"/>
      <c r="AN115" s="452"/>
      <c r="AO115" s="446"/>
      <c r="AP115" s="446"/>
      <c r="AQ115" s="446"/>
      <c r="AR115" s="446"/>
      <c r="AS115" s="446"/>
      <c r="AT115" s="72"/>
      <c r="AU115" s="72"/>
      <c r="AV115" s="72"/>
      <c r="AW115" s="72"/>
      <c r="AX115" s="72"/>
      <c r="AY115" s="72"/>
      <c r="AZ115" s="72"/>
      <c r="BA115" s="72"/>
      <c r="BB115" s="72"/>
    </row>
    <row r="116" spans="3:54">
      <c r="C116" s="452"/>
      <c r="D116" s="637" t="s">
        <v>295</v>
      </c>
      <c r="E116" s="589">
        <f>CHOOSE(MATCH('Lists and Mapping'!$C$10,'Lists and Mapping'!$B$3:$B$5,0),'2026 Forecast'!E116,'2027 Forecast'!E116,'2028 Forecast'!E116)</f>
        <v>1072.2429613474512</v>
      </c>
      <c r="Q116" s="452"/>
      <c r="R116" s="452"/>
      <c r="S116" s="452"/>
      <c r="T116" s="452"/>
      <c r="U116" s="452"/>
      <c r="V116" s="452"/>
      <c r="X116" s="452"/>
      <c r="Y116" s="452"/>
      <c r="Z116" s="452"/>
      <c r="AB116" s="453"/>
      <c r="AC116" s="453"/>
      <c r="AD116" s="453"/>
      <c r="AE116" s="453"/>
      <c r="AF116" s="452"/>
      <c r="AG116" s="452"/>
      <c r="AH116" s="452"/>
      <c r="AI116" s="452"/>
      <c r="AJ116" s="452"/>
      <c r="AK116" s="452"/>
      <c r="AL116" s="452"/>
      <c r="AM116" s="452"/>
      <c r="AN116" s="452"/>
      <c r="AO116" s="446"/>
      <c r="AP116" s="446"/>
      <c r="AQ116" s="446"/>
      <c r="AR116" s="446"/>
      <c r="AS116" s="446"/>
      <c r="AT116" s="72"/>
      <c r="AU116" s="72"/>
      <c r="AV116" s="72"/>
      <c r="AW116" s="72"/>
      <c r="AX116" s="72"/>
      <c r="AY116" s="72"/>
      <c r="AZ116" s="72"/>
      <c r="BA116" s="72"/>
      <c r="BB116" s="72"/>
    </row>
    <row r="117" spans="3:54">
      <c r="C117" s="452"/>
      <c r="E117" s="450">
        <f>-1</f>
        <v>-1</v>
      </c>
      <c r="F117" s="450" t="s">
        <v>296</v>
      </c>
      <c r="Q117" s="452"/>
      <c r="R117" s="452"/>
      <c r="S117" s="452"/>
      <c r="T117" s="452"/>
      <c r="U117" s="452"/>
      <c r="V117" s="452"/>
      <c r="X117" s="452"/>
      <c r="Y117" s="452"/>
      <c r="Z117" s="452"/>
      <c r="AB117" s="453"/>
      <c r="AC117" s="453"/>
      <c r="AD117" s="453"/>
      <c r="AE117" s="453"/>
      <c r="AF117" s="452"/>
      <c r="AG117" s="452"/>
      <c r="AH117" s="452"/>
      <c r="AI117" s="452"/>
      <c r="AJ117" s="452"/>
      <c r="AK117" s="452"/>
      <c r="AL117" s="452"/>
      <c r="AM117" s="452"/>
      <c r="AN117" s="452"/>
      <c r="AO117" s="446"/>
      <c r="AP117" s="446"/>
      <c r="AQ117" s="446"/>
      <c r="AR117" s="446"/>
      <c r="AS117" s="446"/>
      <c r="AT117" s="72"/>
      <c r="AU117" s="72"/>
      <c r="AV117" s="72"/>
      <c r="AW117" s="72"/>
      <c r="AX117" s="72"/>
      <c r="AY117" s="72"/>
      <c r="AZ117" s="72"/>
      <c r="BA117" s="72"/>
      <c r="BB117" s="72"/>
    </row>
    <row r="118" spans="3:54">
      <c r="C118" s="452"/>
      <c r="F118" s="450" t="s">
        <v>297</v>
      </c>
      <c r="Q118" s="452"/>
      <c r="R118" s="452"/>
      <c r="S118" s="452"/>
      <c r="T118" s="452"/>
      <c r="U118" s="452"/>
      <c r="V118" s="452"/>
      <c r="X118" s="452"/>
      <c r="Y118" s="452"/>
      <c r="Z118" s="452"/>
      <c r="AB118" s="453"/>
      <c r="AC118" s="453"/>
      <c r="AD118" s="453"/>
      <c r="AE118" s="453"/>
      <c r="AF118" s="452"/>
      <c r="AG118" s="452"/>
      <c r="AH118" s="452"/>
      <c r="AI118" s="452"/>
      <c r="AJ118" s="452"/>
      <c r="AK118" s="452"/>
      <c r="AL118" s="452"/>
      <c r="AM118" s="452"/>
      <c r="AN118" s="452"/>
      <c r="AO118" s="446"/>
      <c r="AP118" s="446"/>
      <c r="AQ118" s="446"/>
      <c r="AR118" s="446"/>
      <c r="AS118" s="446"/>
      <c r="AT118" s="72"/>
      <c r="AU118" s="72"/>
      <c r="AV118" s="72"/>
      <c r="AW118" s="72"/>
      <c r="AX118" s="72"/>
      <c r="AY118" s="72"/>
      <c r="AZ118" s="72"/>
      <c r="BA118" s="72"/>
      <c r="BB118" s="72"/>
    </row>
    <row r="119" spans="3:54">
      <c r="C119" s="452"/>
      <c r="F119" s="450" t="s">
        <v>297</v>
      </c>
      <c r="AB119" s="453"/>
      <c r="AC119" s="453"/>
      <c r="AD119" s="453"/>
      <c r="AE119" s="453"/>
      <c r="AF119" s="452"/>
      <c r="AG119" s="452"/>
      <c r="AH119" s="452"/>
      <c r="AI119" s="452"/>
      <c r="AJ119" s="452"/>
      <c r="AK119" s="452"/>
      <c r="AL119" s="452"/>
      <c r="AM119" s="452"/>
      <c r="AN119" s="452"/>
      <c r="AO119" s="446"/>
      <c r="AP119" s="446"/>
      <c r="AQ119" s="446"/>
      <c r="AR119" s="446"/>
      <c r="AS119" s="446"/>
      <c r="AT119" s="72"/>
      <c r="AU119" s="72"/>
      <c r="AV119" s="72"/>
      <c r="AW119" s="72"/>
      <c r="AX119" s="72"/>
      <c r="AY119" s="72"/>
      <c r="AZ119" s="72"/>
      <c r="BA119" s="72"/>
      <c r="BB119" s="72"/>
    </row>
    <row r="120" spans="3:54">
      <c r="C120" s="452"/>
      <c r="F120" s="450" t="s">
        <v>297</v>
      </c>
      <c r="Q120" s="452"/>
      <c r="R120" s="452"/>
      <c r="S120" s="452"/>
      <c r="T120" s="452"/>
      <c r="U120" s="452"/>
      <c r="V120" s="452"/>
      <c r="X120" s="452"/>
      <c r="Y120" s="452"/>
      <c r="Z120" s="452"/>
      <c r="AB120" s="453"/>
      <c r="AC120" s="453"/>
      <c r="AD120" s="453"/>
      <c r="AE120" s="453"/>
      <c r="AF120" s="452"/>
      <c r="AG120" s="452"/>
      <c r="AH120" s="452"/>
      <c r="AI120" s="452"/>
      <c r="AJ120" s="452"/>
      <c r="AK120" s="452"/>
      <c r="AL120" s="452"/>
      <c r="AM120" s="452"/>
      <c r="AN120" s="452"/>
      <c r="AO120" s="446"/>
      <c r="AP120" s="446"/>
      <c r="AQ120" s="446"/>
      <c r="AR120" s="446"/>
      <c r="AS120" s="446"/>
      <c r="AT120" s="72"/>
      <c r="AU120" s="72"/>
      <c r="AV120" s="72"/>
      <c r="AW120" s="72"/>
      <c r="AX120" s="72"/>
      <c r="AY120" s="72"/>
      <c r="AZ120" s="72"/>
      <c r="BA120" s="72"/>
      <c r="BB120" s="72"/>
    </row>
    <row r="121" spans="3:54">
      <c r="C121" s="452"/>
      <c r="F121" s="450" t="s">
        <v>297</v>
      </c>
      <c r="Q121" s="452"/>
      <c r="R121" s="452"/>
      <c r="S121" s="452"/>
      <c r="T121" s="452"/>
      <c r="U121" s="452"/>
      <c r="V121" s="452"/>
      <c r="X121" s="452"/>
      <c r="Y121" s="452"/>
      <c r="Z121" s="452"/>
      <c r="AB121" s="453"/>
      <c r="AC121" s="453"/>
      <c r="AD121" s="453"/>
      <c r="AE121" s="453"/>
      <c r="AF121" s="452"/>
      <c r="AG121" s="452"/>
      <c r="AH121" s="452"/>
      <c r="AI121" s="452"/>
      <c r="AJ121" s="452"/>
      <c r="AK121" s="452"/>
      <c r="AL121" s="452"/>
      <c r="AM121" s="452"/>
      <c r="AN121" s="452"/>
      <c r="AO121" s="446"/>
      <c r="AP121" s="446"/>
      <c r="AQ121" s="446"/>
      <c r="AR121" s="446"/>
      <c r="AS121" s="446"/>
      <c r="AT121" s="72"/>
      <c r="AU121" s="72"/>
      <c r="AV121" s="72"/>
      <c r="AW121" s="72"/>
      <c r="AX121" s="72"/>
      <c r="AY121" s="72"/>
      <c r="AZ121" s="72"/>
      <c r="BA121" s="72"/>
      <c r="BB121" s="72"/>
    </row>
    <row r="122" spans="3:54">
      <c r="C122" s="452"/>
      <c r="F122" s="450" t="s">
        <v>297</v>
      </c>
      <c r="Q122" s="452"/>
      <c r="R122" s="452"/>
      <c r="S122" s="452"/>
      <c r="T122" s="452"/>
      <c r="U122" s="452"/>
      <c r="V122" s="452"/>
      <c r="X122" s="452"/>
      <c r="Y122" s="452"/>
      <c r="Z122" s="452"/>
      <c r="AB122" s="453"/>
      <c r="AC122" s="453"/>
      <c r="AD122" s="453"/>
      <c r="AE122" s="453"/>
      <c r="AF122" s="452"/>
      <c r="AG122" s="452"/>
      <c r="AH122" s="452"/>
      <c r="AI122" s="452"/>
      <c r="AJ122" s="452"/>
      <c r="AK122" s="452"/>
      <c r="AL122" s="452"/>
      <c r="AM122" s="452"/>
      <c r="AN122" s="452"/>
      <c r="AO122" s="446"/>
      <c r="AP122" s="446"/>
      <c r="AQ122" s="446"/>
      <c r="AR122" s="446"/>
      <c r="AS122" s="446"/>
      <c r="AT122" s="72"/>
      <c r="AU122" s="72"/>
      <c r="AV122" s="72"/>
      <c r="AW122" s="72"/>
      <c r="AX122" s="72"/>
      <c r="AY122" s="72"/>
      <c r="AZ122" s="72"/>
      <c r="BA122" s="72"/>
      <c r="BB122" s="72"/>
    </row>
    <row r="123" spans="3:54">
      <c r="C123" s="452"/>
      <c r="F123" s="450" t="s">
        <v>297</v>
      </c>
      <c r="Q123" s="452"/>
      <c r="R123" s="452"/>
      <c r="S123" s="452"/>
      <c r="T123" s="452"/>
      <c r="U123" s="452"/>
      <c r="V123" s="452"/>
      <c r="X123" s="452"/>
      <c r="Y123" s="452"/>
      <c r="Z123" s="452"/>
      <c r="AB123" s="453"/>
      <c r="AC123" s="453"/>
      <c r="AD123" s="453"/>
      <c r="AE123" s="453"/>
      <c r="AF123" s="452"/>
      <c r="AG123" s="452"/>
      <c r="AH123" s="452"/>
      <c r="AI123" s="452"/>
      <c r="AJ123" s="452"/>
      <c r="AK123" s="452"/>
      <c r="AL123" s="452"/>
      <c r="AM123" s="452"/>
      <c r="AN123" s="452"/>
      <c r="AO123" s="446"/>
      <c r="AP123" s="446"/>
      <c r="AQ123" s="446"/>
      <c r="AR123" s="446"/>
      <c r="AS123" s="446"/>
      <c r="AT123" s="72"/>
      <c r="AU123" s="72"/>
      <c r="AV123" s="72"/>
      <c r="AW123" s="72"/>
      <c r="AX123" s="72"/>
      <c r="AY123" s="72"/>
      <c r="AZ123" s="72"/>
      <c r="BA123" s="72"/>
      <c r="BB123" s="72"/>
    </row>
    <row r="124" spans="3:54">
      <c r="C124" s="452"/>
      <c r="F124" s="450" t="s">
        <v>298</v>
      </c>
      <c r="Q124" s="452"/>
      <c r="R124" s="452"/>
      <c r="S124" s="452"/>
      <c r="T124" s="452"/>
      <c r="U124" s="452"/>
      <c r="V124" s="452"/>
      <c r="X124" s="452"/>
      <c r="Y124" s="452"/>
      <c r="Z124" s="452"/>
      <c r="AB124" s="453"/>
      <c r="AC124" s="453"/>
      <c r="AD124" s="453"/>
      <c r="AE124" s="453"/>
      <c r="AF124" s="452"/>
      <c r="AG124" s="452"/>
      <c r="AH124" s="452"/>
      <c r="AI124" s="452"/>
      <c r="AJ124" s="452"/>
      <c r="AK124" s="452"/>
      <c r="AL124" s="452"/>
      <c r="AM124" s="452"/>
      <c r="AN124" s="452"/>
      <c r="AO124" s="446"/>
      <c r="AP124" s="446"/>
      <c r="AQ124" s="446"/>
      <c r="AR124" s="446"/>
      <c r="AS124" s="446"/>
      <c r="AT124" s="72"/>
      <c r="AU124" s="72"/>
      <c r="AV124" s="72"/>
      <c r="AW124" s="72"/>
      <c r="AX124" s="72"/>
      <c r="AY124" s="72"/>
      <c r="AZ124" s="72"/>
      <c r="BA124" s="72"/>
      <c r="BB124" s="72"/>
    </row>
    <row r="125" spans="3:54">
      <c r="C125" s="452"/>
      <c r="F125" s="450" t="s">
        <v>298</v>
      </c>
      <c r="Q125" s="452"/>
      <c r="R125" s="452"/>
      <c r="S125" s="452"/>
      <c r="T125" s="452"/>
      <c r="U125" s="452"/>
      <c r="V125" s="452"/>
      <c r="X125" s="452"/>
      <c r="Y125" s="452"/>
      <c r="Z125" s="452"/>
      <c r="AB125" s="453"/>
      <c r="AC125" s="453"/>
      <c r="AD125" s="453"/>
      <c r="AE125" s="453"/>
      <c r="AF125" s="452"/>
      <c r="AG125" s="452"/>
      <c r="AH125" s="452"/>
      <c r="AI125" s="452"/>
      <c r="AJ125" s="452"/>
      <c r="AK125" s="452"/>
      <c r="AL125" s="452"/>
      <c r="AM125" s="452"/>
      <c r="AN125" s="452"/>
      <c r="AO125" s="446"/>
      <c r="AP125" s="446"/>
      <c r="AQ125" s="446"/>
      <c r="AR125" s="446"/>
      <c r="AS125" s="446"/>
      <c r="AT125" s="72"/>
      <c r="AU125" s="72"/>
      <c r="AV125" s="72"/>
      <c r="AW125" s="72"/>
      <c r="AX125" s="72"/>
      <c r="AY125" s="72"/>
      <c r="AZ125" s="72"/>
      <c r="BA125" s="72"/>
      <c r="BB125" s="72"/>
    </row>
    <row r="126" spans="3:54">
      <c r="C126" s="452"/>
      <c r="F126" s="450" t="s">
        <v>298</v>
      </c>
      <c r="Q126" s="452"/>
      <c r="R126" s="452"/>
      <c r="S126" s="452"/>
      <c r="T126" s="452"/>
      <c r="U126" s="452"/>
      <c r="V126" s="452"/>
      <c r="X126" s="452"/>
      <c r="Y126" s="452"/>
      <c r="Z126" s="452"/>
      <c r="AB126" s="453"/>
      <c r="AC126" s="453"/>
      <c r="AD126" s="453"/>
      <c r="AE126" s="453"/>
      <c r="AF126" s="452"/>
      <c r="AG126" s="452"/>
      <c r="AH126" s="452"/>
      <c r="AI126" s="452"/>
      <c r="AJ126" s="452"/>
      <c r="AK126" s="452"/>
      <c r="AL126" s="452"/>
      <c r="AM126" s="452"/>
      <c r="AN126" s="452"/>
      <c r="AO126" s="446"/>
      <c r="AP126" s="446"/>
      <c r="AQ126" s="446"/>
      <c r="AR126" s="446"/>
      <c r="AS126" s="446"/>
      <c r="AT126" s="72"/>
      <c r="AU126" s="72"/>
      <c r="AV126" s="72"/>
      <c r="AW126" s="72"/>
      <c r="AX126" s="72"/>
      <c r="AY126" s="72"/>
      <c r="AZ126" s="72"/>
      <c r="BA126" s="72"/>
      <c r="BB126" s="72"/>
    </row>
    <row r="127" spans="3:54">
      <c r="F127" s="450" t="s">
        <v>298</v>
      </c>
      <c r="Q127" s="452"/>
      <c r="R127" s="452"/>
      <c r="S127" s="452"/>
      <c r="T127" s="452"/>
      <c r="U127" s="452"/>
      <c r="V127" s="452"/>
      <c r="X127" s="452"/>
      <c r="Y127" s="452"/>
      <c r="Z127" s="452"/>
      <c r="AB127" s="453"/>
      <c r="AC127" s="453"/>
      <c r="AD127" s="453"/>
      <c r="AE127" s="453"/>
      <c r="AF127" s="452"/>
      <c r="AG127" s="452"/>
      <c r="AH127" s="452"/>
      <c r="AI127" s="452"/>
      <c r="AJ127" s="452"/>
      <c r="AK127" s="452"/>
      <c r="AL127" s="452"/>
      <c r="AM127" s="452"/>
      <c r="AN127" s="452"/>
      <c r="AO127" s="446"/>
      <c r="AP127" s="446"/>
      <c r="AQ127" s="446"/>
      <c r="AR127" s="446"/>
      <c r="AS127" s="446"/>
      <c r="AT127" s="72"/>
      <c r="AU127" s="72"/>
      <c r="AV127" s="72"/>
      <c r="AW127" s="72"/>
      <c r="AX127" s="72"/>
      <c r="AY127" s="72"/>
      <c r="AZ127" s="72"/>
      <c r="BA127" s="72"/>
      <c r="BB127" s="72"/>
    </row>
    <row r="128" spans="3:54">
      <c r="C128" s="452"/>
      <c r="F128" s="450" t="s">
        <v>298</v>
      </c>
      <c r="Q128" s="452"/>
      <c r="R128" s="452"/>
      <c r="S128" s="452"/>
      <c r="T128" s="452"/>
      <c r="U128" s="452"/>
      <c r="V128" s="452"/>
      <c r="X128" s="452"/>
      <c r="Y128" s="452"/>
      <c r="Z128" s="452"/>
      <c r="AB128" s="453"/>
      <c r="AC128" s="453"/>
      <c r="AD128" s="453"/>
      <c r="AE128" s="453"/>
      <c r="AF128" s="452"/>
      <c r="AG128" s="452"/>
      <c r="AH128" s="452"/>
      <c r="AI128" s="452"/>
      <c r="AJ128" s="452"/>
      <c r="AK128" s="452"/>
      <c r="AL128" s="452"/>
      <c r="AM128" s="452"/>
      <c r="AN128" s="452"/>
      <c r="AO128" s="446"/>
      <c r="AP128" s="446"/>
      <c r="AQ128" s="446"/>
      <c r="AR128" s="446"/>
      <c r="AS128" s="446"/>
      <c r="AT128" s="72"/>
      <c r="AU128" s="72"/>
      <c r="AV128" s="72"/>
      <c r="AW128" s="72"/>
      <c r="AX128" s="72"/>
      <c r="AY128" s="72"/>
      <c r="AZ128" s="72"/>
      <c r="BA128" s="72"/>
      <c r="BB128" s="72"/>
    </row>
    <row r="129" spans="3:54">
      <c r="C129" s="452"/>
      <c r="F129" s="450" t="s">
        <v>298</v>
      </c>
      <c r="Q129" s="452"/>
      <c r="R129" s="452"/>
      <c r="S129" s="452"/>
      <c r="T129" s="452"/>
      <c r="U129" s="452"/>
      <c r="V129" s="452"/>
      <c r="X129" s="452"/>
      <c r="Y129" s="452"/>
      <c r="Z129" s="452"/>
      <c r="AB129" s="453"/>
      <c r="AC129" s="453"/>
      <c r="AD129" s="453"/>
      <c r="AE129" s="453"/>
      <c r="AF129" s="452"/>
      <c r="AG129" s="452"/>
      <c r="AH129" s="452"/>
      <c r="AI129" s="452"/>
      <c r="AJ129" s="452"/>
      <c r="AK129" s="452"/>
      <c r="AL129" s="452"/>
      <c r="AM129" s="452"/>
      <c r="AN129" s="452"/>
      <c r="AO129" s="446"/>
      <c r="AP129" s="446"/>
      <c r="AQ129" s="446"/>
      <c r="AR129" s="446"/>
      <c r="AS129" s="446"/>
      <c r="AT129" s="72"/>
      <c r="AU129" s="72"/>
      <c r="AV129" s="72"/>
      <c r="AW129" s="72"/>
      <c r="AX129" s="72"/>
      <c r="AY129" s="72"/>
      <c r="AZ129" s="72"/>
      <c r="BA129" s="72"/>
      <c r="BB129" s="72"/>
    </row>
    <row r="130" spans="3:54">
      <c r="C130" s="452"/>
      <c r="F130" s="450" t="s">
        <v>298</v>
      </c>
      <c r="Q130" s="452"/>
      <c r="R130" s="452"/>
      <c r="S130" s="452"/>
      <c r="T130" s="452"/>
      <c r="U130" s="452"/>
      <c r="V130" s="452"/>
      <c r="X130" s="452"/>
      <c r="Y130" s="452"/>
      <c r="Z130" s="452"/>
      <c r="AB130" s="453"/>
      <c r="AC130" s="453"/>
      <c r="AD130" s="453"/>
      <c r="AE130" s="453"/>
      <c r="AF130" s="452"/>
      <c r="AG130" s="452"/>
      <c r="AH130" s="452"/>
      <c r="AI130" s="452"/>
      <c r="AJ130" s="452"/>
      <c r="AK130" s="452"/>
      <c r="AL130" s="452"/>
      <c r="AM130" s="452"/>
      <c r="AN130" s="452"/>
      <c r="AO130" s="446"/>
      <c r="AP130" s="446"/>
      <c r="AQ130" s="446"/>
      <c r="AR130" s="446"/>
      <c r="AS130" s="446"/>
      <c r="AT130" s="72"/>
      <c r="AU130" s="72"/>
      <c r="AV130" s="72"/>
      <c r="AW130" s="72"/>
      <c r="AX130" s="72"/>
      <c r="AY130" s="72"/>
      <c r="AZ130" s="72"/>
      <c r="BA130" s="72"/>
      <c r="BB130" s="72"/>
    </row>
    <row r="131" spans="3:54">
      <c r="C131" s="452"/>
      <c r="E131" s="638"/>
      <c r="F131" s="450" t="s">
        <v>298</v>
      </c>
      <c r="Q131" s="452"/>
      <c r="R131" s="452"/>
      <c r="S131" s="452"/>
      <c r="T131" s="452"/>
      <c r="U131" s="452"/>
      <c r="V131" s="452"/>
      <c r="X131" s="452"/>
      <c r="Y131" s="452"/>
      <c r="Z131" s="452"/>
      <c r="AB131" s="453"/>
      <c r="AC131" s="453"/>
      <c r="AD131" s="453"/>
      <c r="AE131" s="453"/>
      <c r="AF131" s="452"/>
      <c r="AG131" s="452"/>
      <c r="AH131" s="452"/>
      <c r="AI131" s="452"/>
      <c r="AJ131" s="452"/>
      <c r="AK131" s="452"/>
      <c r="AL131" s="452"/>
      <c r="AM131" s="452"/>
      <c r="AN131" s="452"/>
      <c r="AO131" s="446"/>
      <c r="AP131" s="446"/>
      <c r="AQ131" s="446"/>
      <c r="AR131" s="446"/>
      <c r="AS131" s="446"/>
      <c r="AT131" s="72"/>
      <c r="AU131" s="72"/>
      <c r="AV131" s="72"/>
      <c r="AW131" s="72"/>
      <c r="AX131" s="72"/>
      <c r="AY131" s="72"/>
      <c r="AZ131" s="72"/>
      <c r="BA131" s="72"/>
      <c r="BB131" s="72"/>
    </row>
    <row r="132" spans="3:54">
      <c r="C132" s="452"/>
      <c r="D132" s="637" t="s">
        <v>299</v>
      </c>
      <c r="E132" s="589">
        <f>CHOOSE(MATCH('Lists and Mapping'!$C$10,'Lists and Mapping'!$B$3:$B$5,0),'2026 Forecast'!E132,'2027 Forecast'!E132,'2028 Forecast'!E132)</f>
        <v>1071.2429613474512</v>
      </c>
      <c r="Q132" s="452"/>
      <c r="R132" s="452"/>
      <c r="S132" s="452"/>
      <c r="T132" s="452"/>
      <c r="U132" s="452"/>
      <c r="V132" s="452"/>
      <c r="X132" s="452"/>
      <c r="Y132" s="452"/>
      <c r="Z132" s="452"/>
      <c r="AB132" s="453"/>
      <c r="AC132" s="453"/>
      <c r="AD132" s="453"/>
      <c r="AE132" s="453"/>
      <c r="AF132" s="452"/>
      <c r="AG132" s="452"/>
      <c r="AH132" s="452"/>
      <c r="AI132" s="452"/>
      <c r="AJ132" s="452"/>
      <c r="AK132" s="452"/>
      <c r="AL132" s="452"/>
      <c r="AM132" s="452"/>
      <c r="AN132" s="452"/>
      <c r="AO132" s="446"/>
      <c r="AP132" s="446"/>
      <c r="AQ132" s="446"/>
      <c r="AR132" s="446"/>
      <c r="AS132" s="446"/>
      <c r="AT132" s="72"/>
      <c r="AU132" s="72"/>
      <c r="AV132" s="72"/>
      <c r="AW132" s="72"/>
      <c r="AX132" s="72"/>
      <c r="AY132" s="72"/>
      <c r="AZ132" s="72"/>
      <c r="BA132" s="72"/>
      <c r="BB132" s="72"/>
    </row>
    <row r="133" spans="3:54">
      <c r="C133" s="452"/>
      <c r="Q133" s="452"/>
      <c r="R133" s="452"/>
      <c r="S133" s="452"/>
      <c r="T133" s="452"/>
      <c r="U133" s="452"/>
      <c r="V133" s="452"/>
      <c r="X133" s="452"/>
      <c r="Y133" s="452"/>
      <c r="Z133" s="452"/>
      <c r="AB133" s="453"/>
      <c r="AC133" s="453"/>
      <c r="AD133" s="453"/>
      <c r="AE133" s="453"/>
      <c r="AF133" s="452"/>
      <c r="AG133" s="452"/>
      <c r="AH133" s="452"/>
      <c r="AI133" s="452"/>
      <c r="AJ133" s="452"/>
      <c r="AK133" s="452"/>
      <c r="AL133" s="452"/>
      <c r="AM133" s="452"/>
      <c r="AN133" s="452"/>
      <c r="AO133" s="446"/>
      <c r="AP133" s="446"/>
      <c r="AQ133" s="446"/>
      <c r="AR133" s="446"/>
      <c r="AS133" s="446"/>
      <c r="AT133" s="72"/>
      <c r="AU133" s="72"/>
      <c r="AV133" s="72"/>
      <c r="AW133" s="72"/>
      <c r="AX133" s="72"/>
      <c r="AY133" s="72"/>
      <c r="AZ133" s="72"/>
      <c r="BA133" s="72"/>
      <c r="BB133" s="72"/>
    </row>
    <row r="134" spans="3:54">
      <c r="C134" s="452"/>
      <c r="AB134" s="453"/>
      <c r="AC134" s="453"/>
      <c r="AD134" s="453"/>
      <c r="AE134" s="453"/>
      <c r="AF134" s="452"/>
      <c r="AG134" s="452"/>
      <c r="AH134" s="452"/>
      <c r="AI134" s="452"/>
      <c r="AJ134" s="452"/>
      <c r="AK134" s="452"/>
      <c r="AL134" s="452"/>
      <c r="AM134" s="452"/>
      <c r="AN134" s="452"/>
      <c r="AO134" s="446"/>
      <c r="AP134" s="446"/>
      <c r="AQ134" s="446"/>
      <c r="AR134" s="446"/>
      <c r="AS134" s="446"/>
      <c r="AT134" s="72"/>
      <c r="AU134" s="72"/>
      <c r="AV134" s="72"/>
      <c r="AW134" s="72"/>
      <c r="AX134" s="72"/>
      <c r="AY134" s="72"/>
      <c r="AZ134" s="72"/>
      <c r="BA134" s="72"/>
      <c r="BB134" s="72"/>
    </row>
    <row r="135" spans="3:54">
      <c r="C135" s="452"/>
      <c r="D135" s="637" t="s">
        <v>300</v>
      </c>
      <c r="E135" s="589">
        <f>CHOOSE(MATCH('Lists and Mapping'!$C$10,'Lists and Mapping'!$B$3:$B$5,0),'2026 Forecast'!E135,'2027 Forecast'!E135,'2028 Forecast'!E135)</f>
        <v>1041.9075906619378</v>
      </c>
      <c r="Q135" s="452"/>
      <c r="R135" s="452"/>
      <c r="S135" s="452"/>
      <c r="T135" s="452"/>
      <c r="U135" s="452"/>
      <c r="V135" s="452"/>
      <c r="X135" s="452"/>
      <c r="Y135" s="452"/>
      <c r="Z135" s="452"/>
      <c r="AB135" s="453"/>
      <c r="AC135" s="453"/>
      <c r="AD135" s="453"/>
      <c r="AE135" s="453"/>
      <c r="AF135" s="452"/>
      <c r="AG135" s="452"/>
      <c r="AH135" s="452"/>
      <c r="AI135" s="452"/>
      <c r="AJ135" s="452"/>
      <c r="AK135" s="452"/>
      <c r="AL135" s="452"/>
      <c r="AM135" s="452"/>
      <c r="AN135" s="452"/>
      <c r="AO135" s="446"/>
      <c r="AP135" s="446"/>
      <c r="AQ135" s="446"/>
      <c r="AR135" s="446"/>
      <c r="AS135" s="446"/>
      <c r="AT135" s="72"/>
      <c r="AU135" s="72"/>
      <c r="AV135" s="72"/>
      <c r="AW135" s="72"/>
      <c r="AX135" s="72"/>
      <c r="AY135" s="72"/>
      <c r="AZ135" s="72"/>
      <c r="BA135" s="72"/>
      <c r="BB135" s="72"/>
    </row>
    <row r="136" spans="3:54">
      <c r="C136" s="452"/>
      <c r="E136" s="589">
        <f>CHOOSE(MATCH('Lists and Mapping'!$C$10,'Lists and Mapping'!$B$3:$B$5,0),'2026 Forecast'!E136,'2027 Forecast'!E136,'2028 Forecast'!E136)</f>
        <v>-1.202016</v>
      </c>
      <c r="F136" s="450" t="s">
        <v>301</v>
      </c>
      <c r="Q136" s="452"/>
      <c r="R136" s="452"/>
      <c r="S136" s="452"/>
      <c r="T136" s="452"/>
      <c r="U136" s="452"/>
      <c r="V136" s="452"/>
      <c r="X136" s="452"/>
      <c r="Y136" s="452"/>
      <c r="Z136" s="452"/>
      <c r="AB136" s="453"/>
      <c r="AC136" s="453"/>
      <c r="AD136" s="453"/>
      <c r="AE136" s="453"/>
      <c r="AF136" s="452"/>
      <c r="AG136" s="452"/>
      <c r="AH136" s="452"/>
      <c r="AI136" s="452"/>
      <c r="AJ136" s="452"/>
      <c r="AK136" s="452"/>
      <c r="AL136" s="452"/>
      <c r="AM136" s="452"/>
      <c r="AN136" s="452"/>
      <c r="AO136" s="446"/>
      <c r="AP136" s="446"/>
      <c r="AQ136" s="446"/>
      <c r="AR136" s="446"/>
      <c r="AS136" s="446"/>
      <c r="AT136" s="72"/>
      <c r="AU136" s="72"/>
      <c r="AV136" s="72"/>
      <c r="AW136" s="72"/>
      <c r="AX136" s="72"/>
      <c r="AY136" s="72"/>
      <c r="AZ136" s="72"/>
      <c r="BA136" s="72"/>
      <c r="BB136" s="72"/>
    </row>
    <row r="137" spans="3:54">
      <c r="C137" s="452"/>
      <c r="E137" s="589">
        <f>CHOOSE(MATCH('Lists and Mapping'!$C$10,'Lists and Mapping'!$B$3:$B$5,0),'2026 Forecast'!E137,'2027 Forecast'!E137,'2028 Forecast'!E137)</f>
        <v>-21.904920000000001</v>
      </c>
      <c r="F137" s="450" t="s">
        <v>302</v>
      </c>
      <c r="Q137" s="452"/>
      <c r="R137" s="452"/>
      <c r="S137" s="452"/>
      <c r="T137" s="452"/>
      <c r="U137" s="452"/>
      <c r="V137" s="452"/>
      <c r="X137" s="452"/>
      <c r="Y137" s="452"/>
      <c r="Z137" s="452"/>
      <c r="AB137" s="453"/>
      <c r="AC137" s="453"/>
      <c r="AD137" s="453"/>
      <c r="AE137" s="453"/>
      <c r="AF137" s="452"/>
      <c r="AG137" s="452"/>
      <c r="AH137" s="452"/>
      <c r="AI137" s="452"/>
      <c r="AJ137" s="452"/>
      <c r="AK137" s="452"/>
      <c r="AL137" s="452"/>
      <c r="AM137" s="452"/>
      <c r="AN137" s="452"/>
      <c r="AO137" s="446"/>
      <c r="AP137" s="446"/>
      <c r="AQ137" s="446"/>
      <c r="AR137" s="446"/>
      <c r="AS137" s="446"/>
      <c r="AT137" s="72"/>
      <c r="AU137" s="72"/>
      <c r="AV137" s="72"/>
      <c r="AW137" s="72"/>
      <c r="AX137" s="72"/>
      <c r="AY137" s="72"/>
      <c r="AZ137" s="72"/>
      <c r="BA137" s="72"/>
      <c r="BB137" s="72"/>
    </row>
    <row r="138" spans="3:54">
      <c r="C138" s="452"/>
      <c r="Q138" s="452"/>
      <c r="R138" s="452"/>
      <c r="S138" s="452"/>
      <c r="T138" s="452"/>
      <c r="U138" s="452"/>
      <c r="V138" s="452"/>
      <c r="X138" s="452"/>
      <c r="Y138" s="452"/>
      <c r="Z138" s="452"/>
      <c r="AB138" s="453"/>
      <c r="AC138" s="453"/>
      <c r="AD138" s="453"/>
      <c r="AE138" s="453"/>
      <c r="AF138" s="452"/>
      <c r="AG138" s="452"/>
      <c r="AH138" s="452"/>
      <c r="AI138" s="452"/>
      <c r="AJ138" s="452"/>
      <c r="AK138" s="452"/>
      <c r="AL138" s="452"/>
      <c r="AM138" s="452"/>
      <c r="AN138" s="452"/>
      <c r="AO138" s="446"/>
      <c r="AP138" s="446"/>
      <c r="AQ138" s="446"/>
      <c r="AR138" s="446"/>
      <c r="AS138" s="446"/>
      <c r="AT138" s="72"/>
      <c r="AU138" s="72"/>
      <c r="AV138" s="72"/>
      <c r="AW138" s="72"/>
      <c r="AX138" s="72"/>
      <c r="AY138" s="72"/>
      <c r="AZ138" s="72"/>
      <c r="BA138" s="72"/>
      <c r="BB138" s="72"/>
    </row>
    <row r="139" spans="3:54">
      <c r="C139" s="452"/>
      <c r="Q139" s="452"/>
      <c r="R139" s="452"/>
      <c r="S139" s="452"/>
      <c r="T139" s="452"/>
      <c r="U139" s="452"/>
      <c r="V139" s="452"/>
      <c r="X139" s="452"/>
      <c r="Y139" s="452"/>
      <c r="Z139" s="452"/>
      <c r="AB139" s="453"/>
      <c r="AC139" s="453"/>
      <c r="AD139" s="453"/>
      <c r="AE139" s="453"/>
      <c r="AF139" s="452"/>
      <c r="AG139" s="452"/>
      <c r="AH139" s="452"/>
      <c r="AI139" s="452"/>
      <c r="AJ139" s="452"/>
      <c r="AK139" s="452"/>
      <c r="AL139" s="452"/>
      <c r="AM139" s="452"/>
      <c r="AN139" s="452"/>
      <c r="AO139" s="446"/>
      <c r="AP139" s="446"/>
      <c r="AQ139" s="446"/>
      <c r="AR139" s="446"/>
      <c r="AS139" s="446"/>
      <c r="AT139" s="72"/>
      <c r="AU139" s="72"/>
      <c r="AV139" s="72"/>
      <c r="AW139" s="72"/>
      <c r="AX139" s="72"/>
      <c r="AY139" s="72"/>
      <c r="AZ139" s="72"/>
      <c r="BA139" s="72"/>
      <c r="BB139" s="72"/>
    </row>
    <row r="140" spans="3:54">
      <c r="D140" s="637" t="s">
        <v>303</v>
      </c>
      <c r="E140" s="589">
        <f>CHOOSE(MATCH('Lists and Mapping'!$C$10,'Lists and Mapping'!$B$3:$B$5,0),'2026 Forecast'!E140,'2027 Forecast'!E140,'2028 Forecast'!E140)</f>
        <v>29.335370685513453</v>
      </c>
      <c r="Q140" s="452"/>
      <c r="R140" s="452"/>
      <c r="S140" s="452"/>
      <c r="T140" s="452"/>
      <c r="U140" s="452"/>
      <c r="V140" s="452"/>
      <c r="X140" s="452"/>
      <c r="Y140" s="452"/>
      <c r="Z140" s="452"/>
      <c r="AB140" s="453"/>
      <c r="AC140" s="453"/>
      <c r="AD140" s="453"/>
      <c r="AE140" s="453"/>
      <c r="AF140" s="452"/>
      <c r="AG140" s="452"/>
      <c r="AH140" s="452"/>
      <c r="AI140" s="452"/>
      <c r="AJ140" s="452"/>
      <c r="AK140" s="452"/>
      <c r="AL140" s="452"/>
      <c r="AM140" s="452"/>
      <c r="AN140" s="452"/>
      <c r="AO140" s="446"/>
      <c r="AP140" s="446"/>
      <c r="AQ140" s="446"/>
      <c r="AR140" s="446"/>
      <c r="AS140" s="446"/>
      <c r="AT140" s="72"/>
      <c r="AU140" s="72"/>
      <c r="AV140" s="72"/>
      <c r="AW140" s="72"/>
      <c r="AX140" s="72"/>
      <c r="AY140" s="72"/>
      <c r="AZ140" s="72"/>
      <c r="BA140" s="72"/>
      <c r="BB140" s="72"/>
    </row>
    <row r="141" spans="3:54">
      <c r="C141" s="452"/>
      <c r="Q141" s="452"/>
      <c r="R141" s="452"/>
      <c r="S141" s="452"/>
      <c r="T141" s="452"/>
      <c r="U141" s="452"/>
      <c r="V141" s="452"/>
      <c r="X141" s="452"/>
      <c r="Y141" s="452"/>
      <c r="Z141" s="452"/>
      <c r="AB141" s="453"/>
      <c r="AC141" s="453"/>
      <c r="AD141" s="453"/>
      <c r="AE141" s="453"/>
      <c r="AF141" s="452"/>
      <c r="AG141" s="452"/>
      <c r="AH141" s="452"/>
      <c r="AI141" s="452"/>
      <c r="AJ141" s="452"/>
      <c r="AK141" s="452"/>
      <c r="AL141" s="452"/>
      <c r="AM141" s="452"/>
      <c r="AN141" s="452"/>
      <c r="AO141" s="446"/>
      <c r="AP141" s="446"/>
      <c r="AQ141" s="446"/>
      <c r="AR141" s="446"/>
      <c r="AS141" s="446"/>
      <c r="AT141" s="72"/>
      <c r="AU141" s="72"/>
      <c r="AV141" s="72"/>
      <c r="AW141" s="72"/>
      <c r="AX141" s="72"/>
      <c r="AY141" s="72"/>
      <c r="AZ141" s="72"/>
      <c r="BA141" s="72"/>
      <c r="BB141" s="72"/>
    </row>
    <row r="142" spans="3:54">
      <c r="C142" s="452"/>
      <c r="Q142" s="452"/>
      <c r="R142" s="452"/>
      <c r="S142" s="452"/>
      <c r="T142" s="452"/>
      <c r="U142" s="452"/>
      <c r="V142" s="452"/>
      <c r="X142" s="452"/>
      <c r="Y142" s="452"/>
      <c r="Z142" s="452"/>
      <c r="AB142" s="453"/>
      <c r="AC142" s="453"/>
      <c r="AD142" s="453"/>
      <c r="AE142" s="453"/>
      <c r="AF142" s="452"/>
      <c r="AG142" s="452"/>
      <c r="AH142" s="452"/>
      <c r="AI142" s="452"/>
      <c r="AJ142" s="452"/>
      <c r="AK142" s="452"/>
      <c r="AL142" s="452"/>
      <c r="AM142" s="452"/>
      <c r="AN142" s="452"/>
      <c r="AO142" s="446"/>
      <c r="AP142" s="446"/>
      <c r="AQ142" s="446"/>
      <c r="AR142" s="446"/>
      <c r="AS142" s="446"/>
      <c r="AT142" s="72"/>
      <c r="AU142" s="72"/>
      <c r="AV142" s="72"/>
      <c r="AW142" s="72"/>
      <c r="AX142" s="72"/>
      <c r="AY142" s="72"/>
      <c r="AZ142" s="72"/>
      <c r="BA142" s="72"/>
      <c r="BB142" s="72"/>
    </row>
    <row r="143" spans="3:54">
      <c r="C143" s="452"/>
      <c r="Q143" s="452"/>
      <c r="R143" s="452"/>
      <c r="S143" s="452"/>
      <c r="T143" s="452"/>
      <c r="U143" s="452"/>
      <c r="V143" s="452"/>
      <c r="X143" s="452"/>
      <c r="Y143" s="452"/>
      <c r="Z143" s="452"/>
      <c r="AB143" s="453"/>
      <c r="AC143" s="453"/>
      <c r="AD143" s="453"/>
      <c r="AE143" s="453"/>
      <c r="AF143" s="452"/>
      <c r="AG143" s="452"/>
      <c r="AH143" s="452"/>
      <c r="AI143" s="452"/>
      <c r="AJ143" s="452"/>
      <c r="AK143" s="452"/>
      <c r="AL143" s="452"/>
      <c r="AM143" s="452"/>
      <c r="AN143" s="452"/>
      <c r="AO143" s="446"/>
      <c r="AP143" s="446"/>
      <c r="AQ143" s="446"/>
      <c r="AR143" s="446"/>
      <c r="AS143" s="446"/>
      <c r="AT143" s="72"/>
      <c r="AU143" s="72"/>
      <c r="AV143" s="72"/>
      <c r="AW143" s="72"/>
      <c r="AX143" s="72"/>
      <c r="AY143" s="72"/>
      <c r="AZ143" s="72"/>
      <c r="BA143" s="72"/>
      <c r="BB143" s="72"/>
    </row>
    <row r="144" spans="3:54">
      <c r="C144" s="452"/>
      <c r="Q144" s="452"/>
      <c r="R144" s="452"/>
      <c r="S144" s="452"/>
      <c r="T144" s="452"/>
      <c r="U144" s="452"/>
      <c r="V144" s="452"/>
      <c r="X144" s="452"/>
      <c r="Y144" s="452"/>
      <c r="Z144" s="452"/>
      <c r="AB144" s="453"/>
      <c r="AC144" s="453"/>
      <c r="AD144" s="453"/>
      <c r="AE144" s="453"/>
      <c r="AF144" s="452"/>
      <c r="AG144" s="452"/>
      <c r="AH144" s="452"/>
      <c r="AI144" s="452"/>
      <c r="AJ144" s="452"/>
      <c r="AK144" s="452"/>
      <c r="AL144" s="452"/>
      <c r="AM144" s="452"/>
      <c r="AN144" s="452"/>
      <c r="AO144" s="446"/>
      <c r="AP144" s="446"/>
      <c r="AQ144" s="446"/>
      <c r="AR144" s="446"/>
      <c r="AS144" s="446"/>
      <c r="AT144" s="72"/>
      <c r="AU144" s="72"/>
      <c r="AV144" s="72"/>
      <c r="AW144" s="72"/>
      <c r="AX144" s="72"/>
      <c r="AY144" s="72"/>
      <c r="AZ144" s="72"/>
      <c r="BA144" s="72"/>
      <c r="BB144" s="72"/>
    </row>
    <row r="145" spans="3:54">
      <c r="C145" s="452"/>
      <c r="Q145" s="452"/>
      <c r="R145" s="452"/>
      <c r="S145" s="452"/>
      <c r="T145" s="452"/>
      <c r="U145" s="452"/>
      <c r="V145" s="452"/>
      <c r="X145" s="452"/>
      <c r="Y145" s="452"/>
      <c r="Z145" s="452"/>
      <c r="AB145" s="453"/>
      <c r="AC145" s="453"/>
      <c r="AD145" s="453"/>
      <c r="AE145" s="453"/>
      <c r="AF145" s="452"/>
      <c r="AG145" s="452"/>
      <c r="AH145" s="452"/>
      <c r="AI145" s="452"/>
      <c r="AJ145" s="452"/>
      <c r="AK145" s="452"/>
      <c r="AL145" s="452"/>
      <c r="AM145" s="452"/>
      <c r="AN145" s="452"/>
      <c r="AO145" s="446"/>
      <c r="AP145" s="446"/>
      <c r="AQ145" s="446"/>
      <c r="AR145" s="446"/>
      <c r="AS145" s="446"/>
      <c r="AT145" s="72"/>
      <c r="AU145" s="72"/>
      <c r="AV145" s="72"/>
      <c r="AW145" s="72"/>
      <c r="AX145" s="72"/>
      <c r="AY145" s="72"/>
      <c r="AZ145" s="72"/>
      <c r="BA145" s="72"/>
      <c r="BB145" s="72"/>
    </row>
    <row r="146" spans="3:54">
      <c r="C146" s="452"/>
      <c r="Q146" s="452"/>
      <c r="R146" s="452"/>
      <c r="S146" s="452"/>
      <c r="T146" s="452"/>
      <c r="U146" s="452"/>
      <c r="V146" s="452"/>
      <c r="X146" s="452"/>
      <c r="Y146" s="452"/>
      <c r="Z146" s="452"/>
      <c r="AB146" s="453"/>
      <c r="AC146" s="453"/>
      <c r="AD146" s="453"/>
      <c r="AE146" s="453"/>
      <c r="AF146" s="452"/>
      <c r="AG146" s="452"/>
      <c r="AH146" s="452"/>
      <c r="AI146" s="452"/>
      <c r="AJ146" s="452"/>
      <c r="AK146" s="452"/>
      <c r="AL146" s="452"/>
      <c r="AM146" s="452"/>
      <c r="AN146" s="452"/>
      <c r="AO146" s="446"/>
      <c r="AP146" s="446"/>
      <c r="AQ146" s="446"/>
      <c r="AR146" s="446"/>
      <c r="AS146" s="446"/>
      <c r="AT146" s="72"/>
      <c r="AU146" s="72"/>
      <c r="AV146" s="72"/>
      <c r="AW146" s="72"/>
      <c r="AX146" s="72"/>
      <c r="AY146" s="72"/>
      <c r="AZ146" s="72"/>
      <c r="BA146" s="72"/>
      <c r="BB146" s="72"/>
    </row>
    <row r="147" spans="3:54">
      <c r="C147" s="452"/>
      <c r="Q147" s="452"/>
      <c r="R147" s="452"/>
      <c r="S147" s="452"/>
      <c r="T147" s="452"/>
      <c r="U147" s="452"/>
      <c r="V147" s="452"/>
      <c r="X147" s="452"/>
      <c r="Y147" s="452"/>
      <c r="Z147" s="452"/>
      <c r="AB147" s="453"/>
      <c r="AC147" s="453"/>
      <c r="AD147" s="453"/>
      <c r="AE147" s="453"/>
      <c r="AF147" s="452"/>
      <c r="AG147" s="452"/>
      <c r="AH147" s="452"/>
      <c r="AI147" s="452"/>
      <c r="AJ147" s="452"/>
      <c r="AK147" s="452"/>
      <c r="AL147" s="452"/>
      <c r="AM147" s="452"/>
      <c r="AN147" s="452"/>
      <c r="AO147" s="446"/>
      <c r="AP147" s="446"/>
      <c r="AQ147" s="446"/>
      <c r="AR147" s="446"/>
      <c r="AS147" s="446"/>
      <c r="AT147" s="72"/>
      <c r="AU147" s="72"/>
      <c r="AV147" s="72"/>
      <c r="AW147" s="72"/>
      <c r="AX147" s="72"/>
      <c r="AY147" s="72"/>
      <c r="AZ147" s="72"/>
      <c r="BA147" s="72"/>
      <c r="BB147" s="72"/>
    </row>
    <row r="148" spans="3:54">
      <c r="C148" s="452"/>
      <c r="Q148" s="452"/>
      <c r="R148" s="452"/>
      <c r="S148" s="452"/>
      <c r="T148" s="452"/>
      <c r="U148" s="452"/>
      <c r="V148" s="452"/>
      <c r="X148" s="452"/>
      <c r="Y148" s="452"/>
      <c r="Z148" s="452"/>
      <c r="AB148" s="453"/>
      <c r="AC148" s="453"/>
      <c r="AD148" s="453"/>
      <c r="AE148" s="453"/>
      <c r="AF148" s="452"/>
      <c r="AG148" s="452"/>
      <c r="AH148" s="452"/>
      <c r="AI148" s="452"/>
      <c r="AJ148" s="452"/>
      <c r="AK148" s="452"/>
      <c r="AL148" s="452"/>
      <c r="AM148" s="452"/>
      <c r="AN148" s="452"/>
      <c r="AO148" s="446"/>
      <c r="AP148" s="446"/>
      <c r="AQ148" s="446"/>
      <c r="AR148" s="446"/>
      <c r="AS148" s="446"/>
      <c r="AT148" s="72"/>
      <c r="AU148" s="72"/>
      <c r="AV148" s="72"/>
      <c r="AW148" s="72"/>
      <c r="AX148" s="72"/>
      <c r="AY148" s="72"/>
      <c r="AZ148" s="72"/>
      <c r="BA148" s="72"/>
      <c r="BB148" s="72"/>
    </row>
    <row r="149" spans="3:54">
      <c r="C149" s="452"/>
      <c r="Q149" s="452"/>
      <c r="R149" s="452"/>
      <c r="S149" s="452"/>
      <c r="T149" s="452"/>
      <c r="U149" s="452"/>
      <c r="V149" s="452"/>
      <c r="X149" s="452"/>
      <c r="Y149" s="452"/>
      <c r="Z149" s="452"/>
      <c r="AB149" s="453"/>
      <c r="AC149" s="453"/>
      <c r="AD149" s="453"/>
      <c r="AE149" s="453"/>
      <c r="AF149" s="452"/>
      <c r="AG149" s="452"/>
      <c r="AH149" s="452"/>
      <c r="AI149" s="452"/>
      <c r="AJ149" s="452"/>
      <c r="AK149" s="452"/>
      <c r="AL149" s="452"/>
      <c r="AM149" s="452"/>
      <c r="AN149" s="452"/>
      <c r="AO149" s="446"/>
      <c r="AP149" s="446"/>
      <c r="AQ149" s="446"/>
      <c r="AR149" s="446"/>
      <c r="AS149" s="446"/>
      <c r="AT149" s="72"/>
      <c r="AU149" s="72"/>
      <c r="AV149" s="72"/>
      <c r="AW149" s="72"/>
      <c r="AX149" s="72"/>
      <c r="AY149" s="72"/>
      <c r="AZ149" s="72"/>
      <c r="BA149" s="72"/>
      <c r="BB149" s="72"/>
    </row>
    <row r="150" spans="3:54">
      <c r="C150" s="452"/>
      <c r="Q150" s="452"/>
      <c r="R150" s="452"/>
      <c r="S150" s="452"/>
      <c r="T150" s="452"/>
      <c r="U150" s="452"/>
      <c r="V150" s="452"/>
      <c r="X150" s="452"/>
      <c r="Y150" s="452"/>
      <c r="Z150" s="452"/>
      <c r="AB150" s="453"/>
      <c r="AC150" s="453"/>
      <c r="AD150" s="453"/>
      <c r="AE150" s="453"/>
      <c r="AF150" s="452"/>
      <c r="AG150" s="452"/>
      <c r="AH150" s="452"/>
      <c r="AI150" s="452"/>
      <c r="AJ150" s="452"/>
      <c r="AK150" s="452"/>
      <c r="AL150" s="452"/>
      <c r="AM150" s="452"/>
      <c r="AN150" s="452"/>
      <c r="AO150" s="446"/>
      <c r="AP150" s="446"/>
      <c r="AQ150" s="446"/>
      <c r="AR150" s="446"/>
      <c r="AS150" s="446"/>
      <c r="AT150" s="72"/>
      <c r="AU150" s="72"/>
      <c r="AV150" s="72"/>
      <c r="AW150" s="72"/>
      <c r="AX150" s="72"/>
      <c r="AY150" s="72"/>
      <c r="AZ150" s="72"/>
      <c r="BA150" s="72"/>
      <c r="BB150" s="72"/>
    </row>
    <row r="151" spans="3:54">
      <c r="C151" s="452"/>
      <c r="Q151" s="452"/>
      <c r="R151" s="452"/>
      <c r="S151" s="452"/>
      <c r="T151" s="452"/>
      <c r="U151" s="452"/>
      <c r="V151" s="452"/>
      <c r="X151" s="452"/>
      <c r="Y151" s="452"/>
      <c r="Z151" s="452"/>
      <c r="AB151" s="453"/>
      <c r="AC151" s="453"/>
      <c r="AD151" s="453"/>
      <c r="AE151" s="453"/>
      <c r="AF151" s="452"/>
      <c r="AG151" s="452"/>
      <c r="AH151" s="452"/>
      <c r="AI151" s="452"/>
      <c r="AJ151" s="452"/>
      <c r="AK151" s="452"/>
      <c r="AL151" s="452"/>
      <c r="AM151" s="452"/>
      <c r="AN151" s="452"/>
      <c r="AO151" s="446"/>
      <c r="AP151" s="446"/>
      <c r="AQ151" s="446"/>
      <c r="AR151" s="446"/>
      <c r="AS151" s="446"/>
      <c r="AT151" s="72"/>
      <c r="AU151" s="72"/>
      <c r="AV151" s="72"/>
      <c r="AW151" s="72"/>
      <c r="AX151" s="72"/>
      <c r="AY151" s="72"/>
      <c r="AZ151" s="72"/>
      <c r="BA151" s="72"/>
      <c r="BB151" s="72"/>
    </row>
    <row r="152" spans="3:54">
      <c r="C152" s="452"/>
      <c r="Q152" s="452"/>
      <c r="R152" s="452"/>
      <c r="S152" s="452"/>
      <c r="T152" s="452"/>
      <c r="U152" s="452"/>
      <c r="V152" s="452"/>
      <c r="X152" s="452"/>
      <c r="Y152" s="452"/>
      <c r="Z152" s="452"/>
      <c r="AB152" s="453"/>
      <c r="AC152" s="453"/>
      <c r="AD152" s="453"/>
      <c r="AE152" s="453"/>
      <c r="AF152" s="452"/>
      <c r="AG152" s="452"/>
      <c r="AH152" s="452"/>
      <c r="AI152" s="452"/>
      <c r="AJ152" s="452"/>
      <c r="AK152" s="452"/>
      <c r="AL152" s="452"/>
      <c r="AM152" s="452"/>
      <c r="AN152" s="452"/>
      <c r="AO152" s="446"/>
      <c r="AP152" s="446"/>
      <c r="AQ152" s="446"/>
      <c r="AR152" s="446"/>
      <c r="AS152" s="446"/>
      <c r="AT152" s="72"/>
      <c r="AU152" s="72"/>
      <c r="AV152" s="72"/>
      <c r="AW152" s="72"/>
      <c r="AX152" s="72"/>
      <c r="AY152" s="72"/>
      <c r="AZ152" s="72"/>
      <c r="BA152" s="72"/>
      <c r="BB152" s="72"/>
    </row>
    <row r="153" spans="3:54">
      <c r="C153" s="452"/>
      <c r="Q153" s="452"/>
      <c r="R153" s="452"/>
      <c r="S153" s="452"/>
      <c r="T153" s="452"/>
      <c r="U153" s="452"/>
      <c r="V153" s="452"/>
      <c r="X153" s="452"/>
      <c r="Y153" s="452"/>
      <c r="Z153" s="452"/>
      <c r="AB153" s="453"/>
      <c r="AC153" s="453"/>
      <c r="AD153" s="453"/>
      <c r="AE153" s="453"/>
      <c r="AF153" s="452"/>
      <c r="AG153" s="452"/>
      <c r="AH153" s="452"/>
      <c r="AI153" s="452"/>
      <c r="AJ153" s="452"/>
      <c r="AK153" s="452"/>
      <c r="AL153" s="452"/>
      <c r="AM153" s="452"/>
      <c r="AN153" s="452"/>
      <c r="AO153" s="446"/>
      <c r="AP153" s="446"/>
      <c r="AQ153" s="446"/>
      <c r="AR153" s="446"/>
      <c r="AS153" s="446"/>
      <c r="AT153" s="72"/>
      <c r="AU153" s="72"/>
      <c r="AV153" s="72"/>
      <c r="AW153" s="72"/>
      <c r="AX153" s="72"/>
      <c r="AY153" s="72"/>
      <c r="AZ153" s="72"/>
      <c r="BA153" s="72"/>
      <c r="BB153" s="72"/>
    </row>
    <row r="154" spans="3:54">
      <c r="C154" s="452"/>
      <c r="Q154" s="452"/>
      <c r="R154" s="452"/>
      <c r="S154" s="452"/>
      <c r="T154" s="452"/>
      <c r="U154" s="452"/>
      <c r="V154" s="452"/>
      <c r="X154" s="452"/>
      <c r="Y154" s="452"/>
      <c r="Z154" s="452"/>
      <c r="AB154" s="453"/>
      <c r="AC154" s="453"/>
      <c r="AD154" s="453"/>
      <c r="AE154" s="453"/>
      <c r="AF154" s="452"/>
      <c r="AG154" s="452"/>
      <c r="AH154" s="452"/>
      <c r="AI154" s="452"/>
      <c r="AJ154" s="452"/>
      <c r="AK154" s="452"/>
      <c r="AL154" s="452"/>
      <c r="AM154" s="452"/>
      <c r="AN154" s="452"/>
      <c r="AO154" s="446"/>
      <c r="AP154" s="446"/>
      <c r="AQ154" s="446"/>
      <c r="AR154" s="446"/>
      <c r="AS154" s="446"/>
      <c r="AT154" s="72"/>
      <c r="AU154" s="72"/>
      <c r="AV154" s="72"/>
      <c r="AW154" s="72"/>
      <c r="AX154" s="72"/>
      <c r="AY154" s="72"/>
      <c r="AZ154" s="72"/>
      <c r="BA154" s="72"/>
      <c r="BB154" s="72"/>
    </row>
    <row r="155" spans="3:54">
      <c r="C155" s="452"/>
      <c r="Q155" s="452"/>
      <c r="R155" s="452"/>
      <c r="S155" s="452"/>
      <c r="T155" s="452"/>
      <c r="U155" s="452"/>
      <c r="V155" s="452"/>
      <c r="X155" s="452"/>
      <c r="Y155" s="452"/>
      <c r="Z155" s="452"/>
      <c r="AB155" s="453"/>
      <c r="AC155" s="453"/>
      <c r="AD155" s="453"/>
      <c r="AE155" s="453"/>
      <c r="AF155" s="452"/>
      <c r="AG155" s="452"/>
      <c r="AH155" s="452"/>
      <c r="AI155" s="452"/>
      <c r="AJ155" s="452"/>
      <c r="AK155" s="452"/>
      <c r="AL155" s="452"/>
      <c r="AM155" s="452"/>
      <c r="AN155" s="452"/>
      <c r="AO155" s="446"/>
      <c r="AP155" s="446"/>
      <c r="AQ155" s="446"/>
      <c r="AR155" s="446"/>
      <c r="AS155" s="446"/>
      <c r="AT155" s="72"/>
      <c r="AU155" s="72"/>
      <c r="AV155" s="72"/>
      <c r="AW155" s="72"/>
      <c r="AX155" s="72"/>
      <c r="AY155" s="72"/>
      <c r="AZ155" s="72"/>
      <c r="BA155" s="72"/>
      <c r="BB155" s="72"/>
    </row>
    <row r="156" spans="3:54">
      <c r="C156" s="452"/>
      <c r="Q156" s="452"/>
      <c r="R156" s="452"/>
      <c r="S156" s="452"/>
      <c r="T156" s="452"/>
      <c r="U156" s="452"/>
      <c r="V156" s="452"/>
      <c r="X156" s="452"/>
      <c r="Y156" s="452"/>
      <c r="Z156" s="452"/>
      <c r="AB156" s="453"/>
      <c r="AC156" s="453"/>
      <c r="AD156" s="453"/>
      <c r="AE156" s="453"/>
      <c r="AF156" s="452"/>
      <c r="AG156" s="452"/>
      <c r="AH156" s="452"/>
      <c r="AI156" s="452"/>
      <c r="AJ156" s="452"/>
      <c r="AK156" s="452"/>
      <c r="AL156" s="452"/>
      <c r="AM156" s="452"/>
      <c r="AN156" s="452"/>
      <c r="AO156" s="446"/>
      <c r="AP156" s="446"/>
      <c r="AQ156" s="446"/>
      <c r="AR156" s="446"/>
      <c r="AS156" s="446"/>
      <c r="AT156" s="72"/>
      <c r="AU156" s="72"/>
      <c r="AV156" s="72"/>
      <c r="AW156" s="72"/>
      <c r="AX156" s="72"/>
      <c r="AY156" s="72"/>
      <c r="AZ156" s="72"/>
      <c r="BA156" s="72"/>
      <c r="BB156" s="72"/>
    </row>
    <row r="157" spans="3:54">
      <c r="C157" s="452"/>
      <c r="Q157" s="452"/>
      <c r="R157" s="452"/>
      <c r="S157" s="452"/>
      <c r="T157" s="452"/>
      <c r="U157" s="452"/>
      <c r="V157" s="452"/>
      <c r="X157" s="452"/>
      <c r="Y157" s="452"/>
      <c r="Z157" s="452"/>
      <c r="AB157" s="453"/>
      <c r="AC157" s="453"/>
      <c r="AD157" s="453"/>
      <c r="AE157" s="453"/>
      <c r="AF157" s="452"/>
      <c r="AG157" s="452"/>
      <c r="AH157" s="452"/>
      <c r="AI157" s="452"/>
      <c r="AJ157" s="452"/>
      <c r="AK157" s="452"/>
      <c r="AL157" s="452"/>
      <c r="AM157" s="452"/>
      <c r="AN157" s="452"/>
      <c r="AO157" s="446"/>
      <c r="AP157" s="446"/>
      <c r="AQ157" s="446"/>
      <c r="AR157" s="446"/>
      <c r="AS157" s="446"/>
      <c r="AT157" s="72"/>
      <c r="AU157" s="72"/>
      <c r="AV157" s="72"/>
      <c r="AW157" s="72"/>
      <c r="AX157" s="72"/>
      <c r="AY157" s="72"/>
      <c r="AZ157" s="72"/>
      <c r="BA157" s="72"/>
      <c r="BB157" s="72"/>
    </row>
    <row r="158" spans="3:54">
      <c r="C158" s="452"/>
      <c r="AB158" s="453"/>
      <c r="AC158" s="453"/>
      <c r="AD158" s="453"/>
      <c r="AE158" s="453"/>
      <c r="AF158" s="452"/>
      <c r="AG158" s="452"/>
      <c r="AH158" s="452"/>
      <c r="AI158" s="452"/>
      <c r="AJ158" s="452"/>
      <c r="AK158" s="452"/>
      <c r="AL158" s="452"/>
      <c r="AM158" s="452"/>
      <c r="AN158" s="452"/>
      <c r="AO158" s="446"/>
      <c r="AP158" s="446"/>
      <c r="AQ158" s="446"/>
      <c r="AR158" s="446"/>
      <c r="AS158" s="446"/>
      <c r="AT158" s="72"/>
      <c r="AU158" s="72"/>
      <c r="AV158" s="72"/>
      <c r="AW158" s="72"/>
      <c r="AX158" s="72"/>
      <c r="AY158" s="72"/>
      <c r="AZ158" s="72"/>
      <c r="BA158" s="72"/>
      <c r="BB158" s="72"/>
    </row>
    <row r="159" spans="3:54">
      <c r="C159" s="452"/>
      <c r="AB159" s="453"/>
      <c r="AC159" s="453"/>
      <c r="AD159" s="453"/>
      <c r="AE159" s="453"/>
      <c r="AF159" s="452"/>
      <c r="AG159" s="452"/>
      <c r="AH159" s="452"/>
      <c r="AI159" s="452"/>
      <c r="AJ159" s="452"/>
      <c r="AK159" s="452"/>
      <c r="AL159" s="452"/>
      <c r="AM159" s="452"/>
      <c r="AN159" s="452"/>
      <c r="AO159" s="446"/>
      <c r="AP159" s="446"/>
      <c r="AQ159" s="446"/>
      <c r="AR159" s="446"/>
      <c r="AS159" s="446"/>
      <c r="AT159" s="72"/>
      <c r="AU159" s="72"/>
      <c r="AV159" s="72"/>
      <c r="AW159" s="72"/>
      <c r="AX159" s="72"/>
      <c r="AY159" s="72"/>
      <c r="AZ159" s="72"/>
      <c r="BA159" s="72"/>
      <c r="BB159" s="72"/>
    </row>
    <row r="160" spans="3:54">
      <c r="C160" s="452"/>
      <c r="Q160" s="452"/>
      <c r="R160" s="452"/>
      <c r="S160" s="452"/>
      <c r="T160" s="452"/>
      <c r="U160" s="452"/>
      <c r="V160" s="452"/>
      <c r="W160" s="452"/>
      <c r="X160" s="452"/>
      <c r="Y160" s="452"/>
      <c r="Z160" s="452"/>
      <c r="AA160" s="452"/>
      <c r="AB160" s="453"/>
      <c r="AC160" s="453"/>
      <c r="AD160" s="453"/>
      <c r="AE160" s="453"/>
      <c r="AF160" s="452"/>
      <c r="AG160" s="452"/>
      <c r="AH160" s="452"/>
      <c r="AI160" s="452"/>
      <c r="AJ160" s="452"/>
      <c r="AK160" s="452"/>
      <c r="AL160" s="452"/>
      <c r="AM160" s="452"/>
      <c r="AN160" s="452"/>
      <c r="AO160" s="446"/>
      <c r="AP160" s="446"/>
      <c r="AQ160" s="446"/>
      <c r="AR160" s="446"/>
      <c r="AS160" s="446"/>
      <c r="AT160" s="72"/>
      <c r="AU160" s="72"/>
      <c r="AV160" s="72"/>
      <c r="AW160" s="72"/>
      <c r="AX160" s="72"/>
      <c r="AY160" s="72"/>
      <c r="AZ160" s="72"/>
      <c r="BA160" s="72"/>
      <c r="BB160" s="72"/>
    </row>
    <row r="161" spans="3:54">
      <c r="C161" s="452"/>
      <c r="Q161" s="452"/>
      <c r="R161" s="452"/>
      <c r="S161" s="452"/>
      <c r="T161" s="452"/>
      <c r="U161" s="452"/>
      <c r="V161" s="452"/>
      <c r="W161" s="452"/>
      <c r="X161" s="452"/>
      <c r="Y161" s="452"/>
      <c r="Z161" s="452"/>
      <c r="AA161" s="452"/>
      <c r="AB161" s="453"/>
      <c r="AC161" s="453"/>
      <c r="AD161" s="453"/>
      <c r="AE161" s="453"/>
      <c r="AF161" s="452"/>
      <c r="AG161" s="452"/>
      <c r="AH161" s="452"/>
      <c r="AI161" s="452"/>
      <c r="AJ161" s="452"/>
      <c r="AK161" s="452"/>
      <c r="AL161" s="452"/>
      <c r="AM161" s="452"/>
      <c r="AN161" s="452"/>
      <c r="AO161" s="446"/>
      <c r="AP161" s="446"/>
      <c r="AQ161" s="446"/>
      <c r="AR161" s="446"/>
      <c r="AS161" s="446"/>
      <c r="AT161" s="72"/>
      <c r="AU161" s="72"/>
      <c r="AV161" s="72"/>
      <c r="AW161" s="72"/>
      <c r="AX161" s="72"/>
      <c r="AY161" s="72"/>
      <c r="AZ161" s="72"/>
      <c r="BA161" s="72"/>
      <c r="BB161" s="72"/>
    </row>
    <row r="162" spans="3:54">
      <c r="C162" s="452"/>
      <c r="Q162" s="452"/>
      <c r="R162" s="452"/>
      <c r="S162" s="452"/>
      <c r="T162" s="452"/>
      <c r="U162" s="452"/>
      <c r="V162" s="452"/>
      <c r="W162" s="452"/>
      <c r="X162" s="452"/>
      <c r="Y162" s="452"/>
      <c r="Z162" s="452"/>
      <c r="AA162" s="452"/>
      <c r="AB162" s="453"/>
      <c r="AC162" s="453"/>
      <c r="AD162" s="453"/>
      <c r="AE162" s="453"/>
      <c r="AF162" s="452"/>
      <c r="AG162" s="452"/>
      <c r="AH162" s="452"/>
      <c r="AI162" s="452"/>
      <c r="AJ162" s="452"/>
      <c r="AK162" s="452"/>
      <c r="AL162" s="452"/>
      <c r="AM162" s="452"/>
      <c r="AN162" s="452"/>
      <c r="AO162" s="446"/>
      <c r="AP162" s="446"/>
      <c r="AQ162" s="446"/>
      <c r="AR162" s="446"/>
      <c r="AS162" s="446"/>
      <c r="AT162" s="72"/>
      <c r="AU162" s="72"/>
      <c r="AV162" s="72"/>
      <c r="AW162" s="72"/>
      <c r="AX162" s="72"/>
      <c r="AY162" s="72"/>
      <c r="AZ162" s="72"/>
      <c r="BA162" s="72"/>
      <c r="BB162" s="72"/>
    </row>
    <row r="163" spans="3:54">
      <c r="C163" s="452"/>
      <c r="Q163" s="452"/>
      <c r="R163" s="452"/>
      <c r="S163" s="452"/>
      <c r="T163" s="452"/>
      <c r="U163" s="452"/>
      <c r="V163" s="452"/>
      <c r="W163" s="452"/>
      <c r="X163" s="452"/>
      <c r="Y163" s="452"/>
      <c r="Z163" s="452"/>
      <c r="AA163" s="452"/>
      <c r="AB163" s="453"/>
      <c r="AC163" s="453"/>
      <c r="AD163" s="453"/>
      <c r="AE163" s="453"/>
      <c r="AF163" s="452"/>
      <c r="AG163" s="452"/>
      <c r="AH163" s="452"/>
      <c r="AI163" s="452"/>
      <c r="AJ163" s="452"/>
      <c r="AK163" s="452"/>
      <c r="AL163" s="452"/>
      <c r="AM163" s="452"/>
      <c r="AN163" s="452"/>
      <c r="AO163" s="446"/>
      <c r="AP163" s="446"/>
      <c r="AQ163" s="446"/>
      <c r="AR163" s="446"/>
      <c r="AS163" s="446"/>
      <c r="AT163" s="72"/>
      <c r="AU163" s="72"/>
      <c r="AV163" s="72"/>
      <c r="AW163" s="72"/>
      <c r="AX163" s="72"/>
      <c r="AY163" s="72"/>
      <c r="AZ163" s="72"/>
      <c r="BA163" s="72"/>
      <c r="BB163" s="72"/>
    </row>
    <row r="164" spans="3:54">
      <c r="C164" s="452"/>
      <c r="Q164" s="452"/>
      <c r="R164" s="452"/>
      <c r="S164" s="452"/>
      <c r="T164" s="452"/>
      <c r="U164" s="452"/>
      <c r="V164" s="452"/>
      <c r="W164" s="452"/>
      <c r="X164" s="452"/>
      <c r="Y164" s="452"/>
      <c r="Z164" s="452"/>
      <c r="AA164" s="452"/>
      <c r="AB164" s="453"/>
      <c r="AC164" s="453"/>
      <c r="AD164" s="453"/>
      <c r="AE164" s="453"/>
      <c r="AF164" s="452"/>
      <c r="AG164" s="452"/>
      <c r="AH164" s="452"/>
      <c r="AI164" s="452"/>
      <c r="AJ164" s="452"/>
      <c r="AK164" s="452"/>
      <c r="AL164" s="452"/>
      <c r="AM164" s="452"/>
      <c r="AN164" s="452"/>
      <c r="AO164" s="446"/>
      <c r="AP164" s="446"/>
      <c r="AQ164" s="446"/>
      <c r="AR164" s="446"/>
      <c r="AS164" s="446"/>
      <c r="AT164" s="72"/>
      <c r="AU164" s="72"/>
      <c r="AV164" s="72"/>
      <c r="AW164" s="72"/>
      <c r="AX164" s="72"/>
      <c r="AY164" s="72"/>
      <c r="AZ164" s="72"/>
      <c r="BA164" s="72"/>
      <c r="BB164" s="72"/>
    </row>
    <row r="165" spans="3:54">
      <c r="C165" s="452"/>
      <c r="Q165" s="452"/>
      <c r="R165" s="452"/>
      <c r="S165" s="452"/>
      <c r="T165" s="452"/>
      <c r="U165" s="452"/>
      <c r="V165" s="452"/>
      <c r="X165" s="452"/>
      <c r="Y165" s="452"/>
      <c r="Z165" s="452"/>
      <c r="AB165" s="453"/>
      <c r="AC165" s="453"/>
      <c r="AD165" s="453"/>
      <c r="AE165" s="453"/>
      <c r="AF165" s="452"/>
      <c r="AG165" s="452"/>
      <c r="AH165" s="452"/>
      <c r="AI165" s="452"/>
      <c r="AJ165" s="452"/>
      <c r="AK165" s="452"/>
      <c r="AL165" s="452"/>
      <c r="AM165" s="452"/>
      <c r="AN165" s="452"/>
      <c r="AO165" s="446"/>
      <c r="AP165" s="446"/>
      <c r="AQ165" s="446"/>
      <c r="AR165" s="446"/>
      <c r="AS165" s="446"/>
      <c r="AT165" s="72"/>
      <c r="AU165" s="72"/>
      <c r="AV165" s="72"/>
      <c r="AW165" s="72"/>
      <c r="AX165" s="72"/>
      <c r="AY165" s="72"/>
      <c r="AZ165" s="72"/>
      <c r="BA165" s="72"/>
      <c r="BB165" s="72"/>
    </row>
    <row r="166" spans="3:54">
      <c r="C166" s="452"/>
      <c r="Q166" s="452"/>
      <c r="R166" s="452"/>
      <c r="S166" s="452"/>
      <c r="T166" s="452"/>
      <c r="U166" s="452"/>
      <c r="V166" s="452"/>
      <c r="X166" s="452"/>
      <c r="Y166" s="452"/>
      <c r="Z166" s="452"/>
      <c r="AB166" s="453"/>
      <c r="AC166" s="453"/>
      <c r="AD166" s="453"/>
      <c r="AE166" s="453"/>
      <c r="AF166" s="452"/>
      <c r="AG166" s="452"/>
      <c r="AH166" s="452"/>
      <c r="AI166" s="452"/>
      <c r="AJ166" s="452"/>
      <c r="AK166" s="452"/>
      <c r="AL166" s="452"/>
      <c r="AM166" s="452"/>
      <c r="AN166" s="452"/>
      <c r="AO166" s="446"/>
      <c r="AP166" s="446"/>
      <c r="AQ166" s="446"/>
      <c r="AR166" s="446"/>
      <c r="AS166" s="446"/>
      <c r="AT166" s="72"/>
      <c r="AU166" s="72"/>
      <c r="AV166" s="72"/>
      <c r="AW166" s="72"/>
      <c r="AX166" s="72"/>
      <c r="AY166" s="72"/>
      <c r="AZ166" s="72"/>
      <c r="BA166" s="72"/>
      <c r="BB166" s="72"/>
    </row>
    <row r="167" spans="3:54">
      <c r="C167" s="452"/>
      <c r="AB167" s="453"/>
      <c r="AC167" s="453"/>
      <c r="AD167" s="453"/>
      <c r="AE167" s="453"/>
      <c r="AF167" s="452"/>
      <c r="AG167" s="452"/>
      <c r="AH167" s="452"/>
      <c r="AI167" s="452"/>
      <c r="AJ167" s="452"/>
      <c r="AK167" s="452"/>
      <c r="AL167" s="452"/>
      <c r="AM167" s="452"/>
      <c r="AN167" s="452"/>
      <c r="AO167" s="446"/>
      <c r="AP167" s="446"/>
      <c r="AQ167" s="446"/>
      <c r="AR167" s="446"/>
      <c r="AS167" s="446"/>
      <c r="AT167" s="72"/>
      <c r="AU167" s="72"/>
      <c r="AV167" s="72"/>
      <c r="AW167" s="72"/>
      <c r="AX167" s="72"/>
      <c r="AY167" s="72"/>
      <c r="AZ167" s="72"/>
      <c r="BA167" s="72"/>
      <c r="BB167" s="72"/>
    </row>
    <row r="168" spans="3:54">
      <c r="C168" s="452"/>
      <c r="D168" s="639"/>
      <c r="AB168" s="453"/>
      <c r="AC168" s="453"/>
      <c r="AD168" s="453"/>
      <c r="AE168" s="453"/>
      <c r="AF168" s="452"/>
      <c r="AG168" s="452"/>
      <c r="AH168" s="452"/>
      <c r="AI168" s="452"/>
      <c r="AJ168" s="452"/>
      <c r="AK168" s="452"/>
      <c r="AL168" s="452"/>
      <c r="AM168" s="452"/>
      <c r="AN168" s="452"/>
      <c r="AO168" s="446"/>
      <c r="AP168" s="446"/>
      <c r="AQ168" s="446"/>
      <c r="AR168" s="446"/>
      <c r="AS168" s="446"/>
      <c r="AT168" s="72"/>
      <c r="AU168" s="72"/>
      <c r="AV168" s="72"/>
      <c r="AW168" s="72"/>
      <c r="AX168" s="72"/>
      <c r="AY168" s="72"/>
      <c r="AZ168" s="72"/>
      <c r="BA168" s="72"/>
      <c r="BB168" s="72"/>
    </row>
    <row r="169" spans="3:54">
      <c r="C169" s="452"/>
      <c r="D169" s="639"/>
      <c r="AB169" s="453"/>
      <c r="AC169" s="453"/>
      <c r="AD169" s="453"/>
      <c r="AE169" s="453"/>
      <c r="AF169" s="452"/>
      <c r="AG169" s="452"/>
      <c r="AH169" s="452"/>
      <c r="AI169" s="452"/>
      <c r="AJ169" s="452"/>
      <c r="AK169" s="452"/>
      <c r="AL169" s="452"/>
      <c r="AM169" s="452"/>
      <c r="AN169" s="452"/>
      <c r="AO169" s="446"/>
      <c r="AP169" s="446"/>
      <c r="AQ169" s="446"/>
      <c r="AR169" s="446"/>
      <c r="AS169" s="446"/>
      <c r="AT169" s="72"/>
      <c r="AU169" s="72"/>
      <c r="AV169" s="72"/>
      <c r="AW169" s="72"/>
      <c r="AX169" s="72"/>
      <c r="AY169" s="72"/>
      <c r="AZ169" s="72"/>
      <c r="BA169" s="72"/>
      <c r="BB169" s="72"/>
    </row>
    <row r="170" spans="3:54">
      <c r="C170" s="452"/>
      <c r="D170" s="639"/>
      <c r="Q170" s="452"/>
      <c r="R170" s="452"/>
      <c r="S170" s="452"/>
      <c r="T170" s="452"/>
      <c r="U170" s="452"/>
      <c r="V170" s="452"/>
      <c r="W170" s="452"/>
      <c r="X170" s="452"/>
      <c r="Y170" s="452"/>
      <c r="Z170" s="452"/>
      <c r="AA170" s="452"/>
      <c r="AB170" s="453"/>
      <c r="AC170" s="453"/>
      <c r="AD170" s="453"/>
      <c r="AE170" s="453"/>
      <c r="AF170" s="452"/>
      <c r="AG170" s="452"/>
      <c r="AH170" s="452"/>
      <c r="AI170" s="452"/>
      <c r="AJ170" s="452"/>
      <c r="AK170" s="452"/>
      <c r="AL170" s="452"/>
      <c r="AM170" s="452"/>
      <c r="AN170" s="452"/>
      <c r="AO170" s="446"/>
      <c r="AP170" s="446"/>
      <c r="AQ170" s="446"/>
      <c r="AR170" s="446"/>
      <c r="AS170" s="446"/>
      <c r="AT170" s="72"/>
      <c r="AU170" s="72"/>
      <c r="AV170" s="72"/>
      <c r="AW170" s="72"/>
      <c r="AX170" s="72"/>
      <c r="AY170" s="72"/>
      <c r="AZ170" s="72"/>
      <c r="BA170" s="72"/>
      <c r="BB170" s="72"/>
    </row>
    <row r="171" spans="3:54">
      <c r="C171" s="452"/>
      <c r="D171" s="639"/>
      <c r="Q171" s="452"/>
      <c r="R171" s="452"/>
      <c r="S171" s="452"/>
      <c r="T171" s="452"/>
      <c r="U171" s="452"/>
      <c r="V171" s="452"/>
      <c r="W171" s="452"/>
      <c r="X171" s="452"/>
      <c r="Y171" s="452"/>
      <c r="Z171" s="452"/>
      <c r="AA171" s="452"/>
      <c r="AB171" s="453"/>
      <c r="AC171" s="453"/>
      <c r="AD171" s="453"/>
      <c r="AE171" s="453"/>
      <c r="AF171" s="452"/>
      <c r="AG171" s="452"/>
      <c r="AH171" s="452"/>
      <c r="AI171" s="452"/>
      <c r="AJ171" s="452"/>
      <c r="AK171" s="452"/>
      <c r="AL171" s="452"/>
      <c r="AM171" s="452"/>
      <c r="AN171" s="452"/>
      <c r="AO171" s="446"/>
      <c r="AP171" s="446"/>
      <c r="AQ171" s="446"/>
      <c r="AR171" s="446"/>
      <c r="AS171" s="446"/>
      <c r="AT171" s="72"/>
      <c r="AU171" s="72"/>
      <c r="AV171" s="72"/>
      <c r="AW171" s="72"/>
      <c r="AX171" s="72"/>
      <c r="AY171" s="72"/>
      <c r="AZ171" s="72"/>
      <c r="BA171" s="72"/>
      <c r="BB171" s="72"/>
    </row>
    <row r="172" spans="3:54">
      <c r="C172" s="452"/>
      <c r="D172" s="639"/>
      <c r="Q172" s="452"/>
      <c r="R172" s="452"/>
      <c r="S172" s="452"/>
      <c r="T172" s="452"/>
      <c r="U172" s="452"/>
      <c r="V172" s="452"/>
      <c r="W172" s="452"/>
      <c r="X172" s="452"/>
      <c r="Y172" s="452"/>
      <c r="Z172" s="452"/>
      <c r="AA172" s="452"/>
      <c r="AB172" s="453"/>
      <c r="AC172" s="453"/>
      <c r="AD172" s="453"/>
      <c r="AE172" s="453"/>
      <c r="AF172" s="452"/>
      <c r="AG172" s="452"/>
      <c r="AH172" s="452"/>
      <c r="AI172" s="452"/>
      <c r="AJ172" s="452"/>
      <c r="AK172" s="452"/>
      <c r="AL172" s="452"/>
      <c r="AM172" s="452"/>
      <c r="AN172" s="452"/>
      <c r="AO172" s="446"/>
      <c r="AP172" s="446"/>
      <c r="AQ172" s="446"/>
      <c r="AR172" s="446"/>
      <c r="AS172" s="446"/>
      <c r="AT172" s="72"/>
      <c r="AU172" s="72"/>
      <c r="AV172" s="72"/>
      <c r="AW172" s="72"/>
      <c r="AX172" s="72"/>
      <c r="AY172" s="72"/>
      <c r="AZ172" s="72"/>
      <c r="BA172" s="72"/>
      <c r="BB172" s="72"/>
    </row>
    <row r="173" spans="3:54">
      <c r="C173" s="452"/>
      <c r="Q173" s="452"/>
      <c r="R173" s="452"/>
      <c r="S173" s="452"/>
      <c r="T173" s="452"/>
      <c r="U173" s="452"/>
      <c r="V173" s="452"/>
      <c r="W173" s="452"/>
      <c r="X173" s="452"/>
      <c r="Y173" s="452"/>
      <c r="Z173" s="452"/>
      <c r="AA173" s="452"/>
      <c r="AB173" s="453"/>
      <c r="AC173" s="453"/>
      <c r="AD173" s="453"/>
      <c r="AE173" s="453"/>
      <c r="AF173" s="452"/>
      <c r="AG173" s="452"/>
      <c r="AH173" s="452"/>
      <c r="AI173" s="452"/>
      <c r="AJ173" s="452"/>
      <c r="AK173" s="452"/>
      <c r="AL173" s="452"/>
      <c r="AM173" s="452"/>
      <c r="AN173" s="452"/>
      <c r="AO173" s="446"/>
      <c r="AP173" s="446"/>
      <c r="AQ173" s="446"/>
      <c r="AR173" s="446"/>
      <c r="AS173" s="446"/>
      <c r="AT173" s="72"/>
      <c r="AU173" s="72"/>
      <c r="AV173" s="72"/>
      <c r="AW173" s="72"/>
      <c r="AX173" s="72"/>
      <c r="AY173" s="72"/>
      <c r="AZ173" s="72"/>
      <c r="BA173" s="72"/>
      <c r="BB173" s="72"/>
    </row>
    <row r="174" spans="3:54">
      <c r="C174" s="452"/>
      <c r="Q174" s="452"/>
      <c r="R174" s="452"/>
      <c r="S174" s="452"/>
      <c r="T174" s="452"/>
      <c r="U174" s="452"/>
      <c r="V174" s="452"/>
      <c r="W174" s="452"/>
      <c r="X174" s="452"/>
      <c r="Y174" s="452"/>
      <c r="Z174" s="452"/>
      <c r="AA174" s="452"/>
      <c r="AB174" s="453"/>
      <c r="AC174" s="453"/>
      <c r="AD174" s="453"/>
      <c r="AE174" s="453"/>
      <c r="AF174" s="452"/>
      <c r="AG174" s="452"/>
      <c r="AH174" s="452"/>
      <c r="AI174" s="452"/>
      <c r="AJ174" s="452"/>
      <c r="AK174" s="452"/>
      <c r="AL174" s="452"/>
      <c r="AM174" s="452"/>
      <c r="AN174" s="452"/>
      <c r="AO174" s="446"/>
      <c r="AP174" s="446"/>
      <c r="AQ174" s="446"/>
      <c r="AR174" s="446"/>
      <c r="AS174" s="446"/>
      <c r="AT174" s="72"/>
      <c r="AU174" s="72"/>
      <c r="AV174" s="72"/>
      <c r="AW174" s="72"/>
      <c r="AX174" s="72"/>
      <c r="AY174" s="72"/>
      <c r="AZ174" s="72"/>
      <c r="BA174" s="72"/>
      <c r="BB174" s="72"/>
    </row>
    <row r="175" spans="3:54">
      <c r="C175" s="452"/>
      <c r="Q175" s="452"/>
      <c r="R175" s="452"/>
      <c r="S175" s="452"/>
      <c r="T175" s="452"/>
      <c r="U175" s="452"/>
      <c r="V175" s="452"/>
      <c r="W175" s="452"/>
      <c r="X175" s="452"/>
      <c r="Y175" s="452"/>
      <c r="Z175" s="452"/>
      <c r="AA175" s="452"/>
      <c r="AB175" s="453"/>
      <c r="AC175" s="453"/>
      <c r="AD175" s="453"/>
      <c r="AE175" s="453"/>
      <c r="AF175" s="452"/>
      <c r="AG175" s="452"/>
      <c r="AH175" s="452"/>
      <c r="AI175" s="452"/>
      <c r="AJ175" s="452"/>
      <c r="AK175" s="452"/>
      <c r="AL175" s="452"/>
      <c r="AM175" s="452"/>
      <c r="AN175" s="452"/>
      <c r="AO175" s="446"/>
      <c r="AP175" s="446"/>
      <c r="AQ175" s="446"/>
      <c r="AR175" s="446"/>
      <c r="AS175" s="446"/>
      <c r="AT175" s="72"/>
      <c r="AU175" s="72"/>
      <c r="AV175" s="72"/>
      <c r="AW175" s="72"/>
      <c r="AX175" s="72"/>
      <c r="AY175" s="72"/>
      <c r="AZ175" s="72"/>
      <c r="BA175" s="72"/>
      <c r="BB175" s="72"/>
    </row>
    <row r="176" spans="3:54">
      <c r="C176" s="452"/>
      <c r="Q176" s="452"/>
      <c r="R176" s="452"/>
      <c r="S176" s="452"/>
      <c r="T176" s="452"/>
      <c r="U176" s="452"/>
      <c r="V176" s="452"/>
      <c r="W176" s="452"/>
      <c r="X176" s="452"/>
      <c r="Y176" s="452"/>
      <c r="Z176" s="452"/>
      <c r="AB176" s="453"/>
      <c r="AC176" s="453"/>
      <c r="AD176" s="453"/>
      <c r="AE176" s="453"/>
      <c r="AF176" s="452"/>
      <c r="AG176" s="452"/>
      <c r="AH176" s="452"/>
      <c r="AI176" s="452"/>
      <c r="AJ176" s="452"/>
      <c r="AK176" s="452"/>
      <c r="AL176" s="452"/>
      <c r="AM176" s="452"/>
      <c r="AN176" s="452"/>
      <c r="AO176" s="446"/>
      <c r="AP176" s="446"/>
      <c r="AQ176" s="446"/>
      <c r="AR176" s="446"/>
      <c r="AS176" s="446"/>
      <c r="AT176" s="72"/>
      <c r="AU176" s="72"/>
      <c r="AV176" s="72"/>
      <c r="AW176" s="72"/>
      <c r="AX176" s="72"/>
      <c r="AY176" s="72"/>
      <c r="AZ176" s="72"/>
      <c r="BA176" s="72"/>
      <c r="BB176" s="72"/>
    </row>
    <row r="177" spans="3:54">
      <c r="C177" s="452"/>
      <c r="Q177" s="452"/>
      <c r="R177" s="452"/>
      <c r="S177" s="452"/>
      <c r="T177" s="452"/>
      <c r="U177" s="452"/>
      <c r="V177" s="452"/>
      <c r="W177" s="452"/>
      <c r="X177" s="452"/>
      <c r="Y177" s="452"/>
      <c r="Z177" s="452"/>
      <c r="AA177" s="452"/>
      <c r="AB177" s="453"/>
      <c r="AC177" s="453"/>
      <c r="AD177" s="453"/>
      <c r="AE177" s="453"/>
      <c r="AF177" s="452"/>
      <c r="AG177" s="452"/>
      <c r="AH177" s="452"/>
      <c r="AI177" s="452"/>
      <c r="AJ177" s="452"/>
      <c r="AK177" s="452"/>
      <c r="AL177" s="452"/>
      <c r="AM177" s="452"/>
      <c r="AN177" s="452"/>
      <c r="AO177" s="446"/>
      <c r="AP177" s="446"/>
      <c r="AQ177" s="446"/>
      <c r="AR177" s="446"/>
      <c r="AS177" s="446"/>
      <c r="AT177" s="72"/>
      <c r="AU177" s="72"/>
      <c r="AV177" s="72"/>
      <c r="AW177" s="72"/>
      <c r="AX177" s="72"/>
      <c r="AY177" s="72"/>
      <c r="AZ177" s="72"/>
      <c r="BA177" s="72"/>
      <c r="BB177" s="72"/>
    </row>
    <row r="178" spans="3:54">
      <c r="C178" s="452"/>
      <c r="Q178" s="452"/>
      <c r="R178" s="452"/>
      <c r="S178" s="452"/>
      <c r="T178" s="452"/>
      <c r="U178" s="452"/>
      <c r="V178" s="452"/>
      <c r="W178" s="452"/>
      <c r="X178" s="452"/>
      <c r="Y178" s="452"/>
      <c r="Z178" s="452"/>
      <c r="AA178" s="452"/>
      <c r="AB178" s="453"/>
      <c r="AC178" s="453"/>
      <c r="AD178" s="453"/>
      <c r="AE178" s="453"/>
      <c r="AF178" s="452"/>
      <c r="AG178" s="452"/>
      <c r="AH178" s="452"/>
      <c r="AI178" s="452"/>
      <c r="AJ178" s="452"/>
      <c r="AK178" s="452"/>
      <c r="AL178" s="452"/>
      <c r="AM178" s="452"/>
      <c r="AN178" s="452"/>
      <c r="AO178" s="446"/>
      <c r="AP178" s="446"/>
      <c r="AQ178" s="446"/>
      <c r="AR178" s="446"/>
      <c r="AS178" s="446"/>
      <c r="AT178" s="72"/>
      <c r="AU178" s="72"/>
      <c r="AV178" s="72"/>
      <c r="AW178" s="72"/>
      <c r="AX178" s="72"/>
      <c r="AY178" s="72"/>
      <c r="AZ178" s="72"/>
      <c r="BA178" s="72"/>
      <c r="BB178" s="72"/>
    </row>
    <row r="179" spans="3:54">
      <c r="C179" s="452"/>
      <c r="Q179" s="452"/>
      <c r="R179" s="452"/>
      <c r="S179" s="452"/>
      <c r="T179" s="452"/>
      <c r="U179" s="452"/>
      <c r="V179" s="452"/>
      <c r="W179" s="452"/>
      <c r="X179" s="452"/>
      <c r="Y179" s="452"/>
      <c r="Z179" s="452"/>
      <c r="AA179" s="452"/>
      <c r="AB179" s="453"/>
      <c r="AC179" s="453"/>
      <c r="AD179" s="453"/>
      <c r="AE179" s="453"/>
      <c r="AF179" s="452"/>
      <c r="AG179" s="452"/>
      <c r="AH179" s="452"/>
      <c r="AI179" s="452"/>
      <c r="AJ179" s="452"/>
      <c r="AK179" s="452"/>
      <c r="AL179" s="452"/>
      <c r="AM179" s="452"/>
      <c r="AN179" s="452"/>
      <c r="AO179" s="446"/>
      <c r="AP179" s="446"/>
      <c r="AQ179" s="446"/>
      <c r="AR179" s="446"/>
      <c r="AS179" s="446"/>
      <c r="AT179" s="72"/>
      <c r="AU179" s="72"/>
      <c r="AV179" s="72"/>
      <c r="AW179" s="72"/>
      <c r="AX179" s="72"/>
      <c r="AY179" s="72"/>
      <c r="AZ179" s="72"/>
      <c r="BA179" s="72"/>
      <c r="BB179" s="72"/>
    </row>
    <row r="180" spans="3:54">
      <c r="C180" s="452"/>
      <c r="Q180" s="452"/>
      <c r="R180" s="452"/>
      <c r="S180" s="452"/>
      <c r="T180" s="452"/>
      <c r="U180" s="452"/>
      <c r="V180" s="452"/>
      <c r="W180" s="452"/>
      <c r="X180" s="452"/>
      <c r="Y180" s="452"/>
      <c r="Z180" s="452"/>
      <c r="AA180" s="452"/>
      <c r="AB180" s="453"/>
      <c r="AC180" s="453"/>
      <c r="AD180" s="453"/>
      <c r="AE180" s="453"/>
      <c r="AF180" s="452"/>
      <c r="AG180" s="452"/>
      <c r="AH180" s="452"/>
      <c r="AI180" s="452"/>
      <c r="AJ180" s="452"/>
      <c r="AK180" s="452"/>
      <c r="AL180" s="452"/>
      <c r="AM180" s="452"/>
      <c r="AN180" s="452"/>
      <c r="AO180" s="446"/>
      <c r="AP180" s="446"/>
      <c r="AQ180" s="446"/>
      <c r="AR180" s="446"/>
      <c r="AS180" s="446"/>
      <c r="AT180" s="72"/>
      <c r="AU180" s="72"/>
      <c r="AV180" s="72"/>
      <c r="AW180" s="72"/>
      <c r="AX180" s="72"/>
      <c r="AY180" s="72"/>
      <c r="AZ180" s="72"/>
      <c r="BA180" s="72"/>
      <c r="BB180" s="72"/>
    </row>
    <row r="181" spans="3:54">
      <c r="C181" s="452"/>
      <c r="Q181" s="452"/>
      <c r="R181" s="452"/>
      <c r="S181" s="452"/>
      <c r="T181" s="452"/>
      <c r="U181" s="452"/>
      <c r="V181" s="452"/>
      <c r="W181" s="452"/>
      <c r="X181" s="452"/>
      <c r="Y181" s="452"/>
      <c r="Z181" s="452"/>
      <c r="AA181" s="452"/>
      <c r="AB181" s="453"/>
      <c r="AC181" s="453"/>
      <c r="AD181" s="453"/>
      <c r="AE181" s="453"/>
      <c r="AF181" s="452"/>
      <c r="AG181" s="452"/>
      <c r="AH181" s="452"/>
      <c r="AI181" s="452"/>
      <c r="AJ181" s="452"/>
      <c r="AK181" s="452"/>
      <c r="AL181" s="452"/>
      <c r="AM181" s="452"/>
      <c r="AN181" s="452"/>
      <c r="AO181" s="446"/>
      <c r="AP181" s="446"/>
      <c r="AQ181" s="446"/>
      <c r="AR181" s="446"/>
      <c r="AS181" s="446"/>
      <c r="AT181" s="72"/>
      <c r="AU181" s="72"/>
      <c r="AV181" s="72"/>
      <c r="AW181" s="72"/>
      <c r="AX181" s="72"/>
      <c r="AY181" s="72"/>
      <c r="AZ181" s="72"/>
      <c r="BA181" s="72"/>
      <c r="BB181" s="72"/>
    </row>
    <row r="182" spans="3:54">
      <c r="C182" s="452"/>
      <c r="Q182" s="452"/>
      <c r="R182" s="452"/>
      <c r="S182" s="452"/>
      <c r="T182" s="452"/>
      <c r="U182" s="452"/>
      <c r="V182" s="452"/>
      <c r="W182" s="452"/>
      <c r="X182" s="452"/>
      <c r="Y182" s="452"/>
      <c r="Z182" s="452"/>
      <c r="AA182" s="452"/>
      <c r="AB182" s="453"/>
      <c r="AC182" s="453"/>
      <c r="AD182" s="453"/>
      <c r="AE182" s="453"/>
      <c r="AF182" s="452"/>
      <c r="AG182" s="452"/>
      <c r="AH182" s="452"/>
      <c r="AI182" s="452"/>
      <c r="AJ182" s="452"/>
      <c r="AK182" s="452"/>
      <c r="AL182" s="452"/>
      <c r="AM182" s="452"/>
      <c r="AN182" s="452"/>
      <c r="AO182" s="446"/>
      <c r="AP182" s="446"/>
      <c r="AQ182" s="446"/>
      <c r="AR182" s="446"/>
      <c r="AS182" s="446"/>
      <c r="AT182" s="72"/>
      <c r="AU182" s="72"/>
      <c r="AV182" s="72"/>
      <c r="AW182" s="72"/>
      <c r="AX182" s="72"/>
      <c r="AY182" s="72"/>
      <c r="AZ182" s="72"/>
      <c r="BA182" s="72"/>
      <c r="BB182" s="72"/>
    </row>
    <row r="183" spans="3:54">
      <c r="C183" s="452"/>
      <c r="Q183" s="452"/>
      <c r="R183" s="452"/>
      <c r="S183" s="452"/>
      <c r="T183" s="452"/>
      <c r="U183" s="452"/>
      <c r="V183" s="452"/>
      <c r="W183" s="452"/>
      <c r="X183" s="452"/>
      <c r="Y183" s="452"/>
      <c r="Z183" s="452"/>
      <c r="AA183" s="452"/>
      <c r="AB183" s="453"/>
      <c r="AC183" s="453"/>
      <c r="AD183" s="453"/>
      <c r="AE183" s="453"/>
      <c r="AF183" s="452"/>
      <c r="AG183" s="452"/>
      <c r="AH183" s="452"/>
      <c r="AI183" s="452"/>
      <c r="AJ183" s="452"/>
      <c r="AK183" s="452"/>
      <c r="AL183" s="452"/>
      <c r="AM183" s="452"/>
      <c r="AN183" s="452"/>
      <c r="AO183" s="446"/>
      <c r="AP183" s="446"/>
      <c r="AQ183" s="446"/>
      <c r="AR183" s="446"/>
      <c r="AS183" s="446"/>
      <c r="AT183" s="72"/>
      <c r="AU183" s="72"/>
      <c r="AV183" s="72"/>
      <c r="AW183" s="72"/>
      <c r="AX183" s="72"/>
      <c r="AY183" s="72"/>
      <c r="AZ183" s="72"/>
      <c r="BA183" s="72"/>
      <c r="BB183" s="72"/>
    </row>
    <row r="184" spans="3:54">
      <c r="C184" s="452"/>
      <c r="Q184" s="452"/>
      <c r="R184" s="452"/>
      <c r="S184" s="452"/>
      <c r="T184" s="452"/>
      <c r="U184" s="452"/>
      <c r="V184" s="452"/>
      <c r="W184" s="452"/>
      <c r="X184" s="452"/>
      <c r="Y184" s="452"/>
      <c r="Z184" s="452"/>
      <c r="AA184" s="452"/>
      <c r="AB184" s="453"/>
      <c r="AC184" s="453"/>
      <c r="AD184" s="453"/>
      <c r="AE184" s="453"/>
      <c r="AF184" s="452"/>
      <c r="AG184" s="452"/>
      <c r="AH184" s="452"/>
      <c r="AI184" s="452"/>
      <c r="AJ184" s="452"/>
      <c r="AK184" s="452"/>
      <c r="AL184" s="452"/>
      <c r="AM184" s="452"/>
      <c r="AN184" s="452"/>
      <c r="AO184" s="446"/>
      <c r="AP184" s="446"/>
      <c r="AQ184" s="446"/>
      <c r="AR184" s="446"/>
      <c r="AS184" s="446"/>
      <c r="AT184" s="72"/>
      <c r="AU184" s="72"/>
      <c r="AV184" s="72"/>
      <c r="AW184" s="72"/>
      <c r="AX184" s="72"/>
      <c r="AY184" s="72"/>
      <c r="AZ184" s="72"/>
      <c r="BA184" s="72"/>
      <c r="BB184" s="72"/>
    </row>
    <row r="185" spans="3:54">
      <c r="C185" s="452"/>
      <c r="Q185" s="452"/>
      <c r="R185" s="452"/>
      <c r="S185" s="452"/>
      <c r="T185" s="452"/>
      <c r="U185" s="452"/>
      <c r="V185" s="452"/>
      <c r="W185" s="452"/>
      <c r="X185" s="452"/>
      <c r="Y185" s="452"/>
      <c r="Z185" s="452"/>
      <c r="AA185" s="452"/>
      <c r="AB185" s="453"/>
      <c r="AC185" s="453"/>
      <c r="AD185" s="453"/>
      <c r="AE185" s="453"/>
      <c r="AF185" s="452"/>
      <c r="AG185" s="452"/>
      <c r="AH185" s="452"/>
      <c r="AI185" s="452"/>
      <c r="AJ185" s="452"/>
      <c r="AK185" s="452"/>
      <c r="AL185" s="452"/>
      <c r="AM185" s="452"/>
      <c r="AN185" s="452"/>
      <c r="AO185" s="446"/>
      <c r="AP185" s="446"/>
      <c r="AQ185" s="446"/>
      <c r="AR185" s="446"/>
      <c r="AS185" s="446"/>
      <c r="AT185" s="72"/>
      <c r="AU185" s="72"/>
      <c r="AV185" s="72"/>
      <c r="AW185" s="72"/>
      <c r="AX185" s="72"/>
      <c r="AY185" s="72"/>
      <c r="AZ185" s="72"/>
      <c r="BA185" s="72"/>
      <c r="BB185" s="72"/>
    </row>
    <row r="186" spans="3:54">
      <c r="C186" s="452"/>
      <c r="Q186" s="452"/>
      <c r="R186" s="452"/>
      <c r="S186" s="452"/>
      <c r="T186" s="452"/>
      <c r="U186" s="452"/>
      <c r="V186" s="452"/>
      <c r="W186" s="452"/>
      <c r="X186" s="452"/>
      <c r="Y186" s="452"/>
      <c r="Z186" s="452"/>
      <c r="AA186" s="452"/>
      <c r="AB186" s="453"/>
      <c r="AC186" s="453"/>
      <c r="AD186" s="453"/>
      <c r="AE186" s="453"/>
      <c r="AF186" s="452"/>
      <c r="AG186" s="452"/>
      <c r="AH186" s="452"/>
      <c r="AI186" s="452"/>
      <c r="AJ186" s="452"/>
      <c r="AK186" s="452"/>
      <c r="AL186" s="452"/>
      <c r="AM186" s="452"/>
      <c r="AN186" s="452"/>
      <c r="AO186" s="446"/>
      <c r="AP186" s="446"/>
      <c r="AQ186" s="446"/>
      <c r="AR186" s="446"/>
      <c r="AS186" s="446"/>
      <c r="AT186" s="72"/>
      <c r="AU186" s="72"/>
      <c r="AV186" s="72"/>
      <c r="AW186" s="72"/>
      <c r="AX186" s="72"/>
      <c r="AY186" s="72"/>
      <c r="AZ186" s="72"/>
      <c r="BA186" s="72"/>
      <c r="BB186" s="72"/>
    </row>
    <row r="187" spans="3:54">
      <c r="C187" s="452"/>
      <c r="Q187" s="452"/>
      <c r="R187" s="452"/>
      <c r="S187" s="452"/>
      <c r="T187" s="452"/>
      <c r="U187" s="452"/>
      <c r="V187" s="452"/>
      <c r="W187" s="452"/>
      <c r="X187" s="452"/>
      <c r="Y187" s="452"/>
      <c r="Z187" s="452"/>
      <c r="AA187" s="452"/>
      <c r="AB187" s="453"/>
      <c r="AC187" s="453"/>
      <c r="AD187" s="453"/>
      <c r="AE187" s="453"/>
      <c r="AF187" s="452"/>
      <c r="AG187" s="452"/>
      <c r="AH187" s="452"/>
      <c r="AI187" s="452"/>
      <c r="AJ187" s="452"/>
      <c r="AK187" s="452"/>
      <c r="AL187" s="452"/>
      <c r="AM187" s="452"/>
      <c r="AN187" s="452"/>
      <c r="AO187" s="446"/>
      <c r="AP187" s="446"/>
      <c r="AQ187" s="446"/>
      <c r="AR187" s="446"/>
      <c r="AS187" s="446"/>
      <c r="AT187" s="72"/>
      <c r="AU187" s="72"/>
      <c r="AV187" s="72"/>
      <c r="AW187" s="72"/>
      <c r="AX187" s="72"/>
      <c r="AY187" s="72"/>
      <c r="AZ187" s="72"/>
      <c r="BA187" s="72"/>
      <c r="BB187" s="72"/>
    </row>
    <row r="188" spans="3:54">
      <c r="C188" s="452"/>
      <c r="Q188" s="452"/>
      <c r="R188" s="452"/>
      <c r="S188" s="452"/>
      <c r="T188" s="452"/>
      <c r="U188" s="452"/>
      <c r="V188" s="452"/>
      <c r="W188" s="452"/>
      <c r="X188" s="452"/>
      <c r="Y188" s="452"/>
      <c r="Z188" s="452"/>
      <c r="AA188" s="452"/>
      <c r="AB188" s="453"/>
      <c r="AC188" s="453"/>
      <c r="AD188" s="453"/>
      <c r="AE188" s="453"/>
      <c r="AF188" s="452"/>
      <c r="AG188" s="452"/>
      <c r="AH188" s="452"/>
      <c r="AI188" s="452"/>
      <c r="AJ188" s="452"/>
      <c r="AK188" s="452"/>
      <c r="AL188" s="452"/>
      <c r="AM188" s="452"/>
      <c r="AN188" s="452"/>
      <c r="AO188" s="446"/>
      <c r="AP188" s="446"/>
      <c r="AQ188" s="446"/>
      <c r="AR188" s="446"/>
      <c r="AS188" s="446"/>
      <c r="AT188" s="72"/>
      <c r="AU188" s="72"/>
      <c r="AV188" s="72"/>
      <c r="AW188" s="72"/>
      <c r="AX188" s="72"/>
      <c r="AY188" s="72"/>
      <c r="AZ188" s="72"/>
      <c r="BA188" s="72"/>
      <c r="BB188" s="72"/>
    </row>
    <row r="189" spans="3:54">
      <c r="C189" s="452"/>
      <c r="Q189" s="452"/>
      <c r="R189" s="452"/>
      <c r="S189" s="452"/>
      <c r="T189" s="452"/>
      <c r="U189" s="452"/>
      <c r="V189" s="452"/>
      <c r="W189" s="452"/>
      <c r="X189" s="452"/>
      <c r="Y189" s="452"/>
      <c r="Z189" s="452"/>
      <c r="AA189" s="452"/>
      <c r="AB189" s="453"/>
      <c r="AC189" s="453"/>
      <c r="AD189" s="453"/>
      <c r="AE189" s="453"/>
      <c r="AF189" s="452"/>
      <c r="AG189" s="452"/>
      <c r="AH189" s="452"/>
      <c r="AI189" s="452"/>
      <c r="AJ189" s="452"/>
      <c r="AK189" s="452"/>
      <c r="AL189" s="452"/>
      <c r="AM189" s="452"/>
      <c r="AN189" s="452"/>
      <c r="AO189" s="446"/>
      <c r="AP189" s="446"/>
      <c r="AQ189" s="446"/>
      <c r="AR189" s="446"/>
      <c r="AS189" s="446"/>
      <c r="AT189" s="72"/>
      <c r="AU189" s="72"/>
      <c r="AV189" s="72"/>
      <c r="AW189" s="72"/>
      <c r="AX189" s="72"/>
      <c r="AY189" s="72"/>
      <c r="AZ189" s="72"/>
      <c r="BA189" s="72"/>
      <c r="BB189" s="72"/>
    </row>
    <row r="190" spans="3:54">
      <c r="C190" s="452"/>
      <c r="Q190" s="452"/>
      <c r="R190" s="452"/>
      <c r="S190" s="452"/>
      <c r="T190" s="452"/>
      <c r="U190" s="452"/>
      <c r="V190" s="452"/>
      <c r="W190" s="452"/>
      <c r="X190" s="452"/>
      <c r="Y190" s="452"/>
      <c r="Z190" s="452"/>
      <c r="AA190" s="452"/>
      <c r="AB190" s="453"/>
      <c r="AC190" s="453"/>
      <c r="AD190" s="453"/>
      <c r="AE190" s="453"/>
      <c r="AF190" s="452"/>
      <c r="AG190" s="452"/>
      <c r="AH190" s="452"/>
      <c r="AI190" s="452"/>
      <c r="AJ190" s="452"/>
      <c r="AK190" s="452"/>
      <c r="AL190" s="452"/>
      <c r="AM190" s="452"/>
      <c r="AN190" s="452"/>
      <c r="AO190" s="446"/>
      <c r="AP190" s="446"/>
      <c r="AQ190" s="446"/>
      <c r="AR190" s="446"/>
      <c r="AS190" s="446"/>
      <c r="AT190" s="72"/>
      <c r="AU190" s="72"/>
      <c r="AV190" s="72"/>
      <c r="AW190" s="72"/>
      <c r="AX190" s="72"/>
      <c r="AY190" s="72"/>
      <c r="AZ190" s="72"/>
      <c r="BA190" s="72"/>
      <c r="BB190" s="72"/>
    </row>
    <row r="191" spans="3:54">
      <c r="C191" s="452"/>
      <c r="Q191" s="452"/>
      <c r="R191" s="452"/>
      <c r="S191" s="452"/>
      <c r="T191" s="452"/>
      <c r="U191" s="452"/>
      <c r="V191" s="452"/>
      <c r="W191" s="452"/>
      <c r="X191" s="452"/>
      <c r="Y191" s="452"/>
      <c r="Z191" s="452"/>
      <c r="AA191" s="452"/>
      <c r="AB191" s="453"/>
      <c r="AC191" s="453"/>
      <c r="AD191" s="453"/>
      <c r="AE191" s="453"/>
      <c r="AF191" s="452"/>
      <c r="AG191" s="452"/>
      <c r="AH191" s="452"/>
      <c r="AI191" s="452"/>
      <c r="AJ191" s="452"/>
      <c r="AK191" s="452"/>
      <c r="AL191" s="452"/>
      <c r="AM191" s="452"/>
      <c r="AN191" s="452"/>
      <c r="AO191" s="446"/>
      <c r="AP191" s="446"/>
      <c r="AQ191" s="446"/>
      <c r="AR191" s="446"/>
      <c r="AS191" s="446"/>
      <c r="AT191" s="72"/>
      <c r="AU191" s="72"/>
      <c r="AV191" s="72"/>
      <c r="AW191" s="72"/>
      <c r="AX191" s="72"/>
      <c r="AY191" s="72"/>
      <c r="AZ191" s="72"/>
      <c r="BA191" s="72"/>
      <c r="BB191" s="72"/>
    </row>
    <row r="192" spans="3:54">
      <c r="C192" s="452"/>
      <c r="Q192" s="452"/>
      <c r="R192" s="452"/>
      <c r="S192" s="452"/>
      <c r="T192" s="452"/>
      <c r="U192" s="452"/>
      <c r="V192" s="452"/>
      <c r="W192" s="452"/>
      <c r="X192" s="452"/>
      <c r="Y192" s="452"/>
      <c r="Z192" s="452"/>
      <c r="AA192" s="452"/>
      <c r="AB192" s="453"/>
      <c r="AC192" s="453"/>
      <c r="AD192" s="453"/>
      <c r="AE192" s="453"/>
      <c r="AF192" s="452"/>
      <c r="AG192" s="452"/>
      <c r="AH192" s="452"/>
      <c r="AI192" s="452"/>
      <c r="AJ192" s="452"/>
      <c r="AK192" s="452"/>
      <c r="AL192" s="452"/>
      <c r="AM192" s="452"/>
      <c r="AN192" s="452"/>
      <c r="AO192" s="446"/>
      <c r="AP192" s="446"/>
      <c r="AQ192" s="446"/>
      <c r="AR192" s="446"/>
      <c r="AS192" s="446"/>
      <c r="AT192" s="72"/>
      <c r="AU192" s="72"/>
      <c r="AV192" s="72"/>
      <c r="AW192" s="72"/>
      <c r="AX192" s="72"/>
      <c r="AY192" s="72"/>
      <c r="AZ192" s="72"/>
      <c r="BA192" s="72"/>
      <c r="BB192" s="72"/>
    </row>
    <row r="193" spans="3:54">
      <c r="C193" s="452"/>
      <c r="Q193" s="452"/>
      <c r="R193" s="452"/>
      <c r="S193" s="452"/>
      <c r="T193" s="452"/>
      <c r="U193" s="452"/>
      <c r="V193" s="452"/>
      <c r="W193" s="452"/>
      <c r="X193" s="452"/>
      <c r="Y193" s="452"/>
      <c r="Z193" s="452"/>
      <c r="AA193" s="452"/>
      <c r="AB193" s="453"/>
      <c r="AC193" s="453"/>
      <c r="AD193" s="453"/>
      <c r="AE193" s="453"/>
      <c r="AF193" s="452"/>
      <c r="AG193" s="452"/>
      <c r="AH193" s="452"/>
      <c r="AI193" s="452"/>
      <c r="AJ193" s="452"/>
      <c r="AK193" s="452"/>
      <c r="AL193" s="452"/>
      <c r="AM193" s="452"/>
      <c r="AN193" s="452"/>
      <c r="AO193" s="446"/>
      <c r="AP193" s="446"/>
      <c r="AQ193" s="446"/>
      <c r="AR193" s="446"/>
      <c r="AS193" s="446"/>
      <c r="AT193" s="72"/>
      <c r="AU193" s="72"/>
      <c r="AV193" s="72"/>
      <c r="AW193" s="72"/>
      <c r="AX193" s="72"/>
      <c r="AY193" s="72"/>
      <c r="AZ193" s="72"/>
      <c r="BA193" s="72"/>
      <c r="BB193" s="72"/>
    </row>
    <row r="194" spans="3:54">
      <c r="C194" s="452"/>
      <c r="Q194" s="452"/>
      <c r="R194" s="452"/>
      <c r="S194" s="452"/>
      <c r="T194" s="452"/>
      <c r="U194" s="452"/>
      <c r="V194" s="452"/>
      <c r="W194" s="452"/>
      <c r="X194" s="452"/>
      <c r="Y194" s="452"/>
      <c r="Z194" s="452"/>
      <c r="AA194" s="452"/>
      <c r="AB194" s="453"/>
      <c r="AC194" s="453"/>
      <c r="AD194" s="453"/>
      <c r="AE194" s="453"/>
      <c r="AF194" s="452"/>
      <c r="AG194" s="452"/>
      <c r="AH194" s="452"/>
      <c r="AI194" s="452"/>
      <c r="AJ194" s="452"/>
      <c r="AK194" s="452"/>
      <c r="AL194" s="452"/>
      <c r="AM194" s="452"/>
      <c r="AN194" s="452"/>
      <c r="AO194" s="446"/>
      <c r="AP194" s="446"/>
      <c r="AQ194" s="446"/>
      <c r="AR194" s="446"/>
      <c r="AS194" s="446"/>
      <c r="AT194" s="72"/>
      <c r="AU194" s="72"/>
      <c r="AV194" s="72"/>
      <c r="AW194" s="72"/>
      <c r="AX194" s="72"/>
      <c r="AY194" s="72"/>
      <c r="AZ194" s="72"/>
      <c r="BA194" s="72"/>
      <c r="BB194" s="72"/>
    </row>
    <row r="195" spans="3:54">
      <c r="C195" s="452"/>
      <c r="Q195" s="452"/>
      <c r="R195" s="452"/>
      <c r="S195" s="452"/>
      <c r="T195" s="452"/>
      <c r="U195" s="452"/>
      <c r="V195" s="452"/>
      <c r="W195" s="452"/>
      <c r="X195" s="452"/>
      <c r="Y195" s="452"/>
      <c r="Z195" s="452"/>
      <c r="AA195" s="452"/>
      <c r="AB195" s="453"/>
      <c r="AC195" s="453"/>
      <c r="AD195" s="453"/>
      <c r="AE195" s="453"/>
      <c r="AF195" s="452"/>
      <c r="AG195" s="452"/>
      <c r="AH195" s="452"/>
      <c r="AI195" s="452"/>
      <c r="AJ195" s="452"/>
      <c r="AK195" s="452"/>
      <c r="AL195" s="452"/>
      <c r="AM195" s="452"/>
      <c r="AN195" s="452"/>
      <c r="AO195" s="446"/>
      <c r="AP195" s="446"/>
      <c r="AQ195" s="446"/>
      <c r="AR195" s="446"/>
      <c r="AS195" s="446"/>
      <c r="AT195" s="72"/>
      <c r="AU195" s="72"/>
      <c r="AV195" s="72"/>
      <c r="AW195" s="72"/>
      <c r="AX195" s="72"/>
      <c r="AY195" s="72"/>
      <c r="AZ195" s="72"/>
      <c r="BA195" s="72"/>
      <c r="BB195" s="72"/>
    </row>
    <row r="196" spans="3:54">
      <c r="C196" s="452"/>
      <c r="Q196" s="452"/>
      <c r="R196" s="452"/>
      <c r="S196" s="452"/>
      <c r="T196" s="452"/>
      <c r="U196" s="452"/>
      <c r="V196" s="452"/>
      <c r="W196" s="452"/>
      <c r="X196" s="452"/>
      <c r="Y196" s="452"/>
      <c r="Z196" s="452"/>
      <c r="AA196" s="452"/>
      <c r="AB196" s="453"/>
      <c r="AC196" s="453"/>
      <c r="AD196" s="453"/>
      <c r="AE196" s="453"/>
      <c r="AF196" s="452"/>
      <c r="AG196" s="452"/>
      <c r="AH196" s="452"/>
      <c r="AI196" s="452"/>
      <c r="AJ196" s="452"/>
      <c r="AK196" s="452"/>
      <c r="AL196" s="452"/>
      <c r="AM196" s="452"/>
      <c r="AN196" s="452"/>
      <c r="AO196" s="446"/>
      <c r="AP196" s="446"/>
      <c r="AQ196" s="446"/>
      <c r="AR196" s="446"/>
      <c r="AS196" s="446"/>
      <c r="AT196" s="72"/>
      <c r="AU196" s="72"/>
      <c r="AV196" s="72"/>
      <c r="AW196" s="72"/>
      <c r="AX196" s="72"/>
      <c r="AY196" s="72"/>
      <c r="AZ196" s="72"/>
      <c r="BA196" s="72"/>
      <c r="BB196" s="72"/>
    </row>
    <row r="197" spans="3:54">
      <c r="C197" s="452"/>
      <c r="Q197" s="452"/>
      <c r="R197" s="452"/>
      <c r="S197" s="452"/>
      <c r="T197" s="452"/>
      <c r="U197" s="452"/>
      <c r="V197" s="452"/>
      <c r="W197" s="452"/>
      <c r="X197" s="452"/>
      <c r="Y197" s="452"/>
      <c r="Z197" s="452"/>
      <c r="AA197" s="452"/>
      <c r="AB197" s="453"/>
      <c r="AC197" s="453"/>
      <c r="AD197" s="453"/>
      <c r="AE197" s="453"/>
      <c r="AF197" s="452"/>
      <c r="AG197" s="452"/>
      <c r="AH197" s="452"/>
      <c r="AI197" s="452"/>
      <c r="AJ197" s="452"/>
      <c r="AK197" s="452"/>
      <c r="AL197" s="452"/>
      <c r="AM197" s="452"/>
      <c r="AN197" s="452"/>
      <c r="AO197" s="446"/>
      <c r="AP197" s="446"/>
      <c r="AQ197" s="446"/>
      <c r="AR197" s="446"/>
      <c r="AS197" s="446"/>
      <c r="AT197" s="72"/>
      <c r="AU197" s="72"/>
      <c r="AV197" s="72"/>
      <c r="AW197" s="72"/>
      <c r="AX197" s="72"/>
      <c r="AY197" s="72"/>
      <c r="AZ197" s="72"/>
      <c r="BA197" s="72"/>
      <c r="BB197" s="72"/>
    </row>
    <row r="198" spans="3:54">
      <c r="C198" s="452"/>
      <c r="Q198" s="452"/>
      <c r="R198" s="452"/>
      <c r="S198" s="452"/>
      <c r="T198" s="452"/>
      <c r="U198" s="452"/>
      <c r="V198" s="452"/>
      <c r="W198" s="452"/>
      <c r="X198" s="452"/>
      <c r="Y198" s="452"/>
      <c r="Z198" s="452"/>
      <c r="AA198" s="452"/>
      <c r="AB198" s="453"/>
      <c r="AC198" s="453"/>
      <c r="AD198" s="453"/>
      <c r="AE198" s="453"/>
      <c r="AF198" s="452"/>
      <c r="AG198" s="452"/>
      <c r="AH198" s="452"/>
      <c r="AI198" s="452"/>
      <c r="AJ198" s="452"/>
      <c r="AK198" s="452"/>
      <c r="AL198" s="452"/>
      <c r="AM198" s="452"/>
      <c r="AN198" s="452"/>
      <c r="AO198" s="446"/>
      <c r="AP198" s="446"/>
      <c r="AQ198" s="446"/>
      <c r="AR198" s="446"/>
      <c r="AS198" s="446"/>
      <c r="AT198" s="72"/>
      <c r="AU198" s="72"/>
      <c r="AV198" s="72"/>
      <c r="AW198" s="72"/>
      <c r="AX198" s="72"/>
      <c r="AY198" s="72"/>
      <c r="AZ198" s="72"/>
      <c r="BA198" s="72"/>
      <c r="BB198" s="72"/>
    </row>
    <row r="199" spans="3:54">
      <c r="C199" s="452"/>
      <c r="Q199" s="452"/>
      <c r="R199" s="452"/>
      <c r="S199" s="452"/>
      <c r="T199" s="452"/>
      <c r="U199" s="452"/>
      <c r="V199" s="452"/>
      <c r="W199" s="452"/>
      <c r="X199" s="452"/>
      <c r="Y199" s="452"/>
      <c r="Z199" s="452"/>
      <c r="AA199" s="452"/>
      <c r="AB199" s="453"/>
      <c r="AC199" s="453"/>
      <c r="AD199" s="453"/>
      <c r="AE199" s="453"/>
      <c r="AF199" s="452"/>
      <c r="AG199" s="452"/>
      <c r="AH199" s="452"/>
      <c r="AI199" s="452"/>
      <c r="AJ199" s="452"/>
      <c r="AK199" s="452"/>
      <c r="AL199" s="452"/>
      <c r="AM199" s="452"/>
      <c r="AN199" s="452"/>
      <c r="AO199" s="446"/>
      <c r="AP199" s="446"/>
      <c r="AQ199" s="446"/>
      <c r="AR199" s="446"/>
      <c r="AS199" s="446"/>
      <c r="AT199" s="72"/>
      <c r="AU199" s="72"/>
      <c r="AV199" s="72"/>
      <c r="AW199" s="72"/>
      <c r="AX199" s="72"/>
      <c r="AY199" s="72"/>
      <c r="AZ199" s="72"/>
      <c r="BA199" s="72"/>
      <c r="BB199" s="72"/>
    </row>
    <row r="200" spans="3:54">
      <c r="C200" s="452"/>
      <c r="Q200" s="452"/>
      <c r="R200" s="452"/>
      <c r="S200" s="452"/>
      <c r="T200" s="452"/>
      <c r="U200" s="452"/>
      <c r="V200" s="452"/>
      <c r="W200" s="452"/>
      <c r="X200" s="452"/>
      <c r="Y200" s="452"/>
      <c r="Z200" s="452"/>
      <c r="AA200" s="452"/>
      <c r="AB200" s="453"/>
      <c r="AC200" s="453"/>
      <c r="AD200" s="453"/>
      <c r="AE200" s="453"/>
      <c r="AF200" s="452"/>
      <c r="AG200" s="452"/>
      <c r="AH200" s="452"/>
      <c r="AI200" s="452"/>
      <c r="AJ200" s="452"/>
      <c r="AK200" s="452"/>
      <c r="AL200" s="452"/>
      <c r="AM200" s="452"/>
      <c r="AN200" s="452"/>
      <c r="AO200" s="446"/>
      <c r="AP200" s="446"/>
      <c r="AQ200" s="446"/>
      <c r="AR200" s="446"/>
      <c r="AS200" s="446"/>
      <c r="AT200" s="72"/>
      <c r="AU200" s="72"/>
      <c r="AV200" s="72"/>
      <c r="AW200" s="72"/>
      <c r="AX200" s="72"/>
      <c r="AY200" s="72"/>
      <c r="AZ200" s="72"/>
      <c r="BA200" s="72"/>
      <c r="BB200" s="72"/>
    </row>
    <row r="201" spans="3:54">
      <c r="C201" s="452"/>
      <c r="Q201" s="452"/>
      <c r="R201" s="452"/>
      <c r="S201" s="452"/>
      <c r="T201" s="452"/>
      <c r="U201" s="452"/>
      <c r="V201" s="452"/>
      <c r="W201" s="452"/>
      <c r="X201" s="452"/>
      <c r="Y201" s="452"/>
      <c r="Z201" s="452"/>
      <c r="AA201" s="452"/>
      <c r="AB201" s="453"/>
      <c r="AC201" s="453"/>
      <c r="AD201" s="453"/>
      <c r="AE201" s="453"/>
      <c r="AF201" s="452"/>
      <c r="AG201" s="452"/>
      <c r="AH201" s="452"/>
      <c r="AI201" s="452"/>
      <c r="AJ201" s="452"/>
      <c r="AK201" s="452"/>
      <c r="AL201" s="452"/>
      <c r="AM201" s="452"/>
      <c r="AN201" s="452"/>
      <c r="AO201" s="446"/>
      <c r="AP201" s="446"/>
      <c r="AQ201" s="446"/>
      <c r="AR201" s="446"/>
      <c r="AS201" s="446"/>
      <c r="AT201" s="72"/>
      <c r="AU201" s="72"/>
      <c r="AV201" s="72"/>
      <c r="AW201" s="72"/>
      <c r="AX201" s="72"/>
      <c r="AY201" s="72"/>
      <c r="AZ201" s="72"/>
      <c r="BA201" s="72"/>
      <c r="BB201" s="72"/>
    </row>
    <row r="202" spans="3:54">
      <c r="C202" s="452"/>
      <c r="Q202" s="452"/>
      <c r="R202" s="452"/>
      <c r="S202" s="452"/>
      <c r="T202" s="452"/>
      <c r="U202" s="452"/>
      <c r="V202" s="452"/>
      <c r="W202" s="452"/>
      <c r="X202" s="452"/>
      <c r="Y202" s="452"/>
      <c r="Z202" s="452"/>
      <c r="AA202" s="452"/>
      <c r="AB202" s="453"/>
      <c r="AC202" s="453"/>
      <c r="AD202" s="453"/>
      <c r="AE202" s="453"/>
      <c r="AF202" s="452"/>
      <c r="AG202" s="452"/>
      <c r="AH202" s="452"/>
      <c r="AI202" s="452"/>
      <c r="AJ202" s="452"/>
      <c r="AK202" s="452"/>
      <c r="AL202" s="452"/>
      <c r="AM202" s="452"/>
      <c r="AN202" s="452"/>
      <c r="AO202" s="446"/>
      <c r="AP202" s="446"/>
      <c r="AQ202" s="446"/>
      <c r="AR202" s="446"/>
      <c r="AS202" s="446"/>
      <c r="AT202" s="72"/>
      <c r="AU202" s="72"/>
      <c r="AV202" s="72"/>
      <c r="AW202" s="72"/>
      <c r="AX202" s="72"/>
      <c r="AY202" s="72"/>
      <c r="AZ202" s="72"/>
      <c r="BA202" s="72"/>
      <c r="BB202" s="72"/>
    </row>
    <row r="203" spans="3:54">
      <c r="C203" s="452"/>
      <c r="Q203" s="452"/>
      <c r="R203" s="452"/>
      <c r="S203" s="452"/>
      <c r="T203" s="452"/>
      <c r="U203" s="452"/>
      <c r="V203" s="452"/>
      <c r="W203" s="452"/>
      <c r="X203" s="452"/>
      <c r="Y203" s="452"/>
      <c r="Z203" s="452"/>
      <c r="AA203" s="452"/>
      <c r="AB203" s="453"/>
      <c r="AC203" s="453"/>
      <c r="AD203" s="453"/>
      <c r="AE203" s="453"/>
      <c r="AF203" s="452"/>
      <c r="AG203" s="452"/>
      <c r="AH203" s="452"/>
      <c r="AI203" s="452"/>
      <c r="AJ203" s="452"/>
      <c r="AK203" s="452"/>
      <c r="AL203" s="452"/>
      <c r="AM203" s="452"/>
      <c r="AN203" s="452"/>
      <c r="AO203" s="446"/>
      <c r="AP203" s="446"/>
      <c r="AQ203" s="446"/>
      <c r="AR203" s="446"/>
      <c r="AS203" s="446"/>
      <c r="AT203" s="72"/>
      <c r="AU203" s="72"/>
      <c r="AV203" s="72"/>
      <c r="AW203" s="72"/>
      <c r="AX203" s="72"/>
      <c r="AY203" s="72"/>
      <c r="AZ203" s="72"/>
      <c r="BA203" s="72"/>
      <c r="BB203" s="72"/>
    </row>
    <row r="204" spans="3:54">
      <c r="C204" s="452"/>
      <c r="Q204" s="452"/>
      <c r="R204" s="452"/>
      <c r="S204" s="452"/>
      <c r="T204" s="452"/>
      <c r="U204" s="452"/>
      <c r="V204" s="452"/>
      <c r="W204" s="452"/>
      <c r="X204" s="452"/>
      <c r="Y204" s="452"/>
      <c r="Z204" s="452"/>
      <c r="AA204" s="452"/>
      <c r="AB204" s="453"/>
      <c r="AC204" s="453"/>
      <c r="AD204" s="453"/>
      <c r="AE204" s="453"/>
      <c r="AF204" s="452"/>
      <c r="AG204" s="452"/>
      <c r="AH204" s="452"/>
      <c r="AI204" s="452"/>
      <c r="AJ204" s="452"/>
      <c r="AK204" s="452"/>
      <c r="AL204" s="452"/>
      <c r="AM204" s="452"/>
      <c r="AN204" s="452"/>
      <c r="AO204" s="446"/>
      <c r="AP204" s="446"/>
      <c r="AQ204" s="446"/>
      <c r="AR204" s="446"/>
      <c r="AS204" s="446"/>
      <c r="AT204" s="72"/>
      <c r="AU204" s="72"/>
      <c r="AV204" s="72"/>
      <c r="AW204" s="72"/>
      <c r="AX204" s="72"/>
      <c r="AY204" s="72"/>
      <c r="AZ204" s="72"/>
      <c r="BA204" s="72"/>
      <c r="BB204" s="72"/>
    </row>
    <row r="205" spans="3:54">
      <c r="C205" s="452"/>
      <c r="Q205" s="452"/>
      <c r="R205" s="452"/>
      <c r="S205" s="452"/>
      <c r="T205" s="452"/>
      <c r="U205" s="452"/>
      <c r="V205" s="452"/>
      <c r="W205" s="452"/>
      <c r="X205" s="452"/>
      <c r="Y205" s="452"/>
      <c r="Z205" s="452"/>
      <c r="AA205" s="452"/>
      <c r="AB205" s="453"/>
      <c r="AC205" s="453"/>
      <c r="AD205" s="453"/>
      <c r="AE205" s="453"/>
      <c r="AF205" s="452"/>
      <c r="AG205" s="452"/>
      <c r="AH205" s="452"/>
      <c r="AI205" s="452"/>
      <c r="AJ205" s="452"/>
      <c r="AK205" s="452"/>
      <c r="AL205" s="452"/>
      <c r="AM205" s="452"/>
      <c r="AN205" s="452"/>
      <c r="AO205" s="446"/>
      <c r="AP205" s="446"/>
      <c r="AQ205" s="446"/>
      <c r="AR205" s="446"/>
      <c r="AS205" s="446"/>
      <c r="AT205" s="72"/>
      <c r="AU205" s="72"/>
      <c r="AV205" s="72"/>
      <c r="AW205" s="72"/>
      <c r="AX205" s="72"/>
      <c r="AY205" s="72"/>
      <c r="AZ205" s="72"/>
      <c r="BA205" s="72"/>
      <c r="BB205" s="72"/>
    </row>
    <row r="206" spans="3:54">
      <c r="C206" s="452"/>
      <c r="Q206" s="452"/>
      <c r="R206" s="452"/>
      <c r="S206" s="452"/>
      <c r="T206" s="452"/>
      <c r="U206" s="452"/>
      <c r="V206" s="452"/>
      <c r="W206" s="452"/>
      <c r="X206" s="452"/>
      <c r="Y206" s="452"/>
      <c r="Z206" s="452"/>
      <c r="AA206" s="452"/>
      <c r="AB206" s="453"/>
      <c r="AC206" s="453"/>
      <c r="AD206" s="453"/>
      <c r="AE206" s="453"/>
      <c r="AF206" s="452"/>
      <c r="AG206" s="452"/>
      <c r="AH206" s="452"/>
      <c r="AI206" s="452"/>
      <c r="AJ206" s="452"/>
      <c r="AK206" s="452"/>
      <c r="AL206" s="452"/>
      <c r="AM206" s="452"/>
      <c r="AN206" s="452"/>
      <c r="AO206" s="446"/>
      <c r="AP206" s="446"/>
      <c r="AQ206" s="446"/>
      <c r="AR206" s="446"/>
      <c r="AS206" s="446"/>
      <c r="AT206" s="72"/>
      <c r="AU206" s="72"/>
      <c r="AV206" s="72"/>
      <c r="AW206" s="72"/>
      <c r="AX206" s="72"/>
      <c r="AY206" s="72"/>
      <c r="AZ206" s="72"/>
      <c r="BA206" s="72"/>
      <c r="BB206" s="72"/>
    </row>
    <row r="207" spans="3:54">
      <c r="C207" s="452"/>
      <c r="Q207" s="452"/>
      <c r="R207" s="452"/>
      <c r="S207" s="452"/>
      <c r="T207" s="452"/>
      <c r="U207" s="452"/>
      <c r="V207" s="452"/>
      <c r="W207" s="452"/>
      <c r="X207" s="452"/>
      <c r="Y207" s="452"/>
      <c r="Z207" s="452"/>
      <c r="AA207" s="452"/>
      <c r="AB207" s="453"/>
      <c r="AC207" s="453"/>
      <c r="AD207" s="453"/>
      <c r="AE207" s="453"/>
      <c r="AF207" s="452"/>
      <c r="AG207" s="452"/>
      <c r="AH207" s="452"/>
      <c r="AI207" s="452"/>
      <c r="AJ207" s="452"/>
      <c r="AK207" s="452"/>
      <c r="AL207" s="452"/>
      <c r="AM207" s="452"/>
      <c r="AN207" s="452"/>
      <c r="AO207" s="446"/>
      <c r="AP207" s="446"/>
      <c r="AQ207" s="446"/>
      <c r="AR207" s="446"/>
      <c r="AS207" s="446"/>
      <c r="AT207" s="72"/>
      <c r="AU207" s="72"/>
      <c r="AV207" s="72"/>
      <c r="AW207" s="72"/>
      <c r="AX207" s="72"/>
      <c r="AY207" s="72"/>
      <c r="AZ207" s="72"/>
      <c r="BA207" s="72"/>
      <c r="BB207" s="72"/>
    </row>
    <row r="208" spans="3:54">
      <c r="C208" s="452"/>
      <c r="Q208" s="452"/>
      <c r="R208" s="452"/>
      <c r="S208" s="452"/>
      <c r="T208" s="452"/>
      <c r="U208" s="452"/>
      <c r="V208" s="452"/>
      <c r="W208" s="452"/>
      <c r="X208" s="452"/>
      <c r="Y208" s="452"/>
      <c r="Z208" s="452"/>
      <c r="AA208" s="452"/>
      <c r="AB208" s="453"/>
      <c r="AC208" s="453"/>
      <c r="AD208" s="453"/>
      <c r="AE208" s="453"/>
      <c r="AF208" s="452"/>
      <c r="AG208" s="452"/>
      <c r="AH208" s="452"/>
      <c r="AI208" s="452"/>
      <c r="AJ208" s="452"/>
      <c r="AK208" s="452"/>
      <c r="AL208" s="452"/>
      <c r="AM208" s="452"/>
      <c r="AN208" s="452"/>
      <c r="AO208" s="446"/>
      <c r="AP208" s="446"/>
      <c r="AQ208" s="446"/>
      <c r="AR208" s="446"/>
      <c r="AS208" s="446"/>
      <c r="AT208" s="72"/>
      <c r="AU208" s="72"/>
      <c r="AV208" s="72"/>
      <c r="AW208" s="72"/>
      <c r="AX208" s="72"/>
      <c r="AY208" s="72"/>
      <c r="AZ208" s="72"/>
      <c r="BA208" s="72"/>
      <c r="BB208" s="72"/>
    </row>
    <row r="209" spans="3:54">
      <c r="C209" s="452"/>
      <c r="Q209" s="452"/>
      <c r="R209" s="452"/>
      <c r="S209" s="452"/>
      <c r="T209" s="452"/>
      <c r="U209" s="452"/>
      <c r="V209" s="452"/>
      <c r="W209" s="452"/>
      <c r="X209" s="452"/>
      <c r="Y209" s="452"/>
      <c r="Z209" s="452"/>
      <c r="AA209" s="452"/>
      <c r="AB209" s="453"/>
      <c r="AC209" s="453"/>
      <c r="AD209" s="453"/>
      <c r="AE209" s="453"/>
      <c r="AF209" s="452"/>
      <c r="AG209" s="452"/>
      <c r="AH209" s="452"/>
      <c r="AI209" s="452"/>
      <c r="AJ209" s="452"/>
      <c r="AK209" s="452"/>
      <c r="AL209" s="452"/>
      <c r="AM209" s="452"/>
      <c r="AN209" s="452"/>
      <c r="AO209" s="446"/>
      <c r="AP209" s="446"/>
      <c r="AQ209" s="446"/>
      <c r="AR209" s="446"/>
      <c r="AS209" s="446"/>
      <c r="AT209" s="72"/>
      <c r="AU209" s="72"/>
      <c r="AV209" s="72"/>
      <c r="AW209" s="72"/>
      <c r="AX209" s="72"/>
      <c r="AY209" s="72"/>
      <c r="AZ209" s="72"/>
      <c r="BA209" s="72"/>
      <c r="BB209" s="72"/>
    </row>
    <row r="210" spans="3:54">
      <c r="C210" s="452"/>
      <c r="Q210" s="452"/>
      <c r="R210" s="452"/>
      <c r="S210" s="452"/>
      <c r="T210" s="452"/>
      <c r="U210" s="452"/>
      <c r="V210" s="452"/>
      <c r="W210" s="452"/>
      <c r="X210" s="452"/>
      <c r="Y210" s="452"/>
      <c r="Z210" s="452"/>
      <c r="AA210" s="452"/>
      <c r="AB210" s="453"/>
      <c r="AC210" s="453"/>
      <c r="AD210" s="453"/>
      <c r="AE210" s="453"/>
      <c r="AF210" s="452"/>
      <c r="AG210" s="452"/>
      <c r="AH210" s="452"/>
      <c r="AI210" s="452"/>
      <c r="AJ210" s="452"/>
      <c r="AK210" s="452"/>
      <c r="AL210" s="452"/>
      <c r="AM210" s="452"/>
      <c r="AN210" s="452"/>
      <c r="AO210" s="446"/>
      <c r="AP210" s="446"/>
      <c r="AQ210" s="446"/>
      <c r="AR210" s="446"/>
      <c r="AS210" s="446"/>
      <c r="AT210" s="72"/>
      <c r="AU210" s="72"/>
      <c r="AV210" s="72"/>
      <c r="AW210" s="72"/>
      <c r="AX210" s="72"/>
      <c r="AY210" s="72"/>
      <c r="AZ210" s="72"/>
      <c r="BA210" s="72"/>
      <c r="BB210" s="72"/>
    </row>
    <row r="211" spans="3:54">
      <c r="C211" s="452"/>
      <c r="Q211" s="452"/>
      <c r="R211" s="452"/>
      <c r="S211" s="452"/>
      <c r="T211" s="452"/>
      <c r="U211" s="452"/>
      <c r="V211" s="452"/>
      <c r="W211" s="452"/>
      <c r="X211" s="452"/>
      <c r="Y211" s="452"/>
      <c r="Z211" s="452"/>
      <c r="AA211" s="452"/>
      <c r="AB211" s="453"/>
      <c r="AC211" s="453"/>
      <c r="AD211" s="453"/>
      <c r="AE211" s="453"/>
      <c r="AF211" s="452"/>
      <c r="AG211" s="452"/>
      <c r="AH211" s="452"/>
      <c r="AI211" s="452"/>
      <c r="AJ211" s="452"/>
      <c r="AK211" s="452"/>
      <c r="AL211" s="452"/>
      <c r="AM211" s="452"/>
      <c r="AN211" s="452"/>
      <c r="AO211" s="446"/>
      <c r="AP211" s="446"/>
      <c r="AQ211" s="446"/>
      <c r="AR211" s="446"/>
      <c r="AS211" s="446"/>
      <c r="AT211" s="72"/>
      <c r="AU211" s="72"/>
      <c r="AV211" s="72"/>
      <c r="AW211" s="72"/>
      <c r="AX211" s="72"/>
      <c r="AY211" s="72"/>
      <c r="AZ211" s="72"/>
      <c r="BA211" s="72"/>
      <c r="BB211" s="72"/>
    </row>
    <row r="212" spans="3:54">
      <c r="C212" s="452"/>
      <c r="Q212" s="452"/>
      <c r="R212" s="452"/>
      <c r="S212" s="452"/>
      <c r="T212" s="452"/>
      <c r="U212" s="452"/>
      <c r="V212" s="452"/>
      <c r="W212" s="452"/>
      <c r="X212" s="452"/>
      <c r="Y212" s="452"/>
      <c r="Z212" s="452"/>
      <c r="AA212" s="452"/>
      <c r="AB212" s="453"/>
      <c r="AC212" s="453"/>
      <c r="AD212" s="453"/>
      <c r="AE212" s="453"/>
      <c r="AF212" s="452"/>
      <c r="AG212" s="452"/>
      <c r="AH212" s="452"/>
      <c r="AI212" s="452"/>
      <c r="AJ212" s="452"/>
      <c r="AK212" s="452"/>
      <c r="AL212" s="452"/>
      <c r="AM212" s="452"/>
      <c r="AN212" s="452"/>
      <c r="AO212" s="446"/>
      <c r="AP212" s="446"/>
      <c r="AQ212" s="446"/>
      <c r="AR212" s="446"/>
      <c r="AS212" s="446"/>
      <c r="AT212" s="72"/>
      <c r="AU212" s="72"/>
      <c r="AV212" s="72"/>
      <c r="AW212" s="72"/>
      <c r="AX212" s="72"/>
      <c r="AY212" s="72"/>
      <c r="AZ212" s="72"/>
      <c r="BA212" s="72"/>
      <c r="BB212" s="72"/>
    </row>
    <row r="213" spans="3:54">
      <c r="C213" s="452"/>
      <c r="Q213" s="452"/>
      <c r="R213" s="452"/>
      <c r="S213" s="452"/>
      <c r="T213" s="452"/>
      <c r="U213" s="452"/>
      <c r="V213" s="452"/>
      <c r="W213" s="452"/>
      <c r="X213" s="452"/>
      <c r="Y213" s="452"/>
      <c r="Z213" s="452"/>
      <c r="AA213" s="452"/>
      <c r="AB213" s="453"/>
      <c r="AC213" s="453"/>
      <c r="AD213" s="453"/>
      <c r="AE213" s="453"/>
      <c r="AF213" s="452"/>
      <c r="AG213" s="452"/>
      <c r="AH213" s="452"/>
      <c r="AI213" s="452"/>
      <c r="AJ213" s="452"/>
      <c r="AK213" s="452"/>
      <c r="AL213" s="452"/>
      <c r="AM213" s="452"/>
      <c r="AN213" s="452"/>
      <c r="AO213" s="446"/>
      <c r="AP213" s="446"/>
      <c r="AQ213" s="446"/>
      <c r="AR213" s="446"/>
      <c r="AS213" s="446"/>
      <c r="AT213" s="72"/>
      <c r="AU213" s="72"/>
      <c r="AV213" s="72"/>
      <c r="AW213" s="72"/>
      <c r="AX213" s="72"/>
      <c r="AY213" s="72"/>
      <c r="AZ213" s="72"/>
      <c r="BA213" s="72"/>
      <c r="BB213" s="72"/>
    </row>
    <row r="214" spans="3:54">
      <c r="C214" s="452"/>
      <c r="Q214" s="452"/>
      <c r="R214" s="452"/>
      <c r="S214" s="452"/>
      <c r="T214" s="452"/>
      <c r="U214" s="452"/>
      <c r="V214" s="452"/>
      <c r="W214" s="452"/>
      <c r="X214" s="452"/>
      <c r="Y214" s="452"/>
      <c r="Z214" s="452"/>
      <c r="AA214" s="452"/>
      <c r="AB214" s="453"/>
      <c r="AC214" s="453"/>
      <c r="AD214" s="453"/>
      <c r="AE214" s="453"/>
      <c r="AF214" s="452"/>
      <c r="AG214" s="452"/>
      <c r="AH214" s="452"/>
      <c r="AI214" s="452"/>
      <c r="AJ214" s="452"/>
      <c r="AK214" s="452"/>
      <c r="AL214" s="452"/>
      <c r="AM214" s="452"/>
      <c r="AN214" s="452"/>
      <c r="AO214" s="446"/>
      <c r="AP214" s="446"/>
      <c r="AQ214" s="446"/>
      <c r="AR214" s="446"/>
      <c r="AS214" s="446"/>
      <c r="AT214" s="72"/>
      <c r="AU214" s="72"/>
      <c r="AV214" s="72"/>
      <c r="AW214" s="72"/>
      <c r="AX214" s="72"/>
      <c r="AY214" s="72"/>
      <c r="AZ214" s="72"/>
      <c r="BA214" s="72"/>
      <c r="BB214" s="72"/>
    </row>
    <row r="215" spans="3:54">
      <c r="C215" s="452"/>
      <c r="Q215" s="452"/>
      <c r="R215" s="452"/>
      <c r="S215" s="452"/>
      <c r="T215" s="452"/>
      <c r="U215" s="452"/>
      <c r="V215" s="452"/>
      <c r="W215" s="452"/>
      <c r="X215" s="452"/>
      <c r="Y215" s="452"/>
      <c r="Z215" s="452"/>
      <c r="AA215" s="452"/>
      <c r="AB215" s="453"/>
      <c r="AC215" s="453"/>
      <c r="AD215" s="453"/>
      <c r="AE215" s="453"/>
      <c r="AF215" s="452"/>
      <c r="AG215" s="452"/>
      <c r="AH215" s="452"/>
      <c r="AI215" s="452"/>
      <c r="AJ215" s="452"/>
      <c r="AK215" s="452"/>
      <c r="AL215" s="452"/>
      <c r="AM215" s="452"/>
      <c r="AN215" s="452"/>
      <c r="AO215" s="446"/>
      <c r="AP215" s="446"/>
      <c r="AQ215" s="446"/>
      <c r="AR215" s="446"/>
      <c r="AS215" s="446"/>
      <c r="AT215" s="72"/>
      <c r="AU215" s="72"/>
      <c r="AV215" s="72"/>
      <c r="AW215" s="72"/>
      <c r="AX215" s="72"/>
      <c r="AY215" s="72"/>
      <c r="AZ215" s="72"/>
      <c r="BA215" s="72"/>
      <c r="BB215" s="72"/>
    </row>
    <row r="216" spans="3:54">
      <c r="C216" s="452"/>
      <c r="Q216" s="452"/>
      <c r="R216" s="452"/>
      <c r="S216" s="452"/>
      <c r="T216" s="452"/>
      <c r="U216" s="452"/>
      <c r="V216" s="452"/>
      <c r="W216" s="452"/>
      <c r="X216" s="452"/>
      <c r="Y216" s="452"/>
      <c r="Z216" s="452"/>
      <c r="AA216" s="452"/>
      <c r="AB216" s="453"/>
      <c r="AC216" s="453"/>
      <c r="AD216" s="453"/>
      <c r="AE216" s="453"/>
      <c r="AF216" s="452"/>
      <c r="AG216" s="452"/>
      <c r="AH216" s="452"/>
      <c r="AI216" s="452"/>
      <c r="AJ216" s="452"/>
      <c r="AK216" s="452"/>
      <c r="AL216" s="452"/>
      <c r="AM216" s="452"/>
      <c r="AN216" s="452"/>
      <c r="AO216" s="446"/>
      <c r="AP216" s="446"/>
      <c r="AQ216" s="446"/>
      <c r="AR216" s="446"/>
      <c r="AS216" s="446"/>
      <c r="AT216" s="72"/>
      <c r="AU216" s="72"/>
      <c r="AV216" s="72"/>
      <c r="AW216" s="72"/>
      <c r="AX216" s="72"/>
      <c r="AY216" s="72"/>
      <c r="AZ216" s="72"/>
      <c r="BA216" s="72"/>
      <c r="BB216" s="72"/>
    </row>
    <row r="217" spans="3:54">
      <c r="C217" s="452"/>
      <c r="Q217" s="452"/>
      <c r="R217" s="452"/>
      <c r="S217" s="452"/>
      <c r="T217" s="452"/>
      <c r="U217" s="452"/>
      <c r="V217" s="452"/>
      <c r="W217" s="452"/>
      <c r="X217" s="452"/>
      <c r="Y217" s="452"/>
      <c r="Z217" s="452"/>
      <c r="AA217" s="452"/>
      <c r="AB217" s="453"/>
      <c r="AC217" s="453"/>
      <c r="AD217" s="453"/>
      <c r="AE217" s="453"/>
      <c r="AF217" s="452"/>
      <c r="AG217" s="452"/>
      <c r="AH217" s="452"/>
      <c r="AI217" s="452"/>
      <c r="AJ217" s="452"/>
      <c r="AK217" s="452"/>
      <c r="AL217" s="452"/>
      <c r="AM217" s="452"/>
      <c r="AN217" s="452"/>
      <c r="AO217" s="446"/>
      <c r="AP217" s="446"/>
      <c r="AQ217" s="446"/>
      <c r="AR217" s="446"/>
      <c r="AS217" s="446"/>
      <c r="AT217" s="72"/>
      <c r="AU217" s="72"/>
      <c r="AV217" s="72"/>
      <c r="AW217" s="72"/>
      <c r="AX217" s="72"/>
      <c r="AY217" s="72"/>
      <c r="AZ217" s="72"/>
      <c r="BA217" s="72"/>
      <c r="BB217" s="72"/>
    </row>
    <row r="218" spans="3:54">
      <c r="C218" s="452"/>
      <c r="Q218" s="452"/>
      <c r="R218" s="452"/>
      <c r="S218" s="452"/>
      <c r="T218" s="452"/>
      <c r="U218" s="452"/>
      <c r="V218" s="452"/>
      <c r="W218" s="452"/>
      <c r="X218" s="452"/>
      <c r="Y218" s="452"/>
      <c r="Z218" s="452"/>
      <c r="AA218" s="452"/>
      <c r="AB218" s="453"/>
      <c r="AC218" s="453"/>
      <c r="AD218" s="453"/>
      <c r="AE218" s="453"/>
      <c r="AF218" s="452"/>
      <c r="AG218" s="452"/>
      <c r="AH218" s="452"/>
      <c r="AI218" s="452"/>
      <c r="AJ218" s="452"/>
      <c r="AK218" s="452"/>
      <c r="AL218" s="452"/>
      <c r="AM218" s="452"/>
      <c r="AN218" s="452"/>
      <c r="AO218" s="446"/>
      <c r="AP218" s="446"/>
      <c r="AQ218" s="446"/>
      <c r="AR218" s="446"/>
      <c r="AS218" s="446"/>
      <c r="AT218" s="72"/>
      <c r="AU218" s="72"/>
      <c r="AV218" s="72"/>
      <c r="AW218" s="72"/>
      <c r="AX218" s="72"/>
      <c r="AY218" s="72"/>
      <c r="AZ218" s="72"/>
      <c r="BA218" s="72"/>
      <c r="BB218" s="72"/>
    </row>
    <row r="219" spans="3:54">
      <c r="C219" s="452"/>
      <c r="Q219" s="452"/>
      <c r="R219" s="452"/>
      <c r="S219" s="452"/>
      <c r="T219" s="452"/>
      <c r="U219" s="452"/>
      <c r="V219" s="452"/>
      <c r="W219" s="452"/>
      <c r="X219" s="452"/>
      <c r="Y219" s="452"/>
      <c r="Z219" s="452"/>
      <c r="AA219" s="452"/>
      <c r="AB219" s="453"/>
      <c r="AC219" s="453"/>
      <c r="AD219" s="453"/>
      <c r="AE219" s="453"/>
      <c r="AF219" s="452"/>
      <c r="AG219" s="452"/>
      <c r="AH219" s="452"/>
      <c r="AI219" s="452"/>
      <c r="AJ219" s="452"/>
      <c r="AK219" s="452"/>
      <c r="AL219" s="452"/>
      <c r="AM219" s="452"/>
      <c r="AN219" s="452"/>
      <c r="AO219" s="446"/>
      <c r="AP219" s="446"/>
      <c r="AQ219" s="446"/>
      <c r="AR219" s="446"/>
      <c r="AS219" s="446"/>
      <c r="AT219" s="72"/>
      <c r="AU219" s="72"/>
      <c r="AV219" s="72"/>
      <c r="AW219" s="72"/>
      <c r="AX219" s="72"/>
      <c r="AY219" s="72"/>
      <c r="AZ219" s="72"/>
      <c r="BA219" s="72"/>
      <c r="BB219" s="72"/>
    </row>
    <row r="220" spans="3:54">
      <c r="C220" s="452"/>
      <c r="Q220" s="452"/>
      <c r="R220" s="452"/>
      <c r="S220" s="452"/>
      <c r="T220" s="452"/>
      <c r="U220" s="452"/>
      <c r="V220" s="452"/>
      <c r="W220" s="452"/>
      <c r="X220" s="452"/>
      <c r="Y220" s="452"/>
      <c r="Z220" s="452"/>
      <c r="AA220" s="452"/>
      <c r="AB220" s="453"/>
      <c r="AC220" s="453"/>
      <c r="AD220" s="453"/>
      <c r="AE220" s="453"/>
      <c r="AF220" s="452"/>
      <c r="AG220" s="452"/>
      <c r="AH220" s="452"/>
      <c r="AI220" s="452"/>
      <c r="AJ220" s="452"/>
      <c r="AK220" s="452"/>
      <c r="AL220" s="452"/>
      <c r="AM220" s="452"/>
      <c r="AN220" s="452"/>
      <c r="AO220" s="446"/>
      <c r="AP220" s="446"/>
      <c r="AQ220" s="446"/>
      <c r="AR220" s="446"/>
      <c r="AS220" s="446"/>
      <c r="AT220" s="72"/>
      <c r="AU220" s="72"/>
      <c r="AV220" s="72"/>
      <c r="AW220" s="72"/>
      <c r="AX220" s="72"/>
      <c r="AY220" s="72"/>
      <c r="AZ220" s="72"/>
      <c r="BA220" s="72"/>
      <c r="BB220" s="72"/>
    </row>
    <row r="221" spans="3:54">
      <c r="C221" s="452"/>
      <c r="Q221" s="452"/>
      <c r="R221" s="452"/>
      <c r="S221" s="452"/>
      <c r="T221" s="452"/>
      <c r="U221" s="452"/>
      <c r="V221" s="452"/>
      <c r="W221" s="452"/>
      <c r="X221" s="452"/>
      <c r="Y221" s="452"/>
      <c r="Z221" s="452"/>
      <c r="AA221" s="452"/>
      <c r="AB221" s="453"/>
      <c r="AC221" s="453"/>
      <c r="AD221" s="453"/>
      <c r="AE221" s="453"/>
      <c r="AF221" s="452"/>
      <c r="AG221" s="452"/>
      <c r="AH221" s="452"/>
      <c r="AI221" s="452"/>
      <c r="AJ221" s="452"/>
      <c r="AK221" s="452"/>
      <c r="AL221" s="452"/>
      <c r="AM221" s="452"/>
      <c r="AN221" s="452"/>
      <c r="AO221" s="446"/>
      <c r="AP221" s="446"/>
      <c r="AQ221" s="446"/>
      <c r="AR221" s="446"/>
      <c r="AS221" s="446"/>
      <c r="AT221" s="72"/>
      <c r="AU221" s="72"/>
      <c r="AV221" s="72"/>
      <c r="AW221" s="72"/>
      <c r="AX221" s="72"/>
      <c r="AY221" s="72"/>
      <c r="AZ221" s="72"/>
      <c r="BA221" s="72"/>
      <c r="BB221" s="72"/>
    </row>
    <row r="222" spans="3:54">
      <c r="C222" s="452"/>
      <c r="Q222" s="452"/>
      <c r="R222" s="452"/>
      <c r="S222" s="452"/>
      <c r="T222" s="452"/>
      <c r="U222" s="452"/>
      <c r="V222" s="452"/>
      <c r="W222" s="452"/>
      <c r="X222" s="452"/>
      <c r="Y222" s="452"/>
      <c r="Z222" s="452"/>
      <c r="AA222" s="452"/>
      <c r="AB222" s="453"/>
      <c r="AC222" s="453"/>
      <c r="AD222" s="453"/>
      <c r="AE222" s="453"/>
      <c r="AF222" s="452"/>
      <c r="AG222" s="452"/>
      <c r="AH222" s="452"/>
      <c r="AI222" s="452"/>
      <c r="AJ222" s="452"/>
      <c r="AK222" s="452"/>
      <c r="AL222" s="452"/>
      <c r="AM222" s="452"/>
      <c r="AN222" s="452"/>
      <c r="AO222" s="446"/>
      <c r="AP222" s="446"/>
      <c r="AQ222" s="446"/>
      <c r="AR222" s="446"/>
      <c r="AS222" s="446"/>
      <c r="AT222" s="72"/>
      <c r="AU222" s="72"/>
      <c r="AV222" s="72"/>
      <c r="AW222" s="72"/>
      <c r="AX222" s="72"/>
      <c r="AY222" s="72"/>
      <c r="AZ222" s="72"/>
      <c r="BA222" s="72"/>
      <c r="BB222" s="72"/>
    </row>
    <row r="223" spans="3:54">
      <c r="C223" s="452"/>
      <c r="Q223" s="452"/>
      <c r="R223" s="452"/>
      <c r="S223" s="452"/>
      <c r="T223" s="452"/>
      <c r="U223" s="452"/>
      <c r="V223" s="452"/>
      <c r="W223" s="452"/>
      <c r="X223" s="452"/>
      <c r="Y223" s="452"/>
      <c r="Z223" s="452"/>
      <c r="AA223" s="452"/>
      <c r="AB223" s="453"/>
      <c r="AC223" s="453"/>
      <c r="AD223" s="453"/>
      <c r="AE223" s="453"/>
      <c r="AF223" s="452"/>
      <c r="AG223" s="452"/>
      <c r="AH223" s="452"/>
      <c r="AI223" s="452"/>
      <c r="AJ223" s="452"/>
      <c r="AK223" s="452"/>
      <c r="AL223" s="452"/>
      <c r="AM223" s="452"/>
      <c r="AN223" s="452"/>
      <c r="AO223" s="446"/>
      <c r="AP223" s="446"/>
      <c r="AQ223" s="446"/>
      <c r="AR223" s="446"/>
      <c r="AS223" s="446"/>
      <c r="AT223" s="72"/>
      <c r="AU223" s="72"/>
      <c r="AV223" s="72"/>
      <c r="AW223" s="72"/>
      <c r="AX223" s="72"/>
      <c r="AY223" s="72"/>
      <c r="AZ223" s="72"/>
      <c r="BA223" s="72"/>
      <c r="BB223" s="72"/>
    </row>
    <row r="224" spans="3:54">
      <c r="C224" s="452"/>
      <c r="Q224" s="452"/>
      <c r="R224" s="452"/>
      <c r="S224" s="452"/>
      <c r="T224" s="452"/>
      <c r="U224" s="452"/>
      <c r="V224" s="452"/>
      <c r="W224" s="452"/>
      <c r="X224" s="452"/>
      <c r="Y224" s="452"/>
      <c r="Z224" s="452"/>
      <c r="AA224" s="452"/>
      <c r="AB224" s="453"/>
      <c r="AC224" s="453"/>
      <c r="AD224" s="453"/>
      <c r="AE224" s="453"/>
      <c r="AF224" s="452"/>
      <c r="AG224" s="452"/>
      <c r="AH224" s="452"/>
      <c r="AI224" s="452"/>
      <c r="AJ224" s="452"/>
      <c r="AK224" s="452"/>
      <c r="AL224" s="452"/>
      <c r="AM224" s="452"/>
      <c r="AN224" s="452"/>
      <c r="AO224" s="446"/>
      <c r="AP224" s="446"/>
      <c r="AQ224" s="446"/>
      <c r="AR224" s="446"/>
      <c r="AS224" s="446"/>
      <c r="AT224" s="72"/>
      <c r="AU224" s="72"/>
      <c r="AV224" s="72"/>
      <c r="AW224" s="72"/>
      <c r="AX224" s="72"/>
      <c r="AY224" s="72"/>
      <c r="AZ224" s="72"/>
      <c r="BA224" s="72"/>
      <c r="BB224" s="72"/>
    </row>
    <row r="225" spans="3:54">
      <c r="C225" s="452"/>
      <c r="Q225" s="452"/>
      <c r="R225" s="452"/>
      <c r="S225" s="452"/>
      <c r="T225" s="452"/>
      <c r="U225" s="452"/>
      <c r="V225" s="452"/>
      <c r="W225" s="452"/>
      <c r="X225" s="452"/>
      <c r="Y225" s="452"/>
      <c r="Z225" s="452"/>
      <c r="AA225" s="452"/>
      <c r="AB225" s="453"/>
      <c r="AC225" s="453"/>
      <c r="AD225" s="453"/>
      <c r="AE225" s="453"/>
      <c r="AF225" s="452"/>
      <c r="AG225" s="452"/>
      <c r="AH225" s="452"/>
      <c r="AI225" s="452"/>
      <c r="AJ225" s="452"/>
      <c r="AK225" s="452"/>
      <c r="AL225" s="452"/>
      <c r="AM225" s="452"/>
      <c r="AN225" s="452"/>
      <c r="AO225" s="446"/>
      <c r="AP225" s="446"/>
      <c r="AQ225" s="446"/>
      <c r="AR225" s="446"/>
      <c r="AS225" s="446"/>
      <c r="AT225" s="72"/>
      <c r="AU225" s="72"/>
      <c r="AV225" s="72"/>
      <c r="AW225" s="72"/>
      <c r="AX225" s="72"/>
      <c r="AY225" s="72"/>
      <c r="AZ225" s="72"/>
      <c r="BA225" s="72"/>
      <c r="BB225" s="72"/>
    </row>
    <row r="226" spans="3:54">
      <c r="C226" s="452"/>
      <c r="Q226" s="452"/>
      <c r="R226" s="452"/>
      <c r="S226" s="452"/>
      <c r="T226" s="452"/>
      <c r="U226" s="452"/>
      <c r="V226" s="452"/>
      <c r="W226" s="452"/>
      <c r="X226" s="452"/>
      <c r="Y226" s="452"/>
      <c r="Z226" s="452"/>
      <c r="AA226" s="452"/>
      <c r="AB226" s="453"/>
      <c r="AC226" s="453"/>
      <c r="AD226" s="453"/>
      <c r="AE226" s="453"/>
      <c r="AF226" s="452"/>
      <c r="AG226" s="452"/>
      <c r="AH226" s="452"/>
      <c r="AI226" s="452"/>
      <c r="AJ226" s="452"/>
      <c r="AK226" s="452"/>
      <c r="AL226" s="452"/>
      <c r="AM226" s="452"/>
      <c r="AN226" s="452"/>
      <c r="AO226" s="446"/>
      <c r="AP226" s="446"/>
      <c r="AQ226" s="446"/>
      <c r="AR226" s="446"/>
      <c r="AS226" s="446"/>
      <c r="AT226" s="72"/>
      <c r="AU226" s="72"/>
      <c r="AV226" s="72"/>
      <c r="AW226" s="72"/>
      <c r="AX226" s="72"/>
      <c r="AY226" s="72"/>
      <c r="AZ226" s="72"/>
      <c r="BA226" s="72"/>
      <c r="BB226" s="72"/>
    </row>
    <row r="227" spans="3:54">
      <c r="C227" s="452"/>
      <c r="Q227" s="452"/>
      <c r="R227" s="452"/>
      <c r="S227" s="452"/>
      <c r="T227" s="452"/>
      <c r="U227" s="452"/>
      <c r="V227" s="452"/>
      <c r="W227" s="452"/>
      <c r="X227" s="452"/>
      <c r="Y227" s="452"/>
      <c r="Z227" s="452"/>
      <c r="AA227" s="452"/>
      <c r="AB227" s="453"/>
      <c r="AC227" s="453"/>
      <c r="AD227" s="453"/>
      <c r="AE227" s="453"/>
      <c r="AF227" s="452"/>
      <c r="AG227" s="452"/>
      <c r="AH227" s="452"/>
      <c r="AI227" s="452"/>
      <c r="AJ227" s="452"/>
      <c r="AK227" s="452"/>
      <c r="AL227" s="452"/>
      <c r="AM227" s="452"/>
      <c r="AN227" s="452"/>
      <c r="AO227" s="446"/>
      <c r="AP227" s="446"/>
      <c r="AQ227" s="446"/>
      <c r="AR227" s="446"/>
      <c r="AS227" s="446"/>
      <c r="AT227" s="72"/>
      <c r="AU227" s="72"/>
      <c r="AV227" s="72"/>
      <c r="AW227" s="72"/>
      <c r="AX227" s="72"/>
      <c r="AY227" s="72"/>
      <c r="AZ227" s="72"/>
      <c r="BA227" s="72"/>
      <c r="BB227" s="72"/>
    </row>
    <row r="228" spans="3:54">
      <c r="C228" s="452"/>
      <c r="Q228" s="452"/>
      <c r="R228" s="452"/>
      <c r="S228" s="452"/>
      <c r="T228" s="452"/>
      <c r="U228" s="452"/>
      <c r="V228" s="452"/>
      <c r="W228" s="452"/>
      <c r="X228" s="452"/>
      <c r="Y228" s="452"/>
      <c r="Z228" s="452"/>
      <c r="AA228" s="452"/>
      <c r="AB228" s="453"/>
      <c r="AC228" s="453"/>
      <c r="AD228" s="453"/>
      <c r="AE228" s="453"/>
      <c r="AF228" s="452"/>
      <c r="AG228" s="452"/>
      <c r="AH228" s="452"/>
      <c r="AI228" s="452"/>
      <c r="AJ228" s="452"/>
      <c r="AK228" s="452"/>
      <c r="AL228" s="452"/>
      <c r="AM228" s="452"/>
      <c r="AN228" s="452"/>
      <c r="AO228" s="446"/>
      <c r="AP228" s="446"/>
      <c r="AQ228" s="446"/>
      <c r="AR228" s="446"/>
      <c r="AS228" s="446"/>
      <c r="AT228" s="72"/>
      <c r="AU228" s="72"/>
      <c r="AV228" s="72"/>
      <c r="AW228" s="72"/>
      <c r="AX228" s="72"/>
      <c r="AY228" s="72"/>
      <c r="AZ228" s="72"/>
      <c r="BA228" s="72"/>
      <c r="BB228" s="72"/>
    </row>
    <row r="229" spans="3:54">
      <c r="C229" s="452"/>
      <c r="Q229" s="452"/>
      <c r="R229" s="452"/>
      <c r="S229" s="452"/>
      <c r="T229" s="452"/>
      <c r="U229" s="452"/>
      <c r="V229" s="452"/>
      <c r="W229" s="452"/>
      <c r="X229" s="452"/>
      <c r="Y229" s="452"/>
      <c r="Z229" s="452"/>
      <c r="AA229" s="452"/>
      <c r="AB229" s="453"/>
      <c r="AC229" s="453"/>
      <c r="AD229" s="453"/>
      <c r="AE229" s="453"/>
      <c r="AF229" s="452"/>
      <c r="AG229" s="452"/>
      <c r="AH229" s="452"/>
      <c r="AI229" s="452"/>
      <c r="AJ229" s="452"/>
      <c r="AK229" s="452"/>
      <c r="AL229" s="452"/>
      <c r="AM229" s="452"/>
      <c r="AN229" s="452"/>
      <c r="AO229" s="446"/>
      <c r="AP229" s="446"/>
      <c r="AQ229" s="446"/>
      <c r="AR229" s="446"/>
      <c r="AS229" s="446"/>
      <c r="AT229" s="72"/>
      <c r="AU229" s="72"/>
      <c r="AV229" s="72"/>
      <c r="AW229" s="72"/>
      <c r="AX229" s="72"/>
      <c r="AY229" s="72"/>
      <c r="AZ229" s="72"/>
      <c r="BA229" s="72"/>
      <c r="BB229" s="72"/>
    </row>
    <row r="230" spans="3:54">
      <c r="C230" s="452"/>
      <c r="Q230" s="452"/>
      <c r="R230" s="452"/>
      <c r="S230" s="452"/>
      <c r="T230" s="452"/>
      <c r="U230" s="452"/>
      <c r="V230" s="452"/>
      <c r="W230" s="452"/>
      <c r="X230" s="452"/>
      <c r="Y230" s="452"/>
      <c r="Z230" s="452"/>
      <c r="AA230" s="452"/>
      <c r="AB230" s="453"/>
      <c r="AC230" s="453"/>
      <c r="AD230" s="453"/>
      <c r="AE230" s="453"/>
      <c r="AF230" s="452"/>
      <c r="AG230" s="452"/>
      <c r="AH230" s="452"/>
      <c r="AI230" s="452"/>
      <c r="AJ230" s="452"/>
      <c r="AK230" s="452"/>
      <c r="AL230" s="452"/>
      <c r="AM230" s="452"/>
      <c r="AN230" s="452"/>
      <c r="AO230" s="446"/>
      <c r="AP230" s="446"/>
      <c r="AQ230" s="446"/>
      <c r="AR230" s="446"/>
      <c r="AS230" s="446"/>
      <c r="AT230" s="72"/>
      <c r="AU230" s="72"/>
      <c r="AV230" s="72"/>
      <c r="AW230" s="72"/>
      <c r="AX230" s="72"/>
      <c r="AY230" s="72"/>
      <c r="AZ230" s="72"/>
      <c r="BA230" s="72"/>
      <c r="BB230" s="72"/>
    </row>
    <row r="231" spans="3:54">
      <c r="C231" s="452"/>
      <c r="Q231" s="452"/>
      <c r="R231" s="452"/>
      <c r="S231" s="452"/>
      <c r="T231" s="452"/>
      <c r="U231" s="452"/>
      <c r="V231" s="452"/>
      <c r="W231" s="452"/>
      <c r="X231" s="452"/>
      <c r="Y231" s="452"/>
      <c r="Z231" s="452"/>
      <c r="AA231" s="452"/>
      <c r="AB231" s="453"/>
      <c r="AC231" s="453"/>
      <c r="AD231" s="453"/>
      <c r="AE231" s="453"/>
      <c r="AF231" s="452"/>
      <c r="AG231" s="452"/>
      <c r="AH231" s="452"/>
      <c r="AI231" s="452"/>
      <c r="AJ231" s="452"/>
      <c r="AK231" s="452"/>
      <c r="AL231" s="452"/>
      <c r="AM231" s="452"/>
      <c r="AN231" s="452"/>
      <c r="AO231" s="446"/>
      <c r="AP231" s="446"/>
      <c r="AQ231" s="446"/>
      <c r="AR231" s="446"/>
      <c r="AS231" s="446"/>
      <c r="AT231" s="72"/>
      <c r="AU231" s="72"/>
      <c r="AV231" s="72"/>
      <c r="AW231" s="72"/>
      <c r="AX231" s="72"/>
      <c r="AY231" s="72"/>
      <c r="AZ231" s="72"/>
      <c r="BA231" s="72"/>
      <c r="BB231" s="72"/>
    </row>
    <row r="232" spans="3:54">
      <c r="C232" s="452"/>
      <c r="Q232" s="452"/>
      <c r="R232" s="452"/>
      <c r="S232" s="452"/>
      <c r="T232" s="452"/>
      <c r="U232" s="452"/>
      <c r="V232" s="452"/>
      <c r="W232" s="452"/>
      <c r="X232" s="452"/>
      <c r="Y232" s="452"/>
      <c r="Z232" s="452"/>
      <c r="AA232" s="452"/>
      <c r="AB232" s="453"/>
      <c r="AC232" s="453"/>
      <c r="AD232" s="453"/>
      <c r="AE232" s="453"/>
      <c r="AF232" s="452"/>
      <c r="AG232" s="452"/>
      <c r="AH232" s="452"/>
      <c r="AI232" s="452"/>
      <c r="AJ232" s="452"/>
      <c r="AK232" s="452"/>
      <c r="AL232" s="452"/>
      <c r="AM232" s="452"/>
      <c r="AN232" s="452"/>
      <c r="AO232" s="446"/>
      <c r="AP232" s="446"/>
      <c r="AQ232" s="446"/>
      <c r="AR232" s="446"/>
      <c r="AS232" s="446"/>
      <c r="AT232" s="72"/>
      <c r="AU232" s="72"/>
      <c r="AV232" s="72"/>
      <c r="AW232" s="72"/>
      <c r="AX232" s="72"/>
      <c r="AY232" s="72"/>
      <c r="AZ232" s="72"/>
      <c r="BA232" s="72"/>
      <c r="BB232" s="72"/>
    </row>
    <row r="233" spans="3:54">
      <c r="C233" s="452"/>
      <c r="Q233" s="452"/>
      <c r="R233" s="452"/>
      <c r="S233" s="452"/>
      <c r="T233" s="452"/>
      <c r="U233" s="452"/>
      <c r="V233" s="452"/>
      <c r="W233" s="452"/>
      <c r="X233" s="452"/>
      <c r="Y233" s="452"/>
      <c r="Z233" s="452"/>
      <c r="AA233" s="452"/>
      <c r="AB233" s="453"/>
      <c r="AC233" s="453"/>
      <c r="AD233" s="453"/>
      <c r="AE233" s="453"/>
      <c r="AF233" s="452"/>
      <c r="AG233" s="452"/>
      <c r="AH233" s="452"/>
      <c r="AI233" s="452"/>
      <c r="AJ233" s="452"/>
      <c r="AK233" s="452"/>
      <c r="AL233" s="452"/>
      <c r="AM233" s="452"/>
      <c r="AN233" s="452"/>
      <c r="AO233" s="446"/>
      <c r="AP233" s="446"/>
      <c r="AQ233" s="446"/>
      <c r="AR233" s="446"/>
      <c r="AS233" s="446"/>
      <c r="AT233" s="72"/>
      <c r="AU233" s="72"/>
      <c r="AV233" s="72"/>
      <c r="AW233" s="72"/>
      <c r="AX233" s="72"/>
      <c r="AY233" s="72"/>
      <c r="AZ233" s="72"/>
      <c r="BA233" s="72"/>
      <c r="BB233" s="72"/>
    </row>
    <row r="234" spans="3:54">
      <c r="C234" s="452"/>
      <c r="Q234" s="452"/>
      <c r="R234" s="452"/>
      <c r="S234" s="452"/>
      <c r="T234" s="452"/>
      <c r="U234" s="452"/>
      <c r="V234" s="452"/>
      <c r="W234" s="452"/>
      <c r="X234" s="452"/>
      <c r="Y234" s="452"/>
      <c r="Z234" s="452"/>
      <c r="AA234" s="452"/>
      <c r="AB234" s="453"/>
      <c r="AC234" s="453"/>
      <c r="AD234" s="453"/>
      <c r="AE234" s="453"/>
      <c r="AF234" s="452"/>
      <c r="AG234" s="452"/>
      <c r="AH234" s="452"/>
      <c r="AI234" s="452"/>
      <c r="AJ234" s="452"/>
      <c r="AK234" s="452"/>
      <c r="AL234" s="452"/>
      <c r="AM234" s="452"/>
      <c r="AN234" s="452"/>
      <c r="AO234" s="446"/>
      <c r="AP234" s="446"/>
      <c r="AQ234" s="446"/>
      <c r="AR234" s="446"/>
      <c r="AS234" s="446"/>
      <c r="AT234" s="72"/>
      <c r="AU234" s="72"/>
      <c r="AV234" s="72"/>
      <c r="AW234" s="72"/>
      <c r="AX234" s="72"/>
      <c r="AY234" s="72"/>
      <c r="AZ234" s="72"/>
      <c r="BA234" s="72"/>
      <c r="BB234" s="72"/>
    </row>
    <row r="235" spans="3:54">
      <c r="C235" s="452"/>
      <c r="Q235" s="452"/>
      <c r="R235" s="452"/>
      <c r="S235" s="452"/>
      <c r="T235" s="452"/>
      <c r="U235" s="452"/>
      <c r="V235" s="452"/>
      <c r="W235" s="452"/>
      <c r="X235" s="452"/>
      <c r="Y235" s="452"/>
      <c r="Z235" s="452"/>
      <c r="AA235" s="452"/>
      <c r="AB235" s="453"/>
      <c r="AC235" s="453"/>
      <c r="AD235" s="453"/>
      <c r="AE235" s="453"/>
      <c r="AF235" s="452"/>
      <c r="AG235" s="452"/>
      <c r="AH235" s="452"/>
      <c r="AI235" s="452"/>
      <c r="AJ235" s="452"/>
      <c r="AK235" s="452"/>
      <c r="AL235" s="452"/>
      <c r="AM235" s="452"/>
      <c r="AN235" s="452"/>
      <c r="AO235" s="446"/>
      <c r="AP235" s="446"/>
      <c r="AQ235" s="446"/>
      <c r="AR235" s="446"/>
      <c r="AS235" s="446"/>
      <c r="AT235" s="72"/>
      <c r="AU235" s="72"/>
      <c r="AV235" s="72"/>
      <c r="AW235" s="72"/>
      <c r="AX235" s="72"/>
      <c r="AY235" s="72"/>
      <c r="AZ235" s="72"/>
      <c r="BA235" s="72"/>
      <c r="BB235" s="72"/>
    </row>
    <row r="236" spans="3:54">
      <c r="C236" s="452"/>
      <c r="Q236" s="452"/>
      <c r="R236" s="452"/>
      <c r="S236" s="452"/>
      <c r="T236" s="452"/>
      <c r="U236" s="452"/>
      <c r="V236" s="452"/>
      <c r="W236" s="452"/>
      <c r="X236" s="452"/>
      <c r="Y236" s="452"/>
      <c r="Z236" s="452"/>
      <c r="AA236" s="452"/>
      <c r="AB236" s="453"/>
      <c r="AC236" s="453"/>
      <c r="AD236" s="453"/>
      <c r="AE236" s="453"/>
      <c r="AF236" s="452"/>
      <c r="AG236" s="452"/>
      <c r="AH236" s="452"/>
      <c r="AI236" s="452"/>
      <c r="AJ236" s="452"/>
      <c r="AK236" s="452"/>
      <c r="AL236" s="452"/>
      <c r="AM236" s="452"/>
      <c r="AN236" s="452"/>
      <c r="AO236" s="446"/>
      <c r="AP236" s="446"/>
      <c r="AQ236" s="446"/>
      <c r="AR236" s="446"/>
      <c r="AS236" s="446"/>
      <c r="AT236" s="72"/>
      <c r="AU236" s="72"/>
      <c r="AV236" s="72"/>
      <c r="AW236" s="72"/>
      <c r="AX236" s="72"/>
      <c r="AY236" s="72"/>
      <c r="AZ236" s="72"/>
      <c r="BA236" s="72"/>
      <c r="BB236" s="72"/>
    </row>
    <row r="237" spans="3:54">
      <c r="C237" s="452"/>
      <c r="Q237" s="452"/>
      <c r="R237" s="452"/>
      <c r="S237" s="452"/>
      <c r="T237" s="452"/>
      <c r="U237" s="452"/>
      <c r="V237" s="452"/>
      <c r="W237" s="452"/>
      <c r="X237" s="452"/>
      <c r="Y237" s="452"/>
      <c r="Z237" s="452"/>
      <c r="AA237" s="452"/>
      <c r="AB237" s="453"/>
      <c r="AC237" s="453"/>
      <c r="AD237" s="453"/>
      <c r="AE237" s="453"/>
      <c r="AF237" s="452"/>
      <c r="AG237" s="452"/>
      <c r="AH237" s="452"/>
      <c r="AI237" s="452"/>
      <c r="AJ237" s="452"/>
      <c r="AK237" s="452"/>
      <c r="AL237" s="452"/>
      <c r="AM237" s="452"/>
      <c r="AN237" s="452"/>
      <c r="AO237" s="446"/>
      <c r="AP237" s="446"/>
      <c r="AQ237" s="446"/>
      <c r="AR237" s="446"/>
      <c r="AS237" s="446"/>
      <c r="AT237" s="72"/>
      <c r="AU237" s="72"/>
      <c r="AV237" s="72"/>
      <c r="AW237" s="72"/>
      <c r="AX237" s="72"/>
      <c r="AY237" s="72"/>
      <c r="AZ237" s="72"/>
      <c r="BA237" s="72"/>
      <c r="BB237" s="72"/>
    </row>
    <row r="238" spans="3:54">
      <c r="C238" s="452"/>
      <c r="Q238" s="452"/>
      <c r="R238" s="452"/>
      <c r="S238" s="452"/>
      <c r="T238" s="452"/>
      <c r="U238" s="452"/>
      <c r="V238" s="452"/>
      <c r="W238" s="452"/>
      <c r="X238" s="452"/>
      <c r="Y238" s="452"/>
      <c r="Z238" s="452"/>
      <c r="AA238" s="452"/>
      <c r="AB238" s="453"/>
      <c r="AC238" s="453"/>
      <c r="AD238" s="453"/>
      <c r="AE238" s="453"/>
      <c r="AF238" s="452"/>
      <c r="AG238" s="452"/>
      <c r="AH238" s="452"/>
      <c r="AI238" s="452"/>
      <c r="AJ238" s="452"/>
      <c r="AK238" s="452"/>
      <c r="AL238" s="452"/>
      <c r="AM238" s="452"/>
      <c r="AN238" s="452"/>
      <c r="AO238" s="446"/>
      <c r="AP238" s="446"/>
      <c r="AQ238" s="446"/>
      <c r="AR238" s="446"/>
      <c r="AS238" s="446"/>
      <c r="AT238" s="72"/>
      <c r="AU238" s="72"/>
      <c r="AV238" s="72"/>
      <c r="AW238" s="72"/>
      <c r="AX238" s="72"/>
      <c r="AY238" s="72"/>
      <c r="AZ238" s="72"/>
      <c r="BA238" s="72"/>
      <c r="BB238" s="72"/>
    </row>
    <row r="239" spans="3:54">
      <c r="C239" s="452"/>
      <c r="Q239" s="452"/>
      <c r="R239" s="452"/>
      <c r="S239" s="452"/>
      <c r="T239" s="452"/>
      <c r="U239" s="452"/>
      <c r="V239" s="452"/>
      <c r="W239" s="452"/>
      <c r="X239" s="452"/>
      <c r="Y239" s="452"/>
      <c r="Z239" s="452"/>
      <c r="AA239" s="452"/>
      <c r="AB239" s="453"/>
      <c r="AC239" s="453"/>
      <c r="AD239" s="453"/>
      <c r="AE239" s="453"/>
      <c r="AF239" s="452"/>
      <c r="AG239" s="452"/>
      <c r="AH239" s="452"/>
      <c r="AI239" s="452"/>
      <c r="AJ239" s="452"/>
      <c r="AK239" s="452"/>
      <c r="AL239" s="452"/>
      <c r="AM239" s="452"/>
      <c r="AN239" s="452"/>
      <c r="AO239" s="446"/>
      <c r="AP239" s="446"/>
      <c r="AQ239" s="446"/>
      <c r="AR239" s="446"/>
      <c r="AS239" s="446"/>
      <c r="AT239" s="72"/>
      <c r="AU239" s="72"/>
      <c r="AV239" s="72"/>
      <c r="AW239" s="72"/>
      <c r="AX239" s="72"/>
      <c r="AY239" s="72"/>
      <c r="AZ239" s="72"/>
      <c r="BA239" s="72"/>
      <c r="BB239" s="72"/>
    </row>
    <row r="240" spans="3:54">
      <c r="C240" s="452"/>
      <c r="Q240" s="452"/>
      <c r="R240" s="452"/>
      <c r="S240" s="452"/>
      <c r="T240" s="452"/>
      <c r="U240" s="452"/>
      <c r="V240" s="452"/>
      <c r="W240" s="452"/>
      <c r="X240" s="452"/>
      <c r="Y240" s="452"/>
      <c r="Z240" s="452"/>
      <c r="AA240" s="452"/>
      <c r="AB240" s="453"/>
      <c r="AC240" s="453"/>
      <c r="AD240" s="453"/>
      <c r="AE240" s="453"/>
      <c r="AF240" s="452"/>
      <c r="AG240" s="452"/>
      <c r="AH240" s="452"/>
      <c r="AI240" s="452"/>
      <c r="AJ240" s="452"/>
      <c r="AK240" s="452"/>
      <c r="AL240" s="452"/>
      <c r="AM240" s="452"/>
      <c r="AN240" s="452"/>
      <c r="AO240" s="446"/>
      <c r="AP240" s="446"/>
      <c r="AQ240" s="446"/>
      <c r="AR240" s="446"/>
      <c r="AS240" s="446"/>
      <c r="AT240" s="72"/>
      <c r="AU240" s="72"/>
      <c r="AV240" s="72"/>
      <c r="AW240" s="72"/>
      <c r="AX240" s="72"/>
      <c r="AY240" s="72"/>
      <c r="AZ240" s="72"/>
      <c r="BA240" s="72"/>
      <c r="BB240" s="72"/>
    </row>
    <row r="241" spans="3:54">
      <c r="C241" s="452"/>
      <c r="Q241" s="452"/>
      <c r="R241" s="452"/>
      <c r="S241" s="452"/>
      <c r="T241" s="452"/>
      <c r="U241" s="452"/>
      <c r="V241" s="452"/>
      <c r="W241" s="452"/>
      <c r="X241" s="452"/>
      <c r="Y241" s="452"/>
      <c r="Z241" s="452"/>
      <c r="AA241" s="452"/>
      <c r="AB241" s="453"/>
      <c r="AC241" s="453"/>
      <c r="AD241" s="453"/>
      <c r="AE241" s="453"/>
      <c r="AF241" s="452"/>
      <c r="AG241" s="452"/>
      <c r="AH241" s="452"/>
      <c r="AI241" s="452"/>
      <c r="AJ241" s="452"/>
      <c r="AK241" s="452"/>
      <c r="AL241" s="452"/>
      <c r="AM241" s="452"/>
      <c r="AN241" s="452"/>
      <c r="AO241" s="446"/>
      <c r="AP241" s="446"/>
      <c r="AQ241" s="446"/>
      <c r="AR241" s="446"/>
      <c r="AS241" s="446"/>
      <c r="AT241" s="72"/>
      <c r="AU241" s="72"/>
      <c r="AV241" s="72"/>
      <c r="AW241" s="72"/>
      <c r="AX241" s="72"/>
      <c r="AY241" s="72"/>
      <c r="AZ241" s="72"/>
      <c r="BA241" s="72"/>
      <c r="BB241" s="72"/>
    </row>
    <row r="242" spans="3:54">
      <c r="C242" s="452"/>
      <c r="Q242" s="452"/>
      <c r="R242" s="452"/>
      <c r="S242" s="452"/>
      <c r="T242" s="452"/>
      <c r="U242" s="452"/>
      <c r="V242" s="452"/>
      <c r="W242" s="452"/>
      <c r="X242" s="452"/>
      <c r="Y242" s="452"/>
      <c r="Z242" s="452"/>
      <c r="AA242" s="452"/>
      <c r="AB242" s="453"/>
      <c r="AC242" s="453"/>
      <c r="AD242" s="453"/>
      <c r="AE242" s="453"/>
      <c r="AF242" s="452"/>
      <c r="AG242" s="452"/>
      <c r="AH242" s="452"/>
      <c r="AI242" s="452"/>
      <c r="AJ242" s="452"/>
      <c r="AK242" s="452"/>
      <c r="AL242" s="452"/>
      <c r="AM242" s="452"/>
      <c r="AN242" s="452"/>
      <c r="AO242" s="446"/>
      <c r="AP242" s="446"/>
      <c r="AQ242" s="446"/>
      <c r="AR242" s="446"/>
      <c r="AS242" s="446"/>
      <c r="AT242" s="72"/>
      <c r="AU242" s="72"/>
      <c r="AV242" s="72"/>
      <c r="AW242" s="72"/>
      <c r="AX242" s="72"/>
      <c r="AY242" s="72"/>
      <c r="AZ242" s="72"/>
      <c r="BA242" s="72"/>
      <c r="BB242" s="72"/>
    </row>
    <row r="243" spans="3:54">
      <c r="C243" s="452"/>
      <c r="Q243" s="452"/>
      <c r="R243" s="452"/>
      <c r="S243" s="452"/>
      <c r="T243" s="452"/>
      <c r="U243" s="452"/>
      <c r="V243" s="452"/>
      <c r="W243" s="452"/>
      <c r="X243" s="452"/>
      <c r="Y243" s="452"/>
      <c r="Z243" s="452"/>
      <c r="AA243" s="452"/>
      <c r="AB243" s="453"/>
      <c r="AC243" s="453"/>
      <c r="AD243" s="453"/>
      <c r="AE243" s="453"/>
      <c r="AF243" s="452"/>
      <c r="AG243" s="452"/>
      <c r="AH243" s="452"/>
      <c r="AI243" s="452"/>
      <c r="AJ243" s="452"/>
      <c r="AK243" s="452"/>
      <c r="AL243" s="452"/>
      <c r="AM243" s="452"/>
      <c r="AN243" s="452"/>
      <c r="AO243" s="446"/>
      <c r="AP243" s="446"/>
      <c r="AQ243" s="446"/>
      <c r="AR243" s="446"/>
      <c r="AS243" s="446"/>
      <c r="AT243" s="72"/>
      <c r="AU243" s="72"/>
      <c r="AV243" s="72"/>
      <c r="AW243" s="72"/>
      <c r="AX243" s="72"/>
      <c r="AY243" s="72"/>
      <c r="AZ243" s="72"/>
      <c r="BA243" s="72"/>
      <c r="BB243" s="72"/>
    </row>
    <row r="244" spans="3:54">
      <c r="C244" s="452"/>
      <c r="Q244" s="452"/>
      <c r="R244" s="452"/>
      <c r="S244" s="452"/>
      <c r="T244" s="452"/>
      <c r="U244" s="452"/>
      <c r="V244" s="452"/>
      <c r="W244" s="452"/>
      <c r="X244" s="452"/>
      <c r="Y244" s="452"/>
      <c r="Z244" s="452"/>
      <c r="AA244" s="452"/>
      <c r="AB244" s="453"/>
      <c r="AC244" s="453"/>
      <c r="AD244" s="453"/>
      <c r="AE244" s="453"/>
      <c r="AF244" s="452"/>
      <c r="AG244" s="452"/>
      <c r="AH244" s="452"/>
      <c r="AI244" s="452"/>
      <c r="AJ244" s="452"/>
      <c r="AK244" s="452"/>
      <c r="AL244" s="452"/>
      <c r="AM244" s="452"/>
      <c r="AN244" s="452"/>
      <c r="AO244" s="446"/>
      <c r="AP244" s="446"/>
      <c r="AQ244" s="446"/>
      <c r="AR244" s="446"/>
      <c r="AS244" s="446"/>
      <c r="AT244" s="72"/>
      <c r="AU244" s="72"/>
      <c r="AV244" s="72"/>
      <c r="AW244" s="72"/>
      <c r="AX244" s="72"/>
      <c r="AY244" s="72"/>
      <c r="AZ244" s="72"/>
      <c r="BA244" s="72"/>
      <c r="BB244" s="72"/>
    </row>
    <row r="245" spans="3:54">
      <c r="C245" s="452"/>
      <c r="Q245" s="452"/>
      <c r="R245" s="452"/>
      <c r="S245" s="452"/>
      <c r="T245" s="452"/>
      <c r="U245" s="452"/>
      <c r="V245" s="452"/>
      <c r="W245" s="452"/>
      <c r="X245" s="452"/>
      <c r="Y245" s="452"/>
      <c r="Z245" s="452"/>
      <c r="AA245" s="452"/>
      <c r="AB245" s="453"/>
      <c r="AC245" s="453"/>
      <c r="AD245" s="453"/>
      <c r="AE245" s="453"/>
      <c r="AF245" s="452"/>
      <c r="AG245" s="452"/>
      <c r="AH245" s="452"/>
      <c r="AI245" s="452"/>
      <c r="AJ245" s="452"/>
      <c r="AK245" s="452"/>
      <c r="AL245" s="452"/>
      <c r="AM245" s="452"/>
      <c r="AN245" s="452"/>
      <c r="AO245" s="446"/>
      <c r="AP245" s="446"/>
      <c r="AQ245" s="446"/>
      <c r="AR245" s="446"/>
      <c r="AS245" s="446"/>
      <c r="AT245" s="72"/>
      <c r="AU245" s="72"/>
      <c r="AV245" s="72"/>
      <c r="AW245" s="72"/>
      <c r="AX245" s="72"/>
      <c r="AY245" s="72"/>
      <c r="AZ245" s="72"/>
      <c r="BA245" s="72"/>
      <c r="BB245" s="72"/>
    </row>
    <row r="246" spans="3:54">
      <c r="C246" s="452"/>
      <c r="Q246" s="452"/>
      <c r="R246" s="452"/>
      <c r="S246" s="452"/>
      <c r="T246" s="452"/>
      <c r="U246" s="452"/>
      <c r="V246" s="452"/>
      <c r="W246" s="452"/>
      <c r="X246" s="452"/>
      <c r="Y246" s="452"/>
      <c r="Z246" s="452"/>
      <c r="AA246" s="452"/>
      <c r="AB246" s="453"/>
      <c r="AC246" s="453"/>
      <c r="AD246" s="453"/>
      <c r="AE246" s="453"/>
      <c r="AF246" s="452"/>
      <c r="AG246" s="452"/>
      <c r="AH246" s="452"/>
      <c r="AI246" s="452"/>
      <c r="AJ246" s="452"/>
      <c r="AK246" s="452"/>
      <c r="AL246" s="452"/>
      <c r="AM246" s="452"/>
      <c r="AN246" s="452"/>
      <c r="AO246" s="446"/>
      <c r="AP246" s="446"/>
      <c r="AQ246" s="446"/>
      <c r="AR246" s="446"/>
      <c r="AS246" s="446"/>
      <c r="AT246" s="72"/>
      <c r="AU246" s="72"/>
      <c r="AV246" s="72"/>
      <c r="AW246" s="72"/>
      <c r="AX246" s="72"/>
      <c r="AY246" s="72"/>
      <c r="AZ246" s="72"/>
      <c r="BA246" s="72"/>
      <c r="BB246" s="72"/>
    </row>
    <row r="247" spans="3:54">
      <c r="C247" s="452"/>
      <c r="Q247" s="452"/>
      <c r="R247" s="452"/>
      <c r="S247" s="452"/>
      <c r="T247" s="452"/>
      <c r="U247" s="452"/>
      <c r="V247" s="452"/>
      <c r="W247" s="452"/>
      <c r="X247" s="452"/>
      <c r="Y247" s="452"/>
      <c r="Z247" s="452"/>
      <c r="AA247" s="452"/>
      <c r="AB247" s="453"/>
      <c r="AC247" s="453"/>
      <c r="AD247" s="453"/>
      <c r="AE247" s="453"/>
      <c r="AF247" s="452"/>
      <c r="AG247" s="452"/>
      <c r="AH247" s="452"/>
      <c r="AI247" s="452"/>
      <c r="AJ247" s="452"/>
      <c r="AK247" s="452"/>
      <c r="AL247" s="452"/>
      <c r="AM247" s="452"/>
      <c r="AN247" s="452"/>
      <c r="AO247" s="446"/>
      <c r="AP247" s="446"/>
      <c r="AQ247" s="446"/>
      <c r="AR247" s="446"/>
      <c r="AS247" s="446"/>
      <c r="AT247" s="72"/>
      <c r="AU247" s="72"/>
      <c r="AV247" s="72"/>
      <c r="AW247" s="72"/>
      <c r="AX247" s="72"/>
      <c r="AY247" s="72"/>
      <c r="AZ247" s="72"/>
      <c r="BA247" s="72"/>
      <c r="BB247" s="72"/>
    </row>
    <row r="248" spans="3:54">
      <c r="C248" s="452"/>
      <c r="Q248" s="452"/>
      <c r="R248" s="452"/>
      <c r="S248" s="452"/>
      <c r="T248" s="452"/>
      <c r="U248" s="452"/>
      <c r="V248" s="452"/>
      <c r="W248" s="452"/>
      <c r="X248" s="452"/>
      <c r="Y248" s="452"/>
      <c r="Z248" s="452"/>
      <c r="AA248" s="452"/>
      <c r="AB248" s="453"/>
      <c r="AC248" s="453"/>
      <c r="AD248" s="453"/>
      <c r="AE248" s="453"/>
      <c r="AF248" s="452"/>
      <c r="AG248" s="452"/>
      <c r="AH248" s="452"/>
      <c r="AI248" s="452"/>
      <c r="AJ248" s="452"/>
      <c r="AK248" s="452"/>
      <c r="AL248" s="452"/>
      <c r="AM248" s="452"/>
      <c r="AN248" s="452"/>
      <c r="AO248" s="446"/>
      <c r="AP248" s="446"/>
      <c r="AQ248" s="446"/>
      <c r="AR248" s="446"/>
      <c r="AS248" s="446"/>
      <c r="AT248" s="72"/>
      <c r="AU248" s="72"/>
      <c r="AV248" s="72"/>
      <c r="AW248" s="72"/>
      <c r="AX248" s="72"/>
      <c r="AY248" s="72"/>
      <c r="AZ248" s="72"/>
      <c r="BA248" s="72"/>
      <c r="BB248" s="72"/>
    </row>
    <row r="249" spans="3:54">
      <c r="C249" s="452"/>
      <c r="Q249" s="452"/>
      <c r="R249" s="452"/>
      <c r="S249" s="452"/>
      <c r="T249" s="452"/>
      <c r="U249" s="452"/>
      <c r="V249" s="452"/>
      <c r="W249" s="452"/>
      <c r="X249" s="452"/>
      <c r="Y249" s="452"/>
      <c r="Z249" s="452"/>
      <c r="AA249" s="452"/>
      <c r="AB249" s="453"/>
      <c r="AC249" s="453"/>
      <c r="AD249" s="453"/>
      <c r="AE249" s="453"/>
      <c r="AF249" s="452"/>
      <c r="AG249" s="452"/>
      <c r="AH249" s="452"/>
      <c r="AI249" s="452"/>
      <c r="AJ249" s="452"/>
      <c r="AK249" s="452"/>
      <c r="AL249" s="452"/>
      <c r="AM249" s="452"/>
      <c r="AN249" s="452"/>
      <c r="AO249" s="446"/>
      <c r="AP249" s="446"/>
      <c r="AQ249" s="446"/>
      <c r="AR249" s="446"/>
      <c r="AS249" s="446"/>
      <c r="AT249" s="72"/>
      <c r="AU249" s="72"/>
      <c r="AV249" s="72"/>
      <c r="AW249" s="72"/>
      <c r="AX249" s="72"/>
      <c r="AY249" s="72"/>
      <c r="AZ249" s="72"/>
      <c r="BA249" s="72"/>
      <c r="BB249" s="72"/>
    </row>
    <row r="250" spans="3:54">
      <c r="C250" s="452"/>
      <c r="Q250" s="452"/>
      <c r="R250" s="452"/>
      <c r="S250" s="452"/>
      <c r="T250" s="452"/>
      <c r="U250" s="452"/>
      <c r="V250" s="452"/>
      <c r="W250" s="452"/>
      <c r="X250" s="452"/>
      <c r="Y250" s="452"/>
      <c r="Z250" s="452"/>
      <c r="AA250" s="452"/>
      <c r="AB250" s="453"/>
      <c r="AC250" s="453"/>
      <c r="AD250" s="453"/>
      <c r="AE250" s="453"/>
      <c r="AF250" s="452"/>
      <c r="AG250" s="452"/>
      <c r="AH250" s="452"/>
      <c r="AI250" s="452"/>
      <c r="AJ250" s="452"/>
      <c r="AK250" s="452"/>
      <c r="AL250" s="452"/>
      <c r="AM250" s="452"/>
      <c r="AN250" s="452"/>
      <c r="AO250" s="446"/>
      <c r="AP250" s="446"/>
      <c r="AQ250" s="446"/>
      <c r="AR250" s="446"/>
      <c r="AS250" s="446"/>
      <c r="AT250" s="72"/>
      <c r="AU250" s="72"/>
      <c r="AV250" s="72"/>
      <c r="AW250" s="72"/>
      <c r="AX250" s="72"/>
      <c r="AY250" s="72"/>
      <c r="AZ250" s="72"/>
      <c r="BA250" s="72"/>
      <c r="BB250" s="72"/>
    </row>
    <row r="251" spans="3:54">
      <c r="C251" s="452"/>
      <c r="Q251" s="452"/>
      <c r="R251" s="452"/>
      <c r="S251" s="452"/>
      <c r="T251" s="452"/>
      <c r="U251" s="452"/>
      <c r="V251" s="452"/>
      <c r="W251" s="452"/>
      <c r="X251" s="452"/>
      <c r="Y251" s="452"/>
      <c r="Z251" s="452"/>
      <c r="AA251" s="452"/>
      <c r="AB251" s="453"/>
      <c r="AC251" s="453"/>
      <c r="AD251" s="453"/>
      <c r="AE251" s="453"/>
      <c r="AF251" s="452"/>
      <c r="AG251" s="452"/>
      <c r="AH251" s="452"/>
      <c r="AI251" s="452"/>
      <c r="AJ251" s="452"/>
      <c r="AK251" s="452"/>
      <c r="AL251" s="452"/>
      <c r="AM251" s="452"/>
      <c r="AN251" s="452"/>
      <c r="AO251" s="446"/>
      <c r="AP251" s="446"/>
      <c r="AQ251" s="446"/>
      <c r="AR251" s="446"/>
      <c r="AS251" s="446"/>
      <c r="AT251" s="72"/>
      <c r="AU251" s="72"/>
      <c r="AV251" s="72"/>
      <c r="AW251" s="72"/>
      <c r="AX251" s="72"/>
      <c r="AY251" s="72"/>
      <c r="AZ251" s="72"/>
      <c r="BA251" s="72"/>
      <c r="BB251" s="72"/>
    </row>
    <row r="252" spans="3:54">
      <c r="C252" s="452"/>
      <c r="Q252" s="452"/>
      <c r="R252" s="452"/>
      <c r="S252" s="452"/>
      <c r="T252" s="452"/>
      <c r="U252" s="452"/>
      <c r="V252" s="452"/>
      <c r="W252" s="452"/>
      <c r="X252" s="452"/>
      <c r="Y252" s="452"/>
      <c r="Z252" s="452"/>
      <c r="AA252" s="452"/>
      <c r="AB252" s="453"/>
      <c r="AC252" s="453"/>
      <c r="AD252" s="453"/>
      <c r="AE252" s="453"/>
      <c r="AF252" s="452"/>
      <c r="AG252" s="452"/>
      <c r="AH252" s="452"/>
      <c r="AI252" s="452"/>
      <c r="AJ252" s="452"/>
      <c r="AK252" s="452"/>
      <c r="AL252" s="452"/>
      <c r="AM252" s="452"/>
      <c r="AN252" s="452"/>
      <c r="AO252" s="446"/>
      <c r="AP252" s="446"/>
      <c r="AQ252" s="446"/>
      <c r="AR252" s="446"/>
      <c r="AS252" s="446"/>
      <c r="AT252" s="72"/>
      <c r="AU252" s="72"/>
      <c r="AV252" s="72"/>
      <c r="AW252" s="72"/>
      <c r="AX252" s="72"/>
      <c r="AY252" s="72"/>
      <c r="AZ252" s="72"/>
      <c r="BA252" s="72"/>
      <c r="BB252" s="72"/>
    </row>
    <row r="253" spans="3:54">
      <c r="C253" s="452"/>
      <c r="Q253" s="452"/>
      <c r="R253" s="452"/>
      <c r="S253" s="452"/>
      <c r="T253" s="452"/>
      <c r="U253" s="452"/>
      <c r="V253" s="452"/>
      <c r="W253" s="452"/>
      <c r="X253" s="452"/>
      <c r="Y253" s="452"/>
      <c r="Z253" s="452"/>
      <c r="AA253" s="452"/>
      <c r="AB253" s="453"/>
      <c r="AC253" s="453"/>
      <c r="AD253" s="453"/>
      <c r="AE253" s="453"/>
      <c r="AF253" s="452"/>
      <c r="AG253" s="452"/>
      <c r="AH253" s="452"/>
      <c r="AI253" s="452"/>
      <c r="AJ253" s="452"/>
      <c r="AK253" s="452"/>
      <c r="AL253" s="452"/>
      <c r="AM253" s="452"/>
      <c r="AN253" s="452"/>
      <c r="AO253" s="446"/>
      <c r="AP253" s="446"/>
      <c r="AQ253" s="446"/>
      <c r="AR253" s="446"/>
      <c r="AS253" s="446"/>
      <c r="AT253" s="72"/>
      <c r="AU253" s="72"/>
      <c r="AV253" s="72"/>
      <c r="AW253" s="72"/>
      <c r="AX253" s="72"/>
      <c r="AY253" s="72"/>
      <c r="AZ253" s="72"/>
      <c r="BA253" s="72"/>
      <c r="BB253" s="72"/>
    </row>
    <row r="254" spans="3:54">
      <c r="C254" s="452"/>
      <c r="Q254" s="452"/>
      <c r="R254" s="452"/>
      <c r="S254" s="452"/>
      <c r="T254" s="452"/>
      <c r="U254" s="452"/>
      <c r="V254" s="452"/>
      <c r="W254" s="452"/>
      <c r="X254" s="452"/>
      <c r="Y254" s="452"/>
      <c r="Z254" s="452"/>
      <c r="AA254" s="452"/>
      <c r="AB254" s="453"/>
      <c r="AC254" s="453"/>
      <c r="AD254" s="453"/>
      <c r="AE254" s="453"/>
      <c r="AF254" s="452"/>
      <c r="AG254" s="452"/>
      <c r="AH254" s="452"/>
      <c r="AI254" s="452"/>
      <c r="AJ254" s="452"/>
      <c r="AK254" s="452"/>
      <c r="AL254" s="452"/>
      <c r="AM254" s="452"/>
      <c r="AN254" s="452"/>
      <c r="AO254" s="446"/>
      <c r="AP254" s="446"/>
      <c r="AQ254" s="446"/>
      <c r="AR254" s="446"/>
      <c r="AS254" s="446"/>
      <c r="AT254" s="72"/>
      <c r="AU254" s="72"/>
      <c r="AV254" s="72"/>
      <c r="AW254" s="72"/>
      <c r="AX254" s="72"/>
      <c r="AY254" s="72"/>
      <c r="AZ254" s="72"/>
      <c r="BA254" s="72"/>
      <c r="BB254" s="72"/>
    </row>
    <row r="255" spans="3:54">
      <c r="C255" s="452"/>
      <c r="Q255" s="452"/>
      <c r="R255" s="452"/>
      <c r="S255" s="452"/>
      <c r="T255" s="452"/>
      <c r="U255" s="452"/>
      <c r="V255" s="452"/>
      <c r="W255" s="452"/>
      <c r="X255" s="452"/>
      <c r="Y255" s="452"/>
      <c r="Z255" s="452"/>
      <c r="AA255" s="452"/>
      <c r="AB255" s="453"/>
      <c r="AC255" s="453"/>
      <c r="AD255" s="453"/>
      <c r="AE255" s="453"/>
      <c r="AF255" s="452"/>
      <c r="AG255" s="452"/>
      <c r="AH255" s="452"/>
      <c r="AI255" s="452"/>
      <c r="AJ255" s="452"/>
      <c r="AK255" s="452"/>
      <c r="AL255" s="452"/>
      <c r="AM255" s="452"/>
      <c r="AN255" s="452"/>
      <c r="AO255" s="446"/>
      <c r="AP255" s="446"/>
      <c r="AQ255" s="446"/>
      <c r="AR255" s="446"/>
      <c r="AS255" s="446"/>
      <c r="AT255" s="72"/>
      <c r="AU255" s="72"/>
      <c r="AV255" s="72"/>
      <c r="AW255" s="72"/>
      <c r="AX255" s="72"/>
      <c r="AY255" s="72"/>
      <c r="AZ255" s="72"/>
      <c r="BA255" s="72"/>
      <c r="BB255" s="72"/>
    </row>
    <row r="256" spans="3:54">
      <c r="C256" s="452"/>
      <c r="Q256" s="452"/>
      <c r="R256" s="452"/>
      <c r="S256" s="452"/>
      <c r="T256" s="452"/>
      <c r="U256" s="452"/>
      <c r="V256" s="452"/>
      <c r="W256" s="452"/>
      <c r="X256" s="452"/>
      <c r="Y256" s="452"/>
      <c r="Z256" s="452"/>
      <c r="AA256" s="452"/>
      <c r="AB256" s="453"/>
      <c r="AC256" s="453"/>
      <c r="AD256" s="453"/>
      <c r="AE256" s="453"/>
      <c r="AF256" s="452"/>
      <c r="AG256" s="452"/>
      <c r="AH256" s="452"/>
      <c r="AI256" s="452"/>
      <c r="AJ256" s="452"/>
      <c r="AK256" s="452"/>
      <c r="AL256" s="452"/>
      <c r="AM256" s="452"/>
      <c r="AN256" s="452"/>
      <c r="AO256" s="446"/>
      <c r="AP256" s="446"/>
      <c r="AQ256" s="446"/>
      <c r="AR256" s="446"/>
      <c r="AS256" s="446"/>
      <c r="AT256" s="72"/>
      <c r="AU256" s="72"/>
      <c r="AV256" s="72"/>
      <c r="AW256" s="72"/>
      <c r="AX256" s="72"/>
      <c r="AY256" s="72"/>
      <c r="AZ256" s="72"/>
      <c r="BA256" s="72"/>
      <c r="BB256" s="72"/>
    </row>
    <row r="257" spans="3:54">
      <c r="C257" s="452"/>
      <c r="Q257" s="452"/>
      <c r="R257" s="452"/>
      <c r="S257" s="452"/>
      <c r="T257" s="452"/>
      <c r="U257" s="452"/>
      <c r="V257" s="452"/>
      <c r="W257" s="452"/>
      <c r="X257" s="452"/>
      <c r="Y257" s="452"/>
      <c r="Z257" s="452"/>
      <c r="AA257" s="452"/>
      <c r="AB257" s="453"/>
      <c r="AC257" s="453"/>
      <c r="AD257" s="453"/>
      <c r="AE257" s="453"/>
      <c r="AF257" s="452"/>
      <c r="AG257" s="452"/>
      <c r="AH257" s="452"/>
      <c r="AI257" s="452"/>
      <c r="AJ257" s="452"/>
      <c r="AK257" s="452"/>
      <c r="AL257" s="452"/>
      <c r="AM257" s="452"/>
      <c r="AN257" s="452"/>
      <c r="AO257" s="446"/>
      <c r="AP257" s="446"/>
      <c r="AQ257" s="446"/>
      <c r="AR257" s="446"/>
      <c r="AS257" s="446"/>
      <c r="AT257" s="72"/>
      <c r="AU257" s="72"/>
      <c r="AV257" s="72"/>
      <c r="AW257" s="72"/>
      <c r="AX257" s="72"/>
      <c r="AY257" s="72"/>
      <c r="AZ257" s="72"/>
      <c r="BA257" s="72"/>
      <c r="BB257" s="72"/>
    </row>
    <row r="258" spans="3:54">
      <c r="C258" s="452"/>
      <c r="Q258" s="452"/>
      <c r="R258" s="452"/>
      <c r="S258" s="452"/>
      <c r="T258" s="452"/>
      <c r="U258" s="452"/>
      <c r="V258" s="452"/>
      <c r="W258" s="452"/>
      <c r="X258" s="452"/>
      <c r="Y258" s="452"/>
      <c r="Z258" s="452"/>
      <c r="AA258" s="452"/>
      <c r="AB258" s="453"/>
      <c r="AC258" s="453"/>
      <c r="AD258" s="453"/>
      <c r="AE258" s="453"/>
      <c r="AF258" s="452"/>
      <c r="AG258" s="452"/>
      <c r="AH258" s="452"/>
      <c r="AI258" s="452"/>
      <c r="AJ258" s="452"/>
      <c r="AK258" s="452"/>
      <c r="AL258" s="452"/>
      <c r="AM258" s="452"/>
      <c r="AN258" s="452"/>
      <c r="AO258" s="446"/>
      <c r="AP258" s="446"/>
      <c r="AQ258" s="446"/>
      <c r="AR258" s="446"/>
      <c r="AS258" s="446"/>
      <c r="AT258" s="72"/>
      <c r="AU258" s="72"/>
      <c r="AV258" s="72"/>
      <c r="AW258" s="72"/>
      <c r="AX258" s="72"/>
      <c r="AY258" s="72"/>
      <c r="AZ258" s="72"/>
      <c r="BA258" s="72"/>
      <c r="BB258" s="72"/>
    </row>
    <row r="259" spans="3:54">
      <c r="C259" s="452"/>
      <c r="Q259" s="452"/>
      <c r="R259" s="452"/>
      <c r="S259" s="452"/>
      <c r="T259" s="452"/>
      <c r="U259" s="452"/>
      <c r="V259" s="452"/>
      <c r="W259" s="452"/>
      <c r="X259" s="452"/>
      <c r="Y259" s="452"/>
      <c r="Z259" s="452"/>
      <c r="AA259" s="452"/>
      <c r="AB259" s="453"/>
      <c r="AC259" s="453"/>
      <c r="AD259" s="453"/>
      <c r="AE259" s="453"/>
      <c r="AF259" s="452"/>
      <c r="AG259" s="452"/>
      <c r="AH259" s="452"/>
      <c r="AI259" s="452"/>
      <c r="AJ259" s="452"/>
      <c r="AK259" s="452"/>
      <c r="AL259" s="452"/>
      <c r="AM259" s="452"/>
      <c r="AN259" s="452"/>
      <c r="AO259" s="446"/>
      <c r="AP259" s="446"/>
      <c r="AQ259" s="446"/>
      <c r="AR259" s="446"/>
      <c r="AS259" s="446"/>
      <c r="AT259" s="72"/>
      <c r="AU259" s="72"/>
      <c r="AV259" s="72"/>
      <c r="AW259" s="72"/>
      <c r="AX259" s="72"/>
      <c r="AY259" s="72"/>
      <c r="AZ259" s="72"/>
      <c r="BA259" s="72"/>
      <c r="BB259" s="72"/>
    </row>
    <row r="260" spans="3:54">
      <c r="C260" s="452"/>
      <c r="Q260" s="452"/>
      <c r="R260" s="452"/>
      <c r="S260" s="452"/>
      <c r="T260" s="452"/>
      <c r="U260" s="452"/>
      <c r="V260" s="452"/>
      <c r="W260" s="452"/>
      <c r="X260" s="452"/>
      <c r="Y260" s="452"/>
      <c r="Z260" s="452"/>
      <c r="AA260" s="452"/>
      <c r="AB260" s="453"/>
      <c r="AC260" s="453"/>
      <c r="AD260" s="453"/>
      <c r="AE260" s="453"/>
      <c r="AF260" s="452"/>
      <c r="AG260" s="452"/>
      <c r="AH260" s="452"/>
      <c r="AI260" s="452"/>
      <c r="AJ260" s="452"/>
      <c r="AK260" s="452"/>
      <c r="AL260" s="452"/>
      <c r="AM260" s="452"/>
      <c r="AN260" s="452"/>
      <c r="AO260" s="446"/>
      <c r="AP260" s="446"/>
      <c r="AQ260" s="446"/>
      <c r="AR260" s="446"/>
      <c r="AS260" s="446"/>
      <c r="AT260" s="72"/>
      <c r="AU260" s="72"/>
      <c r="AV260" s="72"/>
      <c r="AW260" s="72"/>
      <c r="AX260" s="72"/>
      <c r="AY260" s="72"/>
      <c r="AZ260" s="72"/>
      <c r="BA260" s="72"/>
      <c r="BB260" s="72"/>
    </row>
    <row r="261" spans="3:54">
      <c r="C261" s="452"/>
      <c r="Q261" s="452"/>
      <c r="R261" s="452"/>
      <c r="S261" s="452"/>
      <c r="T261" s="452"/>
      <c r="U261" s="452"/>
      <c r="V261" s="452"/>
      <c r="W261" s="452"/>
      <c r="X261" s="452"/>
      <c r="Y261" s="452"/>
      <c r="Z261" s="452"/>
      <c r="AA261" s="452"/>
      <c r="AB261" s="453"/>
      <c r="AC261" s="453"/>
      <c r="AD261" s="453"/>
      <c r="AE261" s="453"/>
      <c r="AF261" s="452"/>
      <c r="AG261" s="452"/>
      <c r="AH261" s="452"/>
      <c r="AI261" s="452"/>
      <c r="AJ261" s="452"/>
      <c r="AK261" s="452"/>
      <c r="AL261" s="452"/>
      <c r="AM261" s="452"/>
      <c r="AN261" s="452"/>
      <c r="AO261" s="446"/>
      <c r="AP261" s="446"/>
      <c r="AQ261" s="446"/>
      <c r="AR261" s="446"/>
      <c r="AS261" s="446"/>
      <c r="AT261" s="72"/>
      <c r="AU261" s="72"/>
      <c r="AV261" s="72"/>
      <c r="AW261" s="72"/>
      <c r="AX261" s="72"/>
      <c r="AY261" s="72"/>
      <c r="AZ261" s="72"/>
      <c r="BA261" s="72"/>
      <c r="BB261" s="72"/>
    </row>
    <row r="262" spans="3:54">
      <c r="C262" s="452"/>
      <c r="Q262" s="452"/>
      <c r="R262" s="452"/>
      <c r="S262" s="452"/>
      <c r="T262" s="452"/>
      <c r="U262" s="452"/>
      <c r="V262" s="452"/>
      <c r="W262" s="452"/>
      <c r="X262" s="452"/>
      <c r="Y262" s="452"/>
      <c r="Z262" s="452"/>
      <c r="AA262" s="452"/>
      <c r="AB262" s="453"/>
      <c r="AC262" s="453"/>
      <c r="AD262" s="453"/>
      <c r="AE262" s="453"/>
      <c r="AF262" s="452"/>
      <c r="AG262" s="452"/>
      <c r="AH262" s="452"/>
      <c r="AI262" s="452"/>
      <c r="AJ262" s="452"/>
      <c r="AK262" s="452"/>
      <c r="AL262" s="452"/>
      <c r="AM262" s="452"/>
      <c r="AN262" s="452"/>
      <c r="AO262" s="446"/>
      <c r="AP262" s="446"/>
      <c r="AQ262" s="446"/>
      <c r="AR262" s="446"/>
      <c r="AS262" s="446"/>
      <c r="AT262" s="72"/>
      <c r="AU262" s="72"/>
      <c r="AV262" s="72"/>
      <c r="AW262" s="72"/>
      <c r="AX262" s="72"/>
      <c r="AY262" s="72"/>
      <c r="AZ262" s="72"/>
      <c r="BA262" s="72"/>
      <c r="BB262" s="72"/>
    </row>
    <row r="263" spans="3:54">
      <c r="C263" s="452"/>
      <c r="Q263" s="452"/>
      <c r="R263" s="452"/>
      <c r="S263" s="452"/>
      <c r="T263" s="452"/>
      <c r="U263" s="452"/>
      <c r="V263" s="452"/>
      <c r="W263" s="452"/>
      <c r="X263" s="452"/>
      <c r="Y263" s="452"/>
      <c r="Z263" s="452"/>
      <c r="AA263" s="452"/>
      <c r="AB263" s="453"/>
      <c r="AC263" s="453"/>
      <c r="AD263" s="453"/>
      <c r="AE263" s="453"/>
      <c r="AF263" s="452"/>
      <c r="AG263" s="452"/>
      <c r="AH263" s="452"/>
      <c r="AI263" s="452"/>
      <c r="AJ263" s="452"/>
      <c r="AK263" s="452"/>
      <c r="AL263" s="452"/>
      <c r="AM263" s="452"/>
      <c r="AN263" s="452"/>
      <c r="AO263" s="446"/>
      <c r="AP263" s="446"/>
      <c r="AQ263" s="446"/>
      <c r="AR263" s="446"/>
      <c r="AS263" s="446"/>
      <c r="AT263" s="72"/>
      <c r="AU263" s="72"/>
      <c r="AV263" s="72"/>
      <c r="AW263" s="72"/>
      <c r="AX263" s="72"/>
      <c r="AY263" s="72"/>
      <c r="AZ263" s="72"/>
      <c r="BA263" s="72"/>
      <c r="BB263" s="72"/>
    </row>
    <row r="264" spans="3:54">
      <c r="C264" s="452"/>
      <c r="Q264" s="452"/>
      <c r="R264" s="452"/>
      <c r="S264" s="452"/>
      <c r="T264" s="452"/>
      <c r="U264" s="452"/>
      <c r="V264" s="452"/>
      <c r="W264" s="452"/>
      <c r="X264" s="452"/>
      <c r="Y264" s="452"/>
      <c r="Z264" s="452"/>
      <c r="AA264" s="452"/>
      <c r="AB264" s="453"/>
      <c r="AC264" s="453"/>
      <c r="AD264" s="453"/>
      <c r="AE264" s="453"/>
      <c r="AF264" s="452"/>
      <c r="AG264" s="452"/>
      <c r="AH264" s="452"/>
      <c r="AI264" s="452"/>
      <c r="AJ264" s="452"/>
      <c r="AK264" s="452"/>
      <c r="AL264" s="452"/>
      <c r="AM264" s="452"/>
      <c r="AN264" s="452"/>
      <c r="AO264" s="446"/>
      <c r="AP264" s="446"/>
      <c r="AQ264" s="446"/>
      <c r="AR264" s="446"/>
      <c r="AS264" s="446"/>
      <c r="AT264" s="72"/>
      <c r="AU264" s="72"/>
      <c r="AV264" s="72"/>
      <c r="AW264" s="72"/>
      <c r="AX264" s="72"/>
      <c r="AY264" s="72"/>
      <c r="AZ264" s="72"/>
      <c r="BA264" s="72"/>
      <c r="BB264" s="72"/>
    </row>
    <row r="265" spans="3:54">
      <c r="C265" s="452"/>
      <c r="Q265" s="452"/>
      <c r="R265" s="452"/>
      <c r="S265" s="452"/>
      <c r="T265" s="452"/>
      <c r="U265" s="452"/>
      <c r="V265" s="452"/>
      <c r="W265" s="452"/>
      <c r="X265" s="452"/>
      <c r="Y265" s="452"/>
      <c r="Z265" s="452"/>
      <c r="AA265" s="452"/>
      <c r="AB265" s="453"/>
      <c r="AC265" s="453"/>
      <c r="AD265" s="453"/>
      <c r="AE265" s="453"/>
      <c r="AF265" s="452"/>
      <c r="AG265" s="452"/>
      <c r="AH265" s="452"/>
      <c r="AI265" s="452"/>
      <c r="AJ265" s="452"/>
      <c r="AK265" s="452"/>
      <c r="AL265" s="452"/>
      <c r="AM265" s="452"/>
      <c r="AN265" s="452"/>
      <c r="AO265" s="446"/>
      <c r="AP265" s="446"/>
      <c r="AQ265" s="446"/>
      <c r="AR265" s="446"/>
      <c r="AS265" s="446"/>
      <c r="AT265" s="72"/>
      <c r="AU265" s="72"/>
      <c r="AV265" s="72"/>
      <c r="AW265" s="72"/>
      <c r="AX265" s="72"/>
      <c r="AY265" s="72"/>
      <c r="AZ265" s="72"/>
      <c r="BA265" s="72"/>
      <c r="BB265" s="72"/>
    </row>
    <row r="266" spans="3:54">
      <c r="C266" s="452"/>
      <c r="Q266" s="452"/>
      <c r="R266" s="452"/>
      <c r="S266" s="452"/>
      <c r="T266" s="452"/>
      <c r="U266" s="452"/>
      <c r="V266" s="452"/>
      <c r="W266" s="452"/>
      <c r="X266" s="452"/>
      <c r="Y266" s="452"/>
      <c r="Z266" s="452"/>
      <c r="AA266" s="452"/>
      <c r="AB266" s="453"/>
      <c r="AC266" s="453"/>
      <c r="AD266" s="453"/>
      <c r="AE266" s="453"/>
      <c r="AF266" s="452"/>
      <c r="AG266" s="452"/>
      <c r="AH266" s="452"/>
      <c r="AI266" s="452"/>
      <c r="AJ266" s="452"/>
      <c r="AK266" s="452"/>
      <c r="AL266" s="452"/>
      <c r="AM266" s="452"/>
      <c r="AN266" s="452"/>
      <c r="AO266" s="446"/>
      <c r="AP266" s="446"/>
      <c r="AQ266" s="446"/>
      <c r="AR266" s="446"/>
      <c r="AS266" s="446"/>
      <c r="AT266" s="72"/>
      <c r="AU266" s="72"/>
      <c r="AV266" s="72"/>
      <c r="AW266" s="72"/>
      <c r="AX266" s="72"/>
      <c r="AY266" s="72"/>
      <c r="AZ266" s="72"/>
      <c r="BA266" s="72"/>
      <c r="BB266" s="72"/>
    </row>
    <row r="267" spans="3:54">
      <c r="C267" s="452"/>
      <c r="P267" s="452"/>
      <c r="Q267" s="452"/>
      <c r="R267" s="452"/>
      <c r="S267" s="452"/>
      <c r="T267" s="452"/>
      <c r="U267" s="452"/>
      <c r="V267" s="452"/>
      <c r="W267" s="452"/>
      <c r="X267" s="452"/>
      <c r="Y267" s="452"/>
      <c r="Z267" s="452"/>
      <c r="AA267" s="453"/>
      <c r="AB267" s="453"/>
      <c r="AC267" s="453"/>
      <c r="AD267" s="453"/>
      <c r="AE267" s="452"/>
      <c r="AF267" s="452"/>
      <c r="AG267" s="452"/>
      <c r="AH267" s="452"/>
      <c r="AI267" s="452"/>
      <c r="AJ267" s="452"/>
      <c r="AK267" s="452"/>
      <c r="AL267" s="452"/>
      <c r="AM267" s="452"/>
      <c r="AN267" s="452"/>
      <c r="AO267" s="446"/>
      <c r="AP267" s="446"/>
      <c r="AQ267" s="446"/>
      <c r="AR267" s="446"/>
      <c r="AS267" s="446"/>
      <c r="AT267" s="72"/>
      <c r="AU267" s="72"/>
      <c r="AV267" s="72"/>
      <c r="AW267" s="72"/>
      <c r="AX267" s="72"/>
      <c r="AY267" s="72"/>
      <c r="AZ267" s="72"/>
      <c r="BA267" s="72"/>
      <c r="BB267" s="72"/>
    </row>
    <row r="268" spans="3:54">
      <c r="C268" s="452"/>
      <c r="P268" s="452"/>
      <c r="Q268" s="452"/>
      <c r="R268" s="452"/>
      <c r="S268" s="452"/>
      <c r="T268" s="452"/>
      <c r="U268" s="452"/>
      <c r="V268" s="452"/>
      <c r="W268" s="452"/>
      <c r="X268" s="452"/>
      <c r="Y268" s="452"/>
      <c r="Z268" s="452"/>
      <c r="AA268" s="453"/>
      <c r="AB268" s="453"/>
      <c r="AC268" s="453"/>
      <c r="AD268" s="453"/>
      <c r="AE268" s="452"/>
      <c r="AF268" s="452"/>
      <c r="AG268" s="452"/>
      <c r="AH268" s="452"/>
      <c r="AI268" s="452"/>
      <c r="AJ268" s="452"/>
      <c r="AK268" s="452"/>
      <c r="AL268" s="452"/>
      <c r="AM268" s="452"/>
      <c r="AN268" s="452"/>
      <c r="AO268" s="446"/>
      <c r="AP268" s="446"/>
      <c r="AQ268" s="446"/>
      <c r="AR268" s="446"/>
      <c r="AS268" s="446"/>
      <c r="AT268" s="72"/>
      <c r="AU268" s="72"/>
      <c r="AV268" s="72"/>
      <c r="AW268" s="72"/>
      <c r="AX268" s="72"/>
      <c r="AY268" s="72"/>
      <c r="AZ268" s="72"/>
      <c r="BA268" s="72"/>
      <c r="BB268" s="72"/>
    </row>
    <row r="269" spans="3:54">
      <c r="C269" s="452"/>
      <c r="P269" s="452"/>
      <c r="Q269" s="452"/>
      <c r="R269" s="452"/>
      <c r="S269" s="452"/>
      <c r="T269" s="452"/>
      <c r="U269" s="452"/>
      <c r="V269" s="452"/>
      <c r="W269" s="452"/>
      <c r="X269" s="452"/>
      <c r="Y269" s="452"/>
      <c r="Z269" s="452"/>
      <c r="AA269" s="453"/>
      <c r="AB269" s="453"/>
      <c r="AC269" s="453"/>
      <c r="AD269" s="453"/>
      <c r="AE269" s="452"/>
      <c r="AF269" s="452"/>
      <c r="AG269" s="452"/>
      <c r="AH269" s="452"/>
      <c r="AI269" s="452"/>
      <c r="AJ269" s="452"/>
      <c r="AK269" s="452"/>
      <c r="AL269" s="452"/>
      <c r="AM269" s="452"/>
      <c r="AN269" s="452"/>
      <c r="AO269" s="446"/>
      <c r="AP269" s="446"/>
      <c r="AQ269" s="446"/>
      <c r="AR269" s="446"/>
      <c r="AS269" s="446"/>
      <c r="AT269" s="72"/>
      <c r="AU269" s="72"/>
      <c r="AV269" s="72"/>
      <c r="AW269" s="72"/>
      <c r="AX269" s="72"/>
      <c r="AY269" s="72"/>
      <c r="AZ269" s="72"/>
      <c r="BA269" s="72"/>
      <c r="BB269" s="72"/>
    </row>
    <row r="270" spans="3:54">
      <c r="C270" s="452"/>
      <c r="P270" s="452"/>
      <c r="Q270" s="452"/>
      <c r="R270" s="452"/>
      <c r="S270" s="452"/>
      <c r="T270" s="452"/>
      <c r="U270" s="452"/>
      <c r="V270" s="452"/>
      <c r="W270" s="452"/>
      <c r="X270" s="452"/>
      <c r="Y270" s="452"/>
      <c r="Z270" s="452"/>
      <c r="AA270" s="453"/>
      <c r="AB270" s="453"/>
      <c r="AC270" s="453"/>
      <c r="AD270" s="453"/>
      <c r="AE270" s="452"/>
      <c r="AF270" s="452"/>
      <c r="AG270" s="452"/>
      <c r="AH270" s="452"/>
      <c r="AI270" s="452"/>
      <c r="AJ270" s="452"/>
      <c r="AK270" s="452"/>
      <c r="AL270" s="452"/>
      <c r="AM270" s="452"/>
      <c r="AN270" s="452"/>
      <c r="AO270" s="446"/>
      <c r="AP270" s="446"/>
      <c r="AQ270" s="446"/>
      <c r="AR270" s="446"/>
      <c r="AS270" s="446"/>
      <c r="AT270" s="72"/>
      <c r="AU270" s="72"/>
      <c r="AV270" s="72"/>
      <c r="AW270" s="72"/>
      <c r="AX270" s="72"/>
      <c r="AY270" s="72"/>
      <c r="AZ270" s="72"/>
      <c r="BA270" s="72"/>
      <c r="BB270" s="72"/>
    </row>
    <row r="271" spans="3:54">
      <c r="C271" s="452"/>
      <c r="P271" s="452"/>
      <c r="Q271" s="452"/>
      <c r="R271" s="452"/>
      <c r="S271" s="452"/>
      <c r="T271" s="452"/>
      <c r="U271" s="452"/>
      <c r="V271" s="452"/>
      <c r="W271" s="452"/>
      <c r="X271" s="452"/>
      <c r="Y271" s="452"/>
      <c r="Z271" s="452"/>
      <c r="AA271" s="453"/>
      <c r="AB271" s="453"/>
      <c r="AC271" s="453"/>
      <c r="AD271" s="453"/>
      <c r="AE271" s="452"/>
      <c r="AF271" s="452"/>
      <c r="AG271" s="452"/>
      <c r="AH271" s="452"/>
      <c r="AI271" s="452"/>
      <c r="AJ271" s="452"/>
      <c r="AK271" s="452"/>
      <c r="AL271" s="452"/>
      <c r="AM271" s="452"/>
      <c r="AN271" s="452"/>
      <c r="AO271" s="446"/>
      <c r="AP271" s="446"/>
      <c r="AQ271" s="446"/>
      <c r="AR271" s="446"/>
      <c r="AS271" s="446"/>
      <c r="AT271" s="72"/>
      <c r="AU271" s="72"/>
      <c r="AV271" s="72"/>
      <c r="AW271" s="72"/>
      <c r="AX271" s="72"/>
      <c r="AY271" s="72"/>
      <c r="AZ271" s="72"/>
      <c r="BA271" s="72"/>
      <c r="BB271" s="72"/>
    </row>
    <row r="272" spans="3:54">
      <c r="C272" s="452"/>
      <c r="P272" s="452"/>
      <c r="Q272" s="452"/>
      <c r="R272" s="452"/>
      <c r="S272" s="452"/>
      <c r="T272" s="452"/>
      <c r="U272" s="452"/>
      <c r="V272" s="452"/>
      <c r="W272" s="452"/>
      <c r="X272" s="452"/>
      <c r="Y272" s="452"/>
      <c r="Z272" s="452"/>
      <c r="AA272" s="453"/>
      <c r="AB272" s="453"/>
      <c r="AC272" s="453"/>
      <c r="AD272" s="453"/>
      <c r="AE272" s="452"/>
      <c r="AF272" s="452"/>
      <c r="AG272" s="452"/>
      <c r="AH272" s="452"/>
      <c r="AI272" s="452"/>
      <c r="AJ272" s="452"/>
      <c r="AK272" s="452"/>
      <c r="AL272" s="452"/>
      <c r="AM272" s="452"/>
      <c r="AN272" s="452"/>
      <c r="AO272" s="446"/>
      <c r="AP272" s="446"/>
      <c r="AQ272" s="446"/>
      <c r="AR272" s="446"/>
      <c r="AS272" s="446"/>
      <c r="AT272" s="72"/>
      <c r="AU272" s="72"/>
      <c r="AV272" s="72"/>
      <c r="AW272" s="72"/>
      <c r="AX272" s="72"/>
      <c r="AY272" s="72"/>
      <c r="AZ272" s="72"/>
      <c r="BA272" s="72"/>
      <c r="BB272" s="72"/>
    </row>
    <row r="273" spans="3:54">
      <c r="C273" s="452"/>
      <c r="P273" s="452"/>
      <c r="Q273" s="452"/>
      <c r="R273" s="452"/>
      <c r="S273" s="452"/>
      <c r="T273" s="452"/>
      <c r="U273" s="452"/>
      <c r="V273" s="452"/>
      <c r="W273" s="452"/>
      <c r="X273" s="452"/>
      <c r="Y273" s="452"/>
      <c r="Z273" s="452"/>
      <c r="AA273" s="453"/>
      <c r="AB273" s="453"/>
      <c r="AC273" s="453"/>
      <c r="AD273" s="453"/>
      <c r="AE273" s="452"/>
      <c r="AF273" s="452"/>
      <c r="AG273" s="452"/>
      <c r="AH273" s="452"/>
      <c r="AI273" s="452"/>
      <c r="AJ273" s="452"/>
      <c r="AK273" s="452"/>
      <c r="AL273" s="452"/>
      <c r="AM273" s="452"/>
      <c r="AN273" s="452"/>
      <c r="AO273" s="446"/>
      <c r="AP273" s="446"/>
      <c r="AQ273" s="446"/>
      <c r="AR273" s="446"/>
      <c r="AS273" s="446"/>
      <c r="AT273" s="72"/>
      <c r="AU273" s="72"/>
      <c r="AV273" s="72"/>
      <c r="AW273" s="72"/>
      <c r="AX273" s="72"/>
      <c r="AY273" s="72"/>
      <c r="AZ273" s="72"/>
      <c r="BA273" s="72"/>
      <c r="BB273" s="72"/>
    </row>
    <row r="274" spans="3:54">
      <c r="C274" s="452"/>
      <c r="P274" s="452"/>
      <c r="Q274" s="452"/>
      <c r="R274" s="452"/>
      <c r="S274" s="452"/>
      <c r="T274" s="452"/>
      <c r="U274" s="452"/>
      <c r="V274" s="452"/>
      <c r="W274" s="452"/>
      <c r="X274" s="452"/>
      <c r="Y274" s="452"/>
      <c r="Z274" s="452"/>
      <c r="AA274" s="453"/>
      <c r="AB274" s="453"/>
      <c r="AC274" s="453"/>
      <c r="AD274" s="453"/>
      <c r="AE274" s="452"/>
      <c r="AF274" s="452"/>
      <c r="AG274" s="452"/>
      <c r="AH274" s="452"/>
      <c r="AI274" s="452"/>
      <c r="AJ274" s="452"/>
      <c r="AK274" s="452"/>
      <c r="AL274" s="452"/>
      <c r="AM274" s="452"/>
      <c r="AN274" s="452"/>
      <c r="AO274" s="446"/>
      <c r="AP274" s="446"/>
      <c r="AQ274" s="446"/>
      <c r="AR274" s="446"/>
      <c r="AS274" s="446"/>
      <c r="AT274" s="72"/>
      <c r="AU274" s="72"/>
      <c r="AV274" s="72"/>
      <c r="AW274" s="72"/>
      <c r="AX274" s="72"/>
      <c r="AY274" s="72"/>
      <c r="AZ274" s="72"/>
      <c r="BA274" s="72"/>
      <c r="BB274" s="72"/>
    </row>
    <row r="275" spans="3:54">
      <c r="C275" s="452"/>
      <c r="P275" s="452"/>
      <c r="Q275" s="452"/>
      <c r="R275" s="452"/>
      <c r="S275" s="452"/>
      <c r="T275" s="452"/>
      <c r="U275" s="452"/>
      <c r="V275" s="452"/>
      <c r="W275" s="452"/>
      <c r="X275" s="452"/>
      <c r="Y275" s="452"/>
      <c r="Z275" s="452"/>
      <c r="AA275" s="453"/>
      <c r="AB275" s="453"/>
      <c r="AC275" s="453"/>
      <c r="AD275" s="453"/>
      <c r="AE275" s="452"/>
      <c r="AF275" s="452"/>
      <c r="AG275" s="452"/>
      <c r="AH275" s="452"/>
      <c r="AI275" s="452"/>
      <c r="AJ275" s="452"/>
      <c r="AK275" s="452"/>
      <c r="AL275" s="452"/>
      <c r="AM275" s="452"/>
      <c r="AN275" s="452"/>
      <c r="AO275" s="446"/>
      <c r="AP275" s="446"/>
      <c r="AQ275" s="446"/>
      <c r="AR275" s="446"/>
      <c r="AS275" s="446"/>
      <c r="AT275" s="72"/>
      <c r="AU275" s="72"/>
      <c r="AV275" s="72"/>
      <c r="AW275" s="72"/>
      <c r="AX275" s="72"/>
      <c r="AY275" s="72"/>
      <c r="AZ275" s="72"/>
      <c r="BA275" s="72"/>
      <c r="BB275" s="72"/>
    </row>
    <row r="276" spans="3:54">
      <c r="C276" s="452"/>
      <c r="P276" s="452"/>
      <c r="Q276" s="452"/>
      <c r="R276" s="452"/>
      <c r="S276" s="452"/>
      <c r="T276" s="452"/>
      <c r="U276" s="452"/>
      <c r="V276" s="452"/>
      <c r="W276" s="452"/>
      <c r="X276" s="452"/>
      <c r="Y276" s="452"/>
      <c r="Z276" s="452"/>
      <c r="AA276" s="453"/>
      <c r="AB276" s="453"/>
      <c r="AC276" s="453"/>
      <c r="AD276" s="453"/>
      <c r="AE276" s="452"/>
      <c r="AF276" s="452"/>
      <c r="AG276" s="452"/>
      <c r="AH276" s="452"/>
      <c r="AI276" s="452"/>
      <c r="AJ276" s="452"/>
      <c r="AK276" s="452"/>
      <c r="AL276" s="452"/>
      <c r="AM276" s="452"/>
      <c r="AN276" s="452"/>
      <c r="AO276" s="446"/>
      <c r="AP276" s="446"/>
      <c r="AQ276" s="446"/>
      <c r="AR276" s="446"/>
      <c r="AS276" s="446"/>
      <c r="AT276" s="72"/>
      <c r="AU276" s="72"/>
      <c r="AV276" s="72"/>
      <c r="AW276" s="72"/>
      <c r="AX276" s="72"/>
      <c r="AY276" s="72"/>
      <c r="AZ276" s="72"/>
      <c r="BA276" s="72"/>
      <c r="BB276" s="72"/>
    </row>
    <row r="277" spans="3:54">
      <c r="C277" s="452"/>
      <c r="P277" s="452"/>
      <c r="Q277" s="452"/>
      <c r="R277" s="452"/>
      <c r="S277" s="452"/>
      <c r="T277" s="452"/>
      <c r="U277" s="452"/>
      <c r="V277" s="452"/>
      <c r="W277" s="452"/>
      <c r="X277" s="452"/>
      <c r="Y277" s="452"/>
      <c r="Z277" s="452"/>
      <c r="AA277" s="453"/>
      <c r="AB277" s="453"/>
      <c r="AC277" s="453"/>
      <c r="AD277" s="453"/>
      <c r="AE277" s="452"/>
      <c r="AF277" s="452"/>
      <c r="AG277" s="452"/>
      <c r="AH277" s="452"/>
      <c r="AI277" s="452"/>
      <c r="AJ277" s="452"/>
      <c r="AK277" s="452"/>
      <c r="AL277" s="452"/>
      <c r="AM277" s="452"/>
      <c r="AN277" s="452"/>
      <c r="AO277" s="446"/>
      <c r="AP277" s="446"/>
      <c r="AQ277" s="446"/>
      <c r="AR277" s="446"/>
      <c r="AS277" s="446"/>
      <c r="AT277" s="72"/>
      <c r="AU277" s="72"/>
      <c r="AV277" s="72"/>
      <c r="AW277" s="72"/>
      <c r="AX277" s="72"/>
      <c r="AY277" s="72"/>
      <c r="AZ277" s="72"/>
      <c r="BA277" s="72"/>
      <c r="BB277" s="72"/>
    </row>
    <row r="278" spans="3:54">
      <c r="C278" s="452"/>
      <c r="P278" s="452"/>
      <c r="Q278" s="452"/>
      <c r="R278" s="452"/>
      <c r="S278" s="452"/>
      <c r="T278" s="452"/>
      <c r="U278" s="452"/>
      <c r="V278" s="452"/>
      <c r="W278" s="452"/>
      <c r="X278" s="452"/>
      <c r="Y278" s="452"/>
      <c r="Z278" s="452"/>
      <c r="AA278" s="453"/>
      <c r="AB278" s="453"/>
      <c r="AC278" s="453"/>
      <c r="AD278" s="453"/>
      <c r="AE278" s="452"/>
      <c r="AF278" s="452"/>
      <c r="AG278" s="452"/>
      <c r="AH278" s="452"/>
      <c r="AI278" s="452"/>
      <c r="AJ278" s="452"/>
      <c r="AK278" s="452"/>
      <c r="AL278" s="452"/>
      <c r="AM278" s="452"/>
      <c r="AN278" s="452"/>
      <c r="AO278" s="446"/>
      <c r="AP278" s="446"/>
      <c r="AQ278" s="446"/>
      <c r="AR278" s="446"/>
      <c r="AS278" s="446"/>
      <c r="AT278" s="72"/>
      <c r="AU278" s="72"/>
      <c r="AV278" s="72"/>
      <c r="AW278" s="72"/>
      <c r="AX278" s="72"/>
      <c r="AY278" s="72"/>
      <c r="AZ278" s="72"/>
      <c r="BA278" s="72"/>
      <c r="BB278" s="72"/>
    </row>
    <row r="279" spans="3:54">
      <c r="C279" s="452"/>
      <c r="P279" s="452"/>
      <c r="Q279" s="452"/>
      <c r="R279" s="452"/>
      <c r="S279" s="452"/>
      <c r="T279" s="452"/>
      <c r="U279" s="452"/>
      <c r="V279" s="452"/>
      <c r="W279" s="452"/>
      <c r="X279" s="452"/>
      <c r="Y279" s="452"/>
      <c r="Z279" s="452"/>
      <c r="AA279" s="453"/>
      <c r="AB279" s="453"/>
      <c r="AC279" s="453"/>
      <c r="AD279" s="453"/>
      <c r="AE279" s="452"/>
      <c r="AF279" s="452"/>
      <c r="AG279" s="452"/>
      <c r="AH279" s="452"/>
      <c r="AI279" s="452"/>
      <c r="AJ279" s="452"/>
      <c r="AK279" s="452"/>
      <c r="AL279" s="452"/>
      <c r="AM279" s="452"/>
      <c r="AN279" s="452"/>
      <c r="AO279" s="446"/>
      <c r="AP279" s="446"/>
      <c r="AQ279" s="446"/>
      <c r="AR279" s="446"/>
      <c r="AS279" s="446"/>
      <c r="AT279" s="72"/>
      <c r="AU279" s="72"/>
      <c r="AV279" s="72"/>
      <c r="AW279" s="72"/>
      <c r="AX279" s="72"/>
      <c r="AY279" s="72"/>
      <c r="AZ279" s="72"/>
      <c r="BA279" s="72"/>
      <c r="BB279" s="72"/>
    </row>
    <row r="280" spans="3:54">
      <c r="C280" s="452"/>
      <c r="P280" s="452"/>
      <c r="Q280" s="452"/>
      <c r="R280" s="452"/>
      <c r="S280" s="452"/>
      <c r="T280" s="452"/>
      <c r="U280" s="452"/>
      <c r="V280" s="452"/>
      <c r="W280" s="452"/>
      <c r="X280" s="452"/>
      <c r="Y280" s="452"/>
      <c r="Z280" s="452"/>
      <c r="AA280" s="453"/>
      <c r="AB280" s="453"/>
      <c r="AC280" s="453"/>
      <c r="AD280" s="453"/>
      <c r="AE280" s="452"/>
      <c r="AF280" s="452"/>
      <c r="AG280" s="452"/>
      <c r="AH280" s="452"/>
      <c r="AI280" s="452"/>
      <c r="AJ280" s="452"/>
      <c r="AK280" s="452"/>
      <c r="AL280" s="452"/>
      <c r="AM280" s="452"/>
      <c r="AN280" s="452"/>
      <c r="AO280" s="446"/>
      <c r="AP280" s="446"/>
      <c r="AQ280" s="446"/>
      <c r="AR280" s="446"/>
      <c r="AS280" s="446"/>
      <c r="AT280" s="72"/>
      <c r="AU280" s="72"/>
      <c r="AV280" s="72"/>
      <c r="AW280" s="72"/>
      <c r="AX280" s="72"/>
      <c r="AY280" s="72"/>
      <c r="AZ280" s="72"/>
      <c r="BA280" s="72"/>
      <c r="BB280" s="72"/>
    </row>
    <row r="281" spans="3:54">
      <c r="C281" s="452"/>
      <c r="P281" s="452"/>
      <c r="Q281" s="452"/>
      <c r="R281" s="452"/>
      <c r="S281" s="452"/>
      <c r="T281" s="452"/>
      <c r="U281" s="452"/>
      <c r="V281" s="452"/>
      <c r="W281" s="452"/>
      <c r="X281" s="452"/>
      <c r="Y281" s="452"/>
      <c r="Z281" s="452"/>
      <c r="AA281" s="453"/>
      <c r="AB281" s="453"/>
      <c r="AC281" s="453"/>
      <c r="AD281" s="453"/>
      <c r="AE281" s="452"/>
      <c r="AF281" s="452"/>
      <c r="AG281" s="452"/>
      <c r="AH281" s="452"/>
      <c r="AI281" s="452"/>
      <c r="AJ281" s="452"/>
      <c r="AK281" s="452"/>
      <c r="AL281" s="452"/>
      <c r="AM281" s="452"/>
      <c r="AN281" s="452"/>
      <c r="AO281" s="446"/>
      <c r="AP281" s="446"/>
      <c r="AQ281" s="446"/>
      <c r="AR281" s="446"/>
      <c r="AS281" s="446"/>
      <c r="AT281" s="72"/>
      <c r="AU281" s="72"/>
      <c r="AV281" s="72"/>
      <c r="AW281" s="72"/>
      <c r="AX281" s="72"/>
      <c r="AY281" s="72"/>
      <c r="AZ281" s="72"/>
      <c r="BA281" s="72"/>
      <c r="BB281" s="72"/>
    </row>
    <row r="282" spans="3:54">
      <c r="C282" s="452"/>
      <c r="P282" s="452"/>
      <c r="Q282" s="452"/>
      <c r="R282" s="452"/>
      <c r="S282" s="452"/>
      <c r="T282" s="452"/>
      <c r="U282" s="452"/>
      <c r="V282" s="452"/>
      <c r="W282" s="452"/>
      <c r="X282" s="452"/>
      <c r="Y282" s="452"/>
      <c r="Z282" s="452"/>
      <c r="AA282" s="453"/>
      <c r="AB282" s="453"/>
      <c r="AC282" s="453"/>
      <c r="AD282" s="453"/>
      <c r="AE282" s="452"/>
      <c r="AF282" s="452"/>
      <c r="AG282" s="452"/>
      <c r="AH282" s="452"/>
      <c r="AI282" s="452"/>
      <c r="AJ282" s="452"/>
      <c r="AK282" s="452"/>
      <c r="AL282" s="452"/>
      <c r="AM282" s="452"/>
      <c r="AN282" s="452"/>
      <c r="AO282" s="446"/>
      <c r="AP282" s="446"/>
      <c r="AQ282" s="446"/>
      <c r="AR282" s="446"/>
      <c r="AS282" s="446"/>
      <c r="AT282" s="72"/>
      <c r="AU282" s="72"/>
      <c r="AV282" s="72"/>
      <c r="AW282" s="72"/>
      <c r="AX282" s="72"/>
      <c r="AY282" s="72"/>
      <c r="AZ282" s="72"/>
      <c r="BA282" s="72"/>
      <c r="BB282" s="72"/>
    </row>
    <row r="283" spans="3:54">
      <c r="C283" s="452"/>
      <c r="P283" s="452"/>
      <c r="Q283" s="452"/>
      <c r="R283" s="452"/>
      <c r="S283" s="452"/>
      <c r="T283" s="452"/>
      <c r="U283" s="452"/>
      <c r="V283" s="452"/>
      <c r="W283" s="452"/>
      <c r="X283" s="452"/>
      <c r="Y283" s="452"/>
      <c r="Z283" s="452"/>
      <c r="AA283" s="453"/>
      <c r="AB283" s="453"/>
      <c r="AC283" s="453"/>
      <c r="AD283" s="453"/>
      <c r="AE283" s="452"/>
      <c r="AF283" s="452"/>
      <c r="AG283" s="452"/>
      <c r="AH283" s="452"/>
      <c r="AI283" s="452"/>
      <c r="AJ283" s="452"/>
      <c r="AK283" s="452"/>
      <c r="AL283" s="452"/>
      <c r="AM283" s="452"/>
      <c r="AN283" s="452"/>
      <c r="AO283" s="446"/>
      <c r="AP283" s="446"/>
      <c r="AQ283" s="446"/>
      <c r="AR283" s="446"/>
      <c r="AS283" s="446"/>
      <c r="AT283" s="72"/>
      <c r="AU283" s="72"/>
      <c r="AV283" s="72"/>
      <c r="AW283" s="72"/>
      <c r="AX283" s="72"/>
      <c r="AY283" s="72"/>
      <c r="AZ283" s="72"/>
      <c r="BA283" s="72"/>
      <c r="BB283" s="72"/>
    </row>
    <row r="284" spans="3:54">
      <c r="C284" s="452"/>
      <c r="P284" s="452"/>
      <c r="Q284" s="452"/>
      <c r="R284" s="452"/>
      <c r="S284" s="452"/>
      <c r="T284" s="452"/>
      <c r="U284" s="452"/>
      <c r="V284" s="452"/>
      <c r="W284" s="452"/>
      <c r="X284" s="452"/>
      <c r="Y284" s="452"/>
      <c r="Z284" s="452"/>
      <c r="AA284" s="453"/>
      <c r="AB284" s="453"/>
      <c r="AC284" s="453"/>
      <c r="AD284" s="453"/>
      <c r="AE284" s="452"/>
      <c r="AF284" s="452"/>
      <c r="AG284" s="452"/>
      <c r="AH284" s="452"/>
      <c r="AI284" s="452"/>
      <c r="AJ284" s="452"/>
      <c r="AK284" s="452"/>
      <c r="AL284" s="452"/>
      <c r="AM284" s="452"/>
      <c r="AN284" s="452"/>
      <c r="AO284" s="446"/>
      <c r="AP284" s="446"/>
      <c r="AQ284" s="446"/>
      <c r="AR284" s="446"/>
      <c r="AS284" s="446"/>
      <c r="AT284" s="72"/>
      <c r="AU284" s="72"/>
      <c r="AV284" s="72"/>
      <c r="AW284" s="72"/>
      <c r="AX284" s="72"/>
      <c r="AY284" s="72"/>
      <c r="AZ284" s="72"/>
      <c r="BA284" s="72"/>
      <c r="BB284" s="72"/>
    </row>
    <row r="285" spans="3:54">
      <c r="C285" s="452"/>
      <c r="P285" s="452"/>
      <c r="Q285" s="452"/>
      <c r="R285" s="452"/>
      <c r="S285" s="452"/>
      <c r="T285" s="452"/>
      <c r="U285" s="452"/>
      <c r="V285" s="452"/>
      <c r="W285" s="452"/>
      <c r="X285" s="452"/>
      <c r="Y285" s="452"/>
      <c r="Z285" s="452"/>
      <c r="AA285" s="453"/>
      <c r="AB285" s="453"/>
      <c r="AC285" s="453"/>
      <c r="AD285" s="453"/>
      <c r="AE285" s="452"/>
      <c r="AF285" s="452"/>
      <c r="AG285" s="452"/>
      <c r="AH285" s="452"/>
      <c r="AI285" s="452"/>
      <c r="AJ285" s="452"/>
      <c r="AK285" s="452"/>
      <c r="AL285" s="452"/>
      <c r="AM285" s="452"/>
      <c r="AN285" s="452"/>
      <c r="AO285" s="446"/>
      <c r="AP285" s="446"/>
      <c r="AQ285" s="446"/>
      <c r="AR285" s="446"/>
      <c r="AS285" s="446"/>
      <c r="AT285" s="72"/>
      <c r="AU285" s="72"/>
      <c r="AV285" s="72"/>
      <c r="AW285" s="72"/>
      <c r="AX285" s="72"/>
      <c r="AY285" s="72"/>
      <c r="AZ285" s="72"/>
      <c r="BA285" s="72"/>
      <c r="BB285" s="72"/>
    </row>
    <row r="286" spans="3:54">
      <c r="C286" s="452"/>
      <c r="P286" s="452"/>
      <c r="Q286" s="452"/>
      <c r="R286" s="452"/>
      <c r="S286" s="452"/>
      <c r="T286" s="452"/>
      <c r="U286" s="452"/>
      <c r="V286" s="452"/>
      <c r="W286" s="452"/>
      <c r="X286" s="452"/>
      <c r="Y286" s="452"/>
      <c r="Z286" s="452"/>
      <c r="AA286" s="453"/>
      <c r="AB286" s="453"/>
      <c r="AC286" s="453"/>
      <c r="AD286" s="453"/>
      <c r="AE286" s="452"/>
      <c r="AF286" s="452"/>
      <c r="AG286" s="452"/>
      <c r="AH286" s="452"/>
      <c r="AI286" s="452"/>
      <c r="AJ286" s="452"/>
      <c r="AK286" s="452"/>
      <c r="AL286" s="452"/>
      <c r="AM286" s="452"/>
      <c r="AN286" s="452"/>
      <c r="AO286" s="446"/>
      <c r="AP286" s="446"/>
      <c r="AQ286" s="446"/>
      <c r="AR286" s="446"/>
      <c r="AS286" s="446"/>
      <c r="AT286" s="72"/>
      <c r="AU286" s="72"/>
      <c r="AV286" s="72"/>
      <c r="AW286" s="72"/>
      <c r="AX286" s="72"/>
      <c r="AY286" s="72"/>
      <c r="AZ286" s="72"/>
      <c r="BA286" s="72"/>
      <c r="BB286" s="72"/>
    </row>
    <row r="287" spans="3:54">
      <c r="C287" s="452"/>
      <c r="P287" s="452"/>
      <c r="Q287" s="452"/>
      <c r="R287" s="452"/>
      <c r="S287" s="452"/>
      <c r="T287" s="452"/>
      <c r="U287" s="452"/>
      <c r="V287" s="452"/>
      <c r="W287" s="452"/>
      <c r="X287" s="452"/>
      <c r="Y287" s="452"/>
      <c r="Z287" s="452"/>
      <c r="AA287" s="453"/>
      <c r="AB287" s="453"/>
      <c r="AC287" s="453"/>
      <c r="AD287" s="453"/>
      <c r="AE287" s="452"/>
      <c r="AF287" s="452"/>
      <c r="AG287" s="452"/>
      <c r="AH287" s="452"/>
      <c r="AI287" s="452"/>
      <c r="AJ287" s="452"/>
      <c r="AK287" s="452"/>
      <c r="AL287" s="452"/>
      <c r="AM287" s="452"/>
      <c r="AN287" s="452"/>
      <c r="AO287" s="446"/>
      <c r="AP287" s="446"/>
      <c r="AQ287" s="446"/>
      <c r="AR287" s="446"/>
      <c r="AS287" s="446"/>
      <c r="AT287" s="72"/>
      <c r="AU287" s="72"/>
      <c r="AV287" s="72"/>
      <c r="AW287" s="72"/>
      <c r="AX287" s="72"/>
      <c r="AY287" s="72"/>
      <c r="AZ287" s="72"/>
      <c r="BA287" s="72"/>
      <c r="BB287" s="72"/>
    </row>
    <row r="288" spans="3:54">
      <c r="C288" s="452"/>
      <c r="P288" s="452"/>
      <c r="Q288" s="452"/>
      <c r="R288" s="452"/>
      <c r="S288" s="452"/>
      <c r="T288" s="452"/>
      <c r="U288" s="452"/>
      <c r="V288" s="452"/>
      <c r="W288" s="452"/>
      <c r="X288" s="452"/>
      <c r="Y288" s="452"/>
      <c r="Z288" s="452"/>
      <c r="AA288" s="453"/>
      <c r="AB288" s="453"/>
      <c r="AC288" s="453"/>
      <c r="AD288" s="453"/>
      <c r="AE288" s="452"/>
      <c r="AF288" s="452"/>
      <c r="AG288" s="452"/>
      <c r="AH288" s="452"/>
      <c r="AI288" s="452"/>
      <c r="AJ288" s="452"/>
      <c r="AK288" s="452"/>
      <c r="AL288" s="452"/>
      <c r="AM288" s="452"/>
      <c r="AN288" s="452"/>
      <c r="AO288" s="446"/>
      <c r="AP288" s="446"/>
      <c r="AQ288" s="446"/>
      <c r="AR288" s="446"/>
      <c r="AS288" s="446"/>
      <c r="AT288" s="72"/>
      <c r="AU288" s="72"/>
      <c r="AV288" s="72"/>
      <c r="AW288" s="72"/>
      <c r="AX288" s="72"/>
      <c r="AY288" s="72"/>
      <c r="AZ288" s="72"/>
      <c r="BA288" s="72"/>
      <c r="BB288" s="72"/>
    </row>
    <row r="289" spans="3:58">
      <c r="C289" s="452"/>
      <c r="P289" s="452"/>
      <c r="Q289" s="452"/>
      <c r="R289" s="452"/>
      <c r="S289" s="452"/>
      <c r="T289" s="452"/>
      <c r="U289" s="452"/>
      <c r="V289" s="452"/>
      <c r="W289" s="452"/>
      <c r="X289" s="452"/>
      <c r="Y289" s="452"/>
      <c r="Z289" s="452"/>
      <c r="AA289" s="453"/>
      <c r="AB289" s="453"/>
      <c r="AC289" s="453"/>
      <c r="AD289" s="453"/>
      <c r="AE289" s="452"/>
      <c r="AF289" s="452"/>
      <c r="AG289" s="452"/>
      <c r="AH289" s="452"/>
      <c r="AI289" s="452"/>
      <c r="AJ289" s="452"/>
      <c r="AK289" s="452"/>
      <c r="AL289" s="452"/>
      <c r="AM289" s="452"/>
      <c r="AN289" s="452"/>
      <c r="AO289" s="446"/>
      <c r="AP289" s="446"/>
      <c r="AQ289" s="446"/>
      <c r="AR289" s="446"/>
      <c r="AS289" s="446"/>
      <c r="AT289" s="72"/>
      <c r="AU289" s="72"/>
      <c r="AV289" s="72"/>
      <c r="AW289" s="72"/>
      <c r="AX289" s="72"/>
      <c r="AY289" s="72"/>
      <c r="AZ289" s="72"/>
      <c r="BA289" s="72"/>
      <c r="BB289" s="72"/>
    </row>
    <row r="290" spans="3:58">
      <c r="C290" s="452"/>
      <c r="P290" s="452"/>
      <c r="Q290" s="452"/>
      <c r="R290" s="452"/>
      <c r="S290" s="452"/>
      <c r="T290" s="452"/>
      <c r="U290" s="452"/>
      <c r="V290" s="452"/>
      <c r="W290" s="452"/>
      <c r="X290" s="452"/>
      <c r="Y290" s="452"/>
      <c r="Z290" s="452"/>
      <c r="AA290" s="453"/>
      <c r="AB290" s="453"/>
      <c r="AC290" s="453"/>
      <c r="AD290" s="453"/>
      <c r="AE290" s="452"/>
      <c r="AF290" s="452"/>
      <c r="AG290" s="452"/>
      <c r="AH290" s="452"/>
      <c r="AI290" s="452"/>
      <c r="AJ290" s="452"/>
      <c r="AK290" s="452"/>
      <c r="AL290" s="452"/>
      <c r="AM290" s="452"/>
      <c r="AN290" s="452"/>
      <c r="AO290" s="446"/>
      <c r="AP290" s="446"/>
      <c r="AQ290" s="446"/>
      <c r="AR290" s="446"/>
      <c r="AS290" s="446"/>
      <c r="AT290" s="72"/>
      <c r="AU290" s="72"/>
      <c r="AV290" s="72"/>
      <c r="AW290" s="72"/>
      <c r="AX290" s="72"/>
      <c r="AY290" s="72"/>
      <c r="AZ290" s="72"/>
      <c r="BA290" s="72"/>
      <c r="BB290" s="72"/>
    </row>
    <row r="291" spans="3:58">
      <c r="C291" s="452"/>
      <c r="P291" s="452"/>
      <c r="Q291" s="452"/>
      <c r="R291" s="452"/>
      <c r="S291" s="452"/>
      <c r="T291" s="452"/>
      <c r="U291" s="452"/>
      <c r="V291" s="452"/>
      <c r="W291" s="452"/>
      <c r="X291" s="452"/>
      <c r="Y291" s="452"/>
      <c r="Z291" s="452"/>
      <c r="AA291" s="453"/>
      <c r="AB291" s="453"/>
      <c r="AC291" s="453"/>
      <c r="AD291" s="453"/>
      <c r="AE291" s="452"/>
      <c r="AF291" s="452"/>
      <c r="AG291" s="452"/>
      <c r="AH291" s="452"/>
      <c r="AI291" s="452"/>
      <c r="AJ291" s="452"/>
      <c r="AK291" s="452"/>
      <c r="AL291" s="452"/>
      <c r="AM291" s="452"/>
      <c r="AN291" s="452"/>
      <c r="AO291" s="446"/>
      <c r="AP291" s="446"/>
      <c r="AQ291" s="446"/>
      <c r="AR291" s="446"/>
      <c r="AS291" s="446"/>
      <c r="AT291" s="72"/>
      <c r="AU291" s="72"/>
      <c r="AV291" s="72"/>
      <c r="AW291" s="72"/>
      <c r="AX291" s="72"/>
      <c r="AY291" s="72"/>
      <c r="AZ291" s="72"/>
      <c r="BA291" s="72"/>
      <c r="BB291" s="72"/>
    </row>
    <row r="292" spans="3:58">
      <c r="C292" s="452"/>
      <c r="P292" s="452"/>
      <c r="Q292" s="452"/>
      <c r="R292" s="452"/>
      <c r="S292" s="452"/>
      <c r="T292" s="452"/>
      <c r="U292" s="452"/>
      <c r="V292" s="452"/>
      <c r="W292" s="452"/>
      <c r="X292" s="452"/>
      <c r="Y292" s="452"/>
      <c r="Z292" s="452"/>
      <c r="AA292" s="453"/>
      <c r="AB292" s="453"/>
      <c r="AC292" s="453"/>
      <c r="AD292" s="453"/>
      <c r="AE292" s="452"/>
      <c r="AF292" s="452"/>
      <c r="AG292" s="452"/>
      <c r="AH292" s="452"/>
      <c r="AI292" s="452"/>
      <c r="AJ292" s="452"/>
      <c r="AK292" s="452"/>
      <c r="AL292" s="452"/>
      <c r="AM292" s="452"/>
      <c r="AN292" s="452"/>
      <c r="AO292" s="446"/>
      <c r="AP292" s="446"/>
      <c r="AQ292" s="446"/>
      <c r="AR292" s="446"/>
      <c r="AS292" s="446"/>
      <c r="AT292" s="72"/>
      <c r="AU292" s="72"/>
      <c r="AV292" s="72"/>
      <c r="AW292" s="72"/>
      <c r="AX292" s="72"/>
      <c r="AY292" s="72"/>
      <c r="AZ292" s="72"/>
      <c r="BA292" s="72"/>
      <c r="BB292" s="72"/>
    </row>
    <row r="293" spans="3:58">
      <c r="C293" s="452"/>
      <c r="P293" s="452"/>
      <c r="Q293" s="452"/>
      <c r="R293" s="452"/>
      <c r="S293" s="452"/>
      <c r="T293" s="452"/>
      <c r="U293" s="452"/>
      <c r="V293" s="452"/>
      <c r="W293" s="452"/>
      <c r="X293" s="452"/>
      <c r="Y293" s="452"/>
      <c r="Z293" s="452"/>
      <c r="AA293" s="453"/>
      <c r="AB293" s="453"/>
      <c r="AC293" s="453"/>
      <c r="AD293" s="453"/>
      <c r="AE293" s="452"/>
      <c r="AF293" s="452"/>
      <c r="AG293" s="452"/>
      <c r="AH293" s="452"/>
      <c r="AI293" s="452"/>
      <c r="AJ293" s="452"/>
      <c r="AK293" s="452"/>
      <c r="AL293" s="452"/>
      <c r="AM293" s="452"/>
      <c r="AN293" s="452"/>
      <c r="AO293" s="446"/>
      <c r="AP293" s="446"/>
      <c r="AQ293" s="446"/>
      <c r="AR293" s="446"/>
      <c r="AS293" s="446"/>
      <c r="AT293" s="72"/>
      <c r="AU293" s="72"/>
      <c r="AV293" s="72"/>
      <c r="AW293" s="72"/>
      <c r="AX293" s="72"/>
      <c r="AY293" s="72"/>
      <c r="AZ293" s="72"/>
      <c r="BA293" s="72"/>
      <c r="BB293" s="72"/>
    </row>
    <row r="294" spans="3:58">
      <c r="C294" s="452"/>
      <c r="P294" s="452"/>
      <c r="Q294" s="452"/>
      <c r="R294" s="452"/>
      <c r="S294" s="452"/>
      <c r="T294" s="452"/>
      <c r="U294" s="452"/>
      <c r="V294" s="452"/>
      <c r="W294" s="452"/>
      <c r="X294" s="452"/>
      <c r="Y294" s="452"/>
      <c r="Z294" s="452"/>
      <c r="AA294" s="453"/>
      <c r="AB294" s="453"/>
      <c r="AC294" s="453"/>
      <c r="AD294" s="453"/>
      <c r="AE294" s="452"/>
      <c r="AF294" s="452"/>
      <c r="AG294" s="452"/>
      <c r="AH294" s="452"/>
      <c r="AI294" s="452"/>
      <c r="AJ294" s="452"/>
      <c r="AK294" s="452"/>
      <c r="AL294" s="452"/>
      <c r="AM294" s="452"/>
      <c r="AN294" s="452"/>
      <c r="AO294" s="446"/>
      <c r="AP294" s="446"/>
      <c r="AQ294" s="446"/>
      <c r="AR294" s="446"/>
      <c r="AS294" s="446"/>
      <c r="AT294" s="72"/>
      <c r="AU294" s="72"/>
      <c r="AV294" s="72"/>
      <c r="AW294" s="72"/>
      <c r="AX294" s="72"/>
      <c r="AY294" s="72"/>
      <c r="AZ294" s="72"/>
      <c r="BA294" s="72"/>
      <c r="BB294" s="72"/>
    </row>
    <row r="295" spans="3:58">
      <c r="C295" s="452"/>
      <c r="P295" s="452"/>
      <c r="Q295" s="452"/>
      <c r="R295" s="452"/>
      <c r="S295" s="452"/>
      <c r="T295" s="452"/>
      <c r="U295" s="452"/>
      <c r="V295" s="452"/>
      <c r="W295" s="452"/>
      <c r="X295" s="452"/>
      <c r="Y295" s="452"/>
      <c r="Z295" s="452"/>
      <c r="AA295" s="453"/>
      <c r="AB295" s="453"/>
      <c r="AC295" s="453"/>
      <c r="AD295" s="453"/>
      <c r="AE295" s="452"/>
      <c r="AF295" s="452"/>
      <c r="AG295" s="452"/>
      <c r="AH295" s="452"/>
      <c r="AI295" s="452"/>
      <c r="AJ295" s="452"/>
      <c r="AK295" s="452"/>
      <c r="AL295" s="452"/>
      <c r="AM295" s="452"/>
      <c r="AN295" s="452"/>
      <c r="AO295" s="446"/>
      <c r="AP295" s="446"/>
      <c r="AQ295" s="446"/>
      <c r="AR295" s="446"/>
      <c r="AS295" s="446"/>
      <c r="AT295" s="72"/>
      <c r="AU295" s="72"/>
      <c r="AV295" s="72"/>
      <c r="AW295" s="72"/>
      <c r="AX295" s="72"/>
      <c r="AY295" s="72"/>
      <c r="AZ295" s="72"/>
      <c r="BA295" s="72"/>
      <c r="BB295" s="72"/>
    </row>
    <row r="296" spans="3:58">
      <c r="C296" s="452"/>
      <c r="P296" s="452"/>
      <c r="Q296" s="452"/>
      <c r="R296" s="452"/>
      <c r="S296" s="452"/>
      <c r="T296" s="452"/>
      <c r="U296" s="452"/>
      <c r="V296" s="452"/>
      <c r="W296" s="452"/>
      <c r="X296" s="452"/>
      <c r="Y296" s="452"/>
      <c r="Z296" s="452"/>
      <c r="AA296" s="453"/>
      <c r="AB296" s="453"/>
      <c r="AC296" s="453"/>
      <c r="AD296" s="453"/>
      <c r="AE296" s="452"/>
      <c r="AF296" s="452"/>
      <c r="AG296" s="452"/>
      <c r="AH296" s="452"/>
      <c r="AI296" s="452"/>
      <c r="AJ296" s="452"/>
      <c r="AK296" s="452"/>
      <c r="AL296" s="452"/>
      <c r="AM296" s="452"/>
      <c r="AN296" s="452"/>
      <c r="AO296" s="446"/>
      <c r="AP296" s="446"/>
      <c r="AQ296" s="446"/>
      <c r="AR296" s="446"/>
      <c r="AS296" s="446"/>
      <c r="AT296" s="72"/>
      <c r="AU296" s="72"/>
      <c r="AV296" s="72"/>
      <c r="AW296" s="72"/>
      <c r="AX296" s="72"/>
      <c r="AY296" s="72"/>
      <c r="AZ296" s="72"/>
      <c r="BA296" s="72"/>
      <c r="BB296" s="72"/>
    </row>
    <row r="297" spans="3:58">
      <c r="C297" s="452"/>
      <c r="P297" s="452"/>
      <c r="Q297" s="452"/>
      <c r="R297" s="452"/>
      <c r="S297" s="452"/>
      <c r="T297" s="452"/>
      <c r="U297" s="452"/>
      <c r="V297" s="452"/>
      <c r="W297" s="452"/>
      <c r="X297" s="452"/>
      <c r="Y297" s="452"/>
      <c r="Z297" s="452"/>
      <c r="AA297" s="453"/>
      <c r="AB297" s="453"/>
      <c r="AC297" s="453"/>
      <c r="AD297" s="453"/>
      <c r="AE297" s="452"/>
      <c r="AF297" s="452"/>
      <c r="AG297" s="452"/>
      <c r="AH297" s="452"/>
      <c r="AI297" s="452"/>
      <c r="AJ297" s="452"/>
      <c r="AK297" s="452"/>
      <c r="AL297" s="452"/>
      <c r="AM297" s="452"/>
      <c r="AN297" s="452"/>
      <c r="AO297" s="446"/>
      <c r="AP297" s="446"/>
      <c r="AQ297" s="446"/>
      <c r="AR297" s="446"/>
      <c r="AS297" s="446"/>
      <c r="AT297" s="72"/>
      <c r="AU297" s="72"/>
      <c r="AV297" s="72"/>
      <c r="AW297" s="72"/>
      <c r="AX297" s="72"/>
      <c r="AY297" s="72"/>
      <c r="AZ297" s="72"/>
      <c r="BA297" s="72"/>
      <c r="BB297" s="72"/>
    </row>
    <row r="298" spans="3:58">
      <c r="C298" s="452"/>
      <c r="P298" s="452"/>
      <c r="Q298" s="452"/>
      <c r="R298" s="452"/>
      <c r="S298" s="452"/>
      <c r="T298" s="452"/>
      <c r="U298" s="452"/>
      <c r="V298" s="452"/>
      <c r="W298" s="452"/>
      <c r="X298" s="452"/>
      <c r="Y298" s="452"/>
      <c r="Z298" s="452"/>
      <c r="AA298" s="453"/>
      <c r="AB298" s="453"/>
      <c r="AC298" s="453"/>
      <c r="AD298" s="453"/>
      <c r="AE298" s="452"/>
      <c r="AF298" s="452"/>
      <c r="AG298" s="452"/>
      <c r="AH298" s="452"/>
      <c r="AI298" s="452"/>
      <c r="AJ298" s="452"/>
      <c r="AK298" s="452"/>
      <c r="AL298" s="452"/>
      <c r="AM298" s="452"/>
      <c r="AN298" s="452"/>
      <c r="AO298" s="446"/>
      <c r="AP298" s="446"/>
      <c r="AQ298" s="446"/>
      <c r="AR298" s="446"/>
      <c r="AS298" s="446"/>
      <c r="AT298" s="72"/>
      <c r="AU298" s="72"/>
      <c r="AV298" s="72"/>
      <c r="AW298" s="72"/>
      <c r="AX298" s="72"/>
      <c r="AY298" s="72"/>
      <c r="AZ298" s="72"/>
      <c r="BA298" s="72"/>
      <c r="BB298" s="72"/>
    </row>
    <row r="299" spans="3:58">
      <c r="C299" s="452"/>
      <c r="Q299" s="452"/>
      <c r="R299" s="452"/>
      <c r="S299" s="452"/>
      <c r="T299" s="452"/>
      <c r="U299" s="452"/>
      <c r="V299" s="452"/>
      <c r="W299" s="452"/>
      <c r="X299" s="452"/>
      <c r="Y299" s="452"/>
      <c r="Z299" s="452"/>
      <c r="AA299" s="452"/>
      <c r="AB299" s="453"/>
      <c r="AC299" s="453"/>
      <c r="AD299" s="453"/>
      <c r="AE299" s="453"/>
      <c r="AF299" s="452"/>
      <c r="AG299" s="452"/>
      <c r="AH299" s="452"/>
      <c r="AI299" s="452"/>
      <c r="AJ299" s="452"/>
      <c r="AK299" s="452"/>
      <c r="AL299" s="452"/>
      <c r="AM299" s="452"/>
      <c r="AN299" s="452"/>
      <c r="AO299" s="446"/>
      <c r="AP299" s="446"/>
      <c r="AQ299" s="446"/>
      <c r="AR299" s="446"/>
      <c r="AS299" s="446"/>
      <c r="AT299" s="72"/>
      <c r="AU299" s="72"/>
      <c r="AV299" s="72"/>
      <c r="AW299" s="72"/>
      <c r="AX299" s="72"/>
      <c r="AY299" s="72"/>
      <c r="AZ299" s="72"/>
      <c r="BA299" s="72"/>
      <c r="BB299" s="72"/>
      <c r="BC299" s="72"/>
      <c r="BD299" s="72"/>
      <c r="BE299" s="72"/>
      <c r="BF299" s="72"/>
    </row>
    <row r="300" spans="3:58">
      <c r="C300" s="452"/>
      <c r="Q300" s="452"/>
      <c r="R300" s="452"/>
      <c r="S300" s="452"/>
      <c r="T300" s="452"/>
      <c r="U300" s="452"/>
      <c r="V300" s="452"/>
      <c r="W300" s="452"/>
      <c r="X300" s="452"/>
      <c r="Y300" s="452"/>
      <c r="Z300" s="452"/>
      <c r="AA300" s="452"/>
      <c r="AB300" s="453"/>
      <c r="AC300" s="453"/>
      <c r="AD300" s="453"/>
      <c r="AE300" s="453"/>
      <c r="AF300" s="452"/>
      <c r="AG300" s="452"/>
      <c r="AH300" s="452"/>
      <c r="AI300" s="452"/>
      <c r="AJ300" s="452"/>
      <c r="AK300" s="452"/>
      <c r="AL300" s="452"/>
      <c r="AM300" s="452"/>
      <c r="AN300" s="452"/>
      <c r="AO300" s="446"/>
      <c r="AP300" s="446"/>
      <c r="AQ300" s="446"/>
      <c r="AR300" s="446"/>
      <c r="AS300" s="446"/>
      <c r="AT300" s="72"/>
      <c r="AU300" s="72"/>
      <c r="AV300" s="72"/>
      <c r="AW300" s="72"/>
      <c r="AX300" s="72"/>
      <c r="AY300" s="72"/>
      <c r="AZ300" s="72"/>
      <c r="BA300" s="72"/>
      <c r="BB300" s="72"/>
      <c r="BC300" s="72"/>
      <c r="BD300" s="72"/>
      <c r="BE300" s="72"/>
      <c r="BF300" s="72"/>
    </row>
    <row r="301" spans="3:58">
      <c r="C301" s="452"/>
      <c r="Q301" s="452"/>
      <c r="R301" s="452"/>
      <c r="S301" s="452"/>
      <c r="T301" s="452"/>
      <c r="U301" s="452"/>
      <c r="V301" s="452"/>
      <c r="W301" s="452"/>
      <c r="X301" s="452"/>
      <c r="Y301" s="452"/>
      <c r="Z301" s="452"/>
      <c r="AA301" s="452"/>
      <c r="AB301" s="453"/>
      <c r="AC301" s="453"/>
      <c r="AD301" s="453"/>
      <c r="AE301" s="453"/>
      <c r="AF301" s="452"/>
      <c r="AG301" s="452"/>
      <c r="AH301" s="452"/>
      <c r="AI301" s="452"/>
      <c r="AJ301" s="452"/>
      <c r="AK301" s="452"/>
      <c r="AL301" s="452"/>
      <c r="AM301" s="452"/>
      <c r="AN301" s="452"/>
      <c r="AO301" s="446"/>
      <c r="AP301" s="446"/>
      <c r="AQ301" s="446"/>
      <c r="AR301" s="446"/>
      <c r="AS301" s="446"/>
      <c r="AT301" s="72"/>
      <c r="AU301" s="72"/>
      <c r="AV301" s="72"/>
      <c r="AW301" s="72"/>
      <c r="AX301" s="72"/>
      <c r="AY301" s="72"/>
      <c r="AZ301" s="72"/>
      <c r="BA301" s="72"/>
      <c r="BB301" s="72"/>
      <c r="BC301" s="72"/>
      <c r="BD301" s="72"/>
      <c r="BE301" s="72"/>
      <c r="BF301" s="72"/>
    </row>
    <row r="302" spans="3:58">
      <c r="C302" s="452"/>
      <c r="Q302" s="452"/>
      <c r="R302" s="452"/>
      <c r="S302" s="452"/>
      <c r="T302" s="452"/>
      <c r="U302" s="452"/>
      <c r="V302" s="452"/>
      <c r="W302" s="452"/>
      <c r="X302" s="452"/>
      <c r="Y302" s="452"/>
      <c r="Z302" s="452"/>
      <c r="AA302" s="452"/>
      <c r="AB302" s="453"/>
      <c r="AC302" s="453"/>
      <c r="AD302" s="453"/>
      <c r="AE302" s="453"/>
      <c r="AF302" s="452"/>
      <c r="AG302" s="452"/>
      <c r="AH302" s="452"/>
      <c r="AI302" s="452"/>
      <c r="AJ302" s="452"/>
      <c r="AK302" s="452"/>
      <c r="AL302" s="452"/>
      <c r="AM302" s="452"/>
      <c r="AN302" s="452"/>
      <c r="AO302" s="446"/>
      <c r="AP302" s="446"/>
      <c r="AQ302" s="446"/>
      <c r="AR302" s="446"/>
      <c r="AS302" s="446"/>
      <c r="AT302" s="72"/>
      <c r="AU302" s="72"/>
      <c r="AV302" s="72"/>
      <c r="AW302" s="72"/>
      <c r="AX302" s="72"/>
      <c r="AY302" s="72"/>
      <c r="AZ302" s="72"/>
      <c r="BA302" s="72"/>
      <c r="BB302" s="72"/>
      <c r="BC302" s="72"/>
      <c r="BD302" s="72"/>
      <c r="BE302" s="72"/>
      <c r="BF302" s="72"/>
    </row>
    <row r="303" spans="3:58">
      <c r="C303" s="452"/>
      <c r="Q303" s="452"/>
      <c r="R303" s="452"/>
      <c r="S303" s="452"/>
      <c r="T303" s="452"/>
      <c r="U303" s="452"/>
      <c r="V303" s="452"/>
      <c r="W303" s="452"/>
      <c r="X303" s="452"/>
      <c r="Y303" s="452"/>
      <c r="Z303" s="452"/>
      <c r="AA303" s="452"/>
      <c r="AB303" s="453"/>
      <c r="AC303" s="453"/>
      <c r="AD303" s="453"/>
      <c r="AE303" s="453"/>
      <c r="AF303" s="452"/>
      <c r="AG303" s="452"/>
      <c r="AH303" s="452"/>
      <c r="AI303" s="452"/>
      <c r="AJ303" s="452"/>
      <c r="AK303" s="452"/>
      <c r="AL303" s="452"/>
      <c r="AM303" s="452"/>
      <c r="AN303" s="452"/>
      <c r="AO303" s="446"/>
      <c r="AP303" s="446"/>
      <c r="AQ303" s="446"/>
      <c r="AR303" s="446"/>
      <c r="AS303" s="446"/>
      <c r="AT303" s="72"/>
      <c r="AU303" s="72"/>
      <c r="AV303" s="72"/>
      <c r="AW303" s="72"/>
      <c r="AX303" s="72"/>
      <c r="AY303" s="72"/>
      <c r="AZ303" s="72"/>
      <c r="BA303" s="72"/>
      <c r="BB303" s="72"/>
      <c r="BC303" s="72"/>
      <c r="BD303" s="72"/>
      <c r="BE303" s="72"/>
      <c r="BF303" s="72"/>
    </row>
    <row r="304" spans="3:58">
      <c r="C304" s="452"/>
      <c r="Q304" s="452"/>
      <c r="R304" s="452"/>
      <c r="S304" s="452"/>
      <c r="T304" s="452"/>
      <c r="U304" s="452"/>
      <c r="V304" s="452"/>
      <c r="W304" s="452"/>
      <c r="X304" s="452"/>
      <c r="Y304" s="452"/>
      <c r="Z304" s="452"/>
      <c r="AA304" s="452"/>
      <c r="AB304" s="453"/>
      <c r="AC304" s="453"/>
      <c r="AD304" s="453"/>
      <c r="AE304" s="453"/>
      <c r="AF304" s="452"/>
      <c r="AG304" s="452"/>
      <c r="AH304" s="452"/>
      <c r="AI304" s="452"/>
      <c r="AJ304" s="452"/>
      <c r="AK304" s="452"/>
      <c r="AL304" s="452"/>
      <c r="AM304" s="452"/>
      <c r="AN304" s="452"/>
      <c r="AO304" s="446"/>
      <c r="AP304" s="446"/>
      <c r="AQ304" s="446"/>
      <c r="AR304" s="446"/>
      <c r="AS304" s="446"/>
      <c r="AT304" s="72"/>
      <c r="AU304" s="72"/>
      <c r="AV304" s="72"/>
      <c r="AW304" s="72"/>
      <c r="AX304" s="72"/>
      <c r="AY304" s="72"/>
      <c r="AZ304" s="72"/>
      <c r="BA304" s="72"/>
      <c r="BB304" s="72"/>
      <c r="BC304" s="72"/>
      <c r="BD304" s="72"/>
      <c r="BE304" s="72"/>
      <c r="BF304" s="72"/>
    </row>
    <row r="305" spans="3:58">
      <c r="C305" s="452"/>
      <c r="Q305" s="452"/>
      <c r="R305" s="452"/>
      <c r="S305" s="452"/>
      <c r="T305" s="452"/>
      <c r="U305" s="452"/>
      <c r="V305" s="452"/>
      <c r="W305" s="452"/>
      <c r="X305" s="452"/>
      <c r="Y305" s="452"/>
      <c r="Z305" s="452"/>
      <c r="AA305" s="452"/>
      <c r="AB305" s="453"/>
      <c r="AC305" s="453"/>
      <c r="AD305" s="453"/>
      <c r="AE305" s="453"/>
      <c r="AF305" s="452"/>
      <c r="AG305" s="452"/>
      <c r="AH305" s="452"/>
      <c r="AI305" s="452"/>
      <c r="AJ305" s="452"/>
      <c r="AK305" s="452"/>
      <c r="AL305" s="452"/>
      <c r="AM305" s="452"/>
      <c r="AN305" s="452"/>
      <c r="AO305" s="446"/>
      <c r="AP305" s="446"/>
      <c r="AQ305" s="446"/>
      <c r="AR305" s="446"/>
      <c r="AS305" s="446"/>
      <c r="AT305" s="72"/>
      <c r="AU305" s="72"/>
      <c r="AV305" s="72"/>
      <c r="AW305" s="72"/>
      <c r="AX305" s="72"/>
      <c r="AY305" s="72"/>
      <c r="AZ305" s="72"/>
      <c r="BA305" s="72"/>
      <c r="BB305" s="72"/>
      <c r="BC305" s="72"/>
      <c r="BD305" s="72"/>
      <c r="BE305" s="72"/>
      <c r="BF305" s="72"/>
    </row>
    <row r="306" spans="3:58">
      <c r="C306" s="452"/>
      <c r="Q306" s="452"/>
      <c r="R306" s="452"/>
      <c r="S306" s="452"/>
      <c r="T306" s="452"/>
      <c r="U306" s="452"/>
      <c r="V306" s="452"/>
      <c r="W306" s="452"/>
      <c r="X306" s="452"/>
      <c r="Y306" s="452"/>
      <c r="Z306" s="452"/>
      <c r="AA306" s="452"/>
      <c r="AB306" s="453"/>
      <c r="AC306" s="453"/>
      <c r="AD306" s="453"/>
      <c r="AE306" s="453"/>
      <c r="AF306" s="452"/>
      <c r="AG306" s="452"/>
      <c r="AH306" s="452"/>
      <c r="AI306" s="452"/>
      <c r="AJ306" s="452"/>
      <c r="AK306" s="452"/>
      <c r="AL306" s="452"/>
      <c r="AM306" s="452"/>
      <c r="AN306" s="452"/>
      <c r="AO306" s="446"/>
      <c r="AP306" s="446"/>
      <c r="AQ306" s="446"/>
      <c r="AR306" s="446"/>
      <c r="AS306" s="446"/>
      <c r="AT306" s="72"/>
      <c r="AU306" s="72"/>
      <c r="AV306" s="72"/>
      <c r="AW306" s="72"/>
      <c r="AX306" s="72"/>
      <c r="AY306" s="72"/>
      <c r="AZ306" s="72"/>
      <c r="BA306" s="72"/>
      <c r="BB306" s="72"/>
      <c r="BC306" s="72"/>
      <c r="BD306" s="72"/>
      <c r="BE306" s="72"/>
      <c r="BF306" s="72"/>
    </row>
    <row r="307" spans="3:58">
      <c r="C307" s="452"/>
      <c r="Q307" s="452"/>
      <c r="R307" s="452"/>
      <c r="S307" s="452"/>
      <c r="T307" s="452"/>
      <c r="U307" s="452"/>
      <c r="V307" s="452"/>
      <c r="W307" s="452"/>
      <c r="X307" s="452"/>
      <c r="Y307" s="452"/>
      <c r="Z307" s="452"/>
      <c r="AA307" s="452"/>
      <c r="AB307" s="453"/>
      <c r="AC307" s="453"/>
      <c r="AD307" s="453"/>
      <c r="AE307" s="453"/>
      <c r="AF307" s="452"/>
      <c r="AG307" s="452"/>
      <c r="AH307" s="452"/>
      <c r="AI307" s="452"/>
      <c r="AJ307" s="452"/>
      <c r="AK307" s="452"/>
      <c r="AL307" s="452"/>
      <c r="AM307" s="452"/>
      <c r="AN307" s="452"/>
      <c r="AO307" s="446"/>
      <c r="AP307" s="446"/>
      <c r="AQ307" s="446"/>
      <c r="AR307" s="446"/>
      <c r="AS307" s="446"/>
      <c r="AT307" s="72"/>
      <c r="AU307" s="72"/>
      <c r="AV307" s="72"/>
      <c r="AW307" s="72"/>
      <c r="AX307" s="72"/>
      <c r="AY307" s="72"/>
      <c r="AZ307" s="72"/>
      <c r="BA307" s="72"/>
      <c r="BB307" s="72"/>
      <c r="BC307" s="72"/>
      <c r="BD307" s="72"/>
      <c r="BE307" s="72"/>
      <c r="BF307" s="72"/>
    </row>
    <row r="308" spans="3:58">
      <c r="C308" s="452"/>
      <c r="Q308" s="452"/>
      <c r="R308" s="452"/>
      <c r="S308" s="452"/>
      <c r="T308" s="452"/>
      <c r="U308" s="452"/>
      <c r="V308" s="452"/>
      <c r="W308" s="452"/>
      <c r="X308" s="452"/>
      <c r="Y308" s="452"/>
      <c r="Z308" s="452"/>
      <c r="AA308" s="452"/>
      <c r="AB308" s="453"/>
      <c r="AC308" s="453"/>
      <c r="AD308" s="453"/>
      <c r="AE308" s="453"/>
      <c r="AF308" s="452"/>
      <c r="AG308" s="452"/>
      <c r="AH308" s="452"/>
      <c r="AI308" s="452"/>
      <c r="AJ308" s="452"/>
      <c r="AK308" s="452"/>
      <c r="AL308" s="452"/>
      <c r="AM308" s="452"/>
      <c r="AN308" s="452"/>
      <c r="AO308" s="446"/>
      <c r="AP308" s="446"/>
      <c r="AQ308" s="446"/>
      <c r="AR308" s="446"/>
      <c r="AS308" s="446"/>
      <c r="AT308" s="72"/>
      <c r="AU308" s="72"/>
      <c r="AV308" s="72"/>
      <c r="AW308" s="72"/>
      <c r="AX308" s="72"/>
      <c r="AY308" s="72"/>
      <c r="AZ308" s="72"/>
      <c r="BA308" s="72"/>
      <c r="BB308" s="72"/>
      <c r="BC308" s="72"/>
      <c r="BD308" s="72"/>
      <c r="BE308" s="72"/>
      <c r="BF308" s="72"/>
    </row>
    <row r="309" spans="3:58">
      <c r="C309" s="452"/>
      <c r="Q309" s="452"/>
      <c r="R309" s="452"/>
      <c r="S309" s="452"/>
      <c r="T309" s="452"/>
      <c r="U309" s="452"/>
      <c r="V309" s="452"/>
      <c r="W309" s="452"/>
      <c r="X309" s="452"/>
      <c r="Y309" s="452"/>
      <c r="Z309" s="452"/>
      <c r="AA309" s="452"/>
      <c r="AB309" s="453"/>
      <c r="AC309" s="453"/>
      <c r="AD309" s="453"/>
      <c r="AE309" s="453"/>
      <c r="AF309" s="452"/>
      <c r="AG309" s="452"/>
      <c r="AH309" s="452"/>
      <c r="AI309" s="452"/>
      <c r="AJ309" s="452"/>
      <c r="AK309" s="452"/>
      <c r="AL309" s="452"/>
      <c r="AM309" s="452"/>
      <c r="AN309" s="452"/>
      <c r="AO309" s="446"/>
      <c r="AP309" s="446"/>
      <c r="AQ309" s="446"/>
      <c r="AR309" s="446"/>
      <c r="AS309" s="446"/>
      <c r="AT309" s="72"/>
      <c r="AU309" s="72"/>
      <c r="AV309" s="72"/>
      <c r="AW309" s="72"/>
      <c r="AX309" s="72"/>
      <c r="AY309" s="72"/>
      <c r="AZ309" s="72"/>
      <c r="BA309" s="72"/>
      <c r="BB309" s="72"/>
      <c r="BC309" s="72"/>
      <c r="BD309" s="72"/>
      <c r="BE309" s="72"/>
      <c r="BF309" s="72"/>
    </row>
    <row r="310" spans="3:58">
      <c r="C310" s="452"/>
      <c r="Q310" s="452"/>
      <c r="R310" s="452"/>
      <c r="S310" s="452"/>
      <c r="T310" s="452"/>
      <c r="U310" s="452"/>
      <c r="V310" s="452"/>
      <c r="W310" s="452"/>
      <c r="X310" s="452"/>
      <c r="Y310" s="452"/>
      <c r="Z310" s="452"/>
      <c r="AA310" s="452"/>
      <c r="AB310" s="453"/>
      <c r="AC310" s="453"/>
      <c r="AD310" s="453"/>
      <c r="AE310" s="453"/>
      <c r="AF310" s="452"/>
      <c r="AG310" s="452"/>
      <c r="AH310" s="452"/>
      <c r="AI310" s="452"/>
      <c r="AJ310" s="452"/>
      <c r="AK310" s="452"/>
      <c r="AL310" s="452"/>
      <c r="AM310" s="452"/>
      <c r="AN310" s="452"/>
      <c r="AO310" s="446"/>
      <c r="AP310" s="446"/>
      <c r="AQ310" s="446"/>
      <c r="AR310" s="446"/>
      <c r="AS310" s="446"/>
      <c r="AT310" s="72"/>
      <c r="AU310" s="72"/>
      <c r="AV310" s="72"/>
      <c r="AW310" s="72"/>
      <c r="AX310" s="72"/>
      <c r="AY310" s="72"/>
      <c r="AZ310" s="72"/>
      <c r="BA310" s="72"/>
      <c r="BB310" s="72"/>
      <c r="BC310" s="72"/>
      <c r="BD310" s="72"/>
      <c r="BE310" s="72"/>
      <c r="BF310" s="72"/>
    </row>
    <row r="311" spans="3:58">
      <c r="C311" s="452"/>
      <c r="Q311" s="452"/>
      <c r="R311" s="452"/>
      <c r="S311" s="452"/>
      <c r="T311" s="452"/>
      <c r="U311" s="452"/>
      <c r="V311" s="452"/>
      <c r="W311" s="452"/>
      <c r="X311" s="452"/>
      <c r="Y311" s="452"/>
      <c r="Z311" s="452"/>
      <c r="AA311" s="452"/>
      <c r="AB311" s="453"/>
      <c r="AC311" s="453"/>
      <c r="AD311" s="453"/>
      <c r="AE311" s="453"/>
      <c r="AF311" s="452"/>
      <c r="AG311" s="452"/>
      <c r="AH311" s="452"/>
      <c r="AI311" s="452"/>
      <c r="AJ311" s="452"/>
      <c r="AK311" s="452"/>
      <c r="AL311" s="452"/>
      <c r="AM311" s="452"/>
      <c r="AN311" s="452"/>
      <c r="AO311" s="446"/>
      <c r="AP311" s="446"/>
      <c r="AQ311" s="446"/>
      <c r="AR311" s="446"/>
      <c r="AS311" s="446"/>
      <c r="AT311" s="72"/>
      <c r="AU311" s="72"/>
      <c r="AV311" s="72"/>
      <c r="AW311" s="72"/>
      <c r="AX311" s="72"/>
      <c r="AY311" s="72"/>
      <c r="AZ311" s="72"/>
      <c r="BA311" s="72"/>
      <c r="BB311" s="72"/>
      <c r="BC311" s="72"/>
      <c r="BD311" s="72"/>
      <c r="BE311" s="72"/>
      <c r="BF311" s="72"/>
    </row>
    <row r="312" spans="3:58">
      <c r="C312" s="452"/>
      <c r="Q312" s="452"/>
      <c r="R312" s="452"/>
      <c r="S312" s="452"/>
      <c r="T312" s="452"/>
      <c r="U312" s="452"/>
      <c r="V312" s="452"/>
      <c r="W312" s="452"/>
      <c r="X312" s="452"/>
      <c r="Y312" s="452"/>
      <c r="Z312" s="452"/>
      <c r="AA312" s="452"/>
      <c r="AB312" s="453"/>
      <c r="AC312" s="453"/>
      <c r="AD312" s="453"/>
      <c r="AE312" s="453"/>
      <c r="AF312" s="452"/>
      <c r="AG312" s="452"/>
      <c r="AH312" s="452"/>
      <c r="AI312" s="452"/>
      <c r="AJ312" s="452"/>
      <c r="AK312" s="452"/>
      <c r="AL312" s="452"/>
      <c r="AM312" s="452"/>
      <c r="AN312" s="452"/>
      <c r="AO312" s="446"/>
      <c r="AP312" s="446"/>
      <c r="AQ312" s="446"/>
      <c r="AR312" s="446"/>
      <c r="AS312" s="446"/>
      <c r="AT312" s="72"/>
      <c r="AU312" s="72"/>
      <c r="AV312" s="72"/>
      <c r="AW312" s="72"/>
      <c r="AX312" s="72"/>
      <c r="AY312" s="72"/>
      <c r="AZ312" s="72"/>
      <c r="BA312" s="72"/>
      <c r="BB312" s="72"/>
      <c r="BC312" s="72"/>
      <c r="BD312" s="72"/>
      <c r="BE312" s="72"/>
      <c r="BF312" s="72"/>
    </row>
    <row r="313" spans="3:58">
      <c r="C313" s="452"/>
      <c r="Q313" s="452"/>
      <c r="R313" s="452"/>
      <c r="S313" s="452"/>
      <c r="T313" s="452"/>
      <c r="U313" s="452"/>
      <c r="V313" s="452"/>
      <c r="W313" s="452"/>
      <c r="X313" s="452"/>
      <c r="Y313" s="452"/>
      <c r="Z313" s="452"/>
      <c r="AA313" s="452"/>
      <c r="AB313" s="453"/>
      <c r="AC313" s="453"/>
      <c r="AD313" s="453"/>
      <c r="AE313" s="453"/>
      <c r="AF313" s="452"/>
      <c r="AG313" s="452"/>
      <c r="AH313" s="452"/>
      <c r="AI313" s="452"/>
      <c r="AJ313" s="452"/>
      <c r="AK313" s="452"/>
      <c r="AL313" s="452"/>
      <c r="AM313" s="452"/>
      <c r="AN313" s="452"/>
      <c r="AO313" s="446"/>
      <c r="AP313" s="446"/>
      <c r="AQ313" s="446"/>
      <c r="AR313" s="446"/>
      <c r="AS313" s="446"/>
      <c r="AT313" s="72"/>
      <c r="AU313" s="72"/>
      <c r="AV313" s="72"/>
      <c r="AW313" s="72"/>
      <c r="AX313" s="72"/>
      <c r="AY313" s="72"/>
      <c r="AZ313" s="72"/>
      <c r="BA313" s="72"/>
      <c r="BB313" s="72"/>
      <c r="BC313" s="72"/>
      <c r="BD313" s="72"/>
      <c r="BE313" s="72"/>
      <c r="BF313" s="72"/>
    </row>
    <row r="314" spans="3:58">
      <c r="C314" s="452"/>
      <c r="Q314" s="452"/>
      <c r="R314" s="452"/>
      <c r="S314" s="452"/>
      <c r="T314" s="452"/>
      <c r="U314" s="452"/>
      <c r="V314" s="452"/>
      <c r="W314" s="452"/>
      <c r="X314" s="452"/>
      <c r="Y314" s="452"/>
      <c r="Z314" s="452"/>
      <c r="AA314" s="452"/>
      <c r="AB314" s="453"/>
      <c r="AC314" s="453"/>
      <c r="AD314" s="453"/>
      <c r="AE314" s="453"/>
      <c r="AF314" s="452"/>
      <c r="AG314" s="452"/>
      <c r="AH314" s="452"/>
      <c r="AI314" s="452"/>
      <c r="AJ314" s="452"/>
      <c r="AK314" s="452"/>
      <c r="AL314" s="452"/>
      <c r="AM314" s="452"/>
      <c r="AN314" s="452"/>
      <c r="AO314" s="446"/>
      <c r="AP314" s="446"/>
      <c r="AQ314" s="446"/>
      <c r="AR314" s="446"/>
      <c r="AS314" s="446"/>
      <c r="AT314" s="72"/>
      <c r="AU314" s="72"/>
      <c r="AV314" s="72"/>
      <c r="AW314" s="72"/>
      <c r="AX314" s="72"/>
      <c r="AY314" s="72"/>
      <c r="AZ314" s="72"/>
      <c r="BA314" s="72"/>
      <c r="BB314" s="72"/>
      <c r="BC314" s="72"/>
      <c r="BD314" s="72"/>
      <c r="BE314" s="72"/>
      <c r="BF314" s="72"/>
    </row>
    <row r="315" spans="3:58">
      <c r="C315" s="452"/>
      <c r="Q315" s="452"/>
      <c r="R315" s="452"/>
      <c r="S315" s="452"/>
      <c r="T315" s="452"/>
      <c r="U315" s="452"/>
      <c r="V315" s="452"/>
      <c r="W315" s="452"/>
      <c r="X315" s="452"/>
      <c r="Y315" s="452"/>
      <c r="Z315" s="452"/>
      <c r="AA315" s="452"/>
      <c r="AB315" s="453"/>
      <c r="AC315" s="453"/>
      <c r="AD315" s="453"/>
      <c r="AE315" s="453"/>
      <c r="AF315" s="452"/>
      <c r="AG315" s="452"/>
      <c r="AH315" s="452"/>
      <c r="AI315" s="452"/>
      <c r="AJ315" s="452"/>
      <c r="AK315" s="452"/>
      <c r="AL315" s="452"/>
      <c r="AM315" s="452"/>
      <c r="AN315" s="452"/>
      <c r="AO315" s="446"/>
      <c r="AP315" s="446"/>
      <c r="AQ315" s="446"/>
      <c r="AR315" s="446"/>
      <c r="AS315" s="446"/>
      <c r="AT315" s="72"/>
      <c r="AU315" s="72"/>
      <c r="AV315" s="72"/>
      <c r="AW315" s="72"/>
      <c r="AX315" s="72"/>
      <c r="AY315" s="72"/>
      <c r="AZ315" s="72"/>
      <c r="BA315" s="72"/>
      <c r="BB315" s="72"/>
      <c r="BC315" s="72"/>
      <c r="BD315" s="72"/>
      <c r="BE315" s="72"/>
      <c r="BF315" s="72"/>
    </row>
    <row r="316" spans="3:58">
      <c r="C316" s="452"/>
      <c r="Q316" s="452"/>
      <c r="R316" s="452"/>
      <c r="S316" s="452"/>
      <c r="T316" s="452"/>
      <c r="U316" s="452"/>
      <c r="V316" s="452"/>
      <c r="W316" s="452"/>
      <c r="X316" s="452"/>
      <c r="Y316" s="452"/>
      <c r="Z316" s="452"/>
      <c r="AA316" s="452"/>
      <c r="AB316" s="453"/>
      <c r="AC316" s="453"/>
      <c r="AD316" s="453"/>
      <c r="AE316" s="453"/>
      <c r="AF316" s="452"/>
      <c r="AG316" s="452"/>
      <c r="AH316" s="452"/>
      <c r="AI316" s="452"/>
      <c r="AJ316" s="452"/>
      <c r="AK316" s="452"/>
      <c r="AL316" s="452"/>
      <c r="AM316" s="452"/>
      <c r="AN316" s="452"/>
      <c r="AO316" s="446"/>
      <c r="AP316" s="446"/>
      <c r="AQ316" s="446"/>
      <c r="AR316" s="446"/>
      <c r="AS316" s="446"/>
      <c r="AT316" s="72"/>
      <c r="AU316" s="72"/>
      <c r="AV316" s="72"/>
      <c r="AW316" s="72"/>
      <c r="AX316" s="72"/>
      <c r="AY316" s="72"/>
      <c r="AZ316" s="72"/>
      <c r="BA316" s="72"/>
      <c r="BB316" s="72"/>
      <c r="BC316" s="72"/>
      <c r="BD316" s="72"/>
      <c r="BE316" s="72"/>
      <c r="BF316" s="72"/>
    </row>
    <row r="317" spans="3:58">
      <c r="C317" s="452"/>
      <c r="Q317" s="452"/>
      <c r="R317" s="452"/>
      <c r="S317" s="452"/>
      <c r="T317" s="452"/>
      <c r="U317" s="452"/>
      <c r="V317" s="452"/>
      <c r="W317" s="452"/>
      <c r="X317" s="452"/>
      <c r="Y317" s="452"/>
      <c r="Z317" s="452"/>
      <c r="AA317" s="452"/>
      <c r="AB317" s="453"/>
      <c r="AC317" s="453"/>
      <c r="AD317" s="453"/>
      <c r="AE317" s="453"/>
      <c r="AF317" s="452"/>
      <c r="AG317" s="452"/>
      <c r="AH317" s="452"/>
      <c r="AI317" s="452"/>
      <c r="AJ317" s="452"/>
      <c r="AK317" s="452"/>
      <c r="AL317" s="452"/>
      <c r="AM317" s="452"/>
      <c r="AN317" s="452"/>
      <c r="AO317" s="446"/>
      <c r="AP317" s="446"/>
      <c r="AQ317" s="446"/>
      <c r="AR317" s="446"/>
      <c r="AS317" s="446"/>
      <c r="AT317" s="72"/>
      <c r="AU317" s="72"/>
      <c r="AV317" s="72"/>
      <c r="AW317" s="72"/>
      <c r="AX317" s="72"/>
      <c r="AY317" s="72"/>
      <c r="AZ317" s="72"/>
      <c r="BA317" s="72"/>
      <c r="BB317" s="72"/>
      <c r="BC317" s="72"/>
      <c r="BD317" s="72"/>
      <c r="BE317" s="72"/>
      <c r="BF317" s="72"/>
    </row>
    <row r="318" spans="3:58">
      <c r="C318" s="452"/>
      <c r="Q318" s="452"/>
      <c r="R318" s="452"/>
      <c r="S318" s="452"/>
      <c r="T318" s="452"/>
      <c r="U318" s="452"/>
      <c r="V318" s="452"/>
      <c r="W318" s="452"/>
      <c r="X318" s="452"/>
      <c r="Y318" s="452"/>
      <c r="Z318" s="452"/>
      <c r="AA318" s="452"/>
      <c r="AB318" s="453"/>
      <c r="AC318" s="453"/>
      <c r="AD318" s="453"/>
      <c r="AE318" s="453"/>
      <c r="AF318" s="452"/>
      <c r="AG318" s="452"/>
      <c r="AH318" s="452"/>
      <c r="AI318" s="452"/>
      <c r="AJ318" s="452"/>
      <c r="AK318" s="452"/>
      <c r="AL318" s="452"/>
      <c r="AM318" s="452"/>
      <c r="AN318" s="452"/>
      <c r="AO318" s="446"/>
      <c r="AP318" s="446"/>
      <c r="AQ318" s="446"/>
      <c r="AR318" s="446"/>
      <c r="AS318" s="446"/>
      <c r="AT318" s="72"/>
      <c r="AU318" s="72"/>
      <c r="AV318" s="72"/>
      <c r="AW318" s="72"/>
      <c r="AX318" s="72"/>
      <c r="AY318" s="72"/>
      <c r="AZ318" s="72"/>
      <c r="BA318" s="72"/>
      <c r="BB318" s="72"/>
      <c r="BC318" s="72"/>
      <c r="BD318" s="72"/>
      <c r="BE318" s="72"/>
      <c r="BF318" s="72"/>
    </row>
    <row r="319" spans="3:58">
      <c r="C319" s="452"/>
      <c r="Q319" s="452"/>
      <c r="R319" s="452"/>
      <c r="S319" s="452"/>
      <c r="T319" s="452"/>
      <c r="U319" s="452"/>
      <c r="V319" s="452"/>
      <c r="W319" s="452"/>
      <c r="X319" s="452"/>
      <c r="Y319" s="452"/>
      <c r="Z319" s="452"/>
      <c r="AA319" s="452"/>
      <c r="AB319" s="453"/>
      <c r="AC319" s="453"/>
      <c r="AD319" s="453"/>
      <c r="AE319" s="453"/>
      <c r="AF319" s="452"/>
      <c r="AG319" s="452"/>
      <c r="AH319" s="452"/>
      <c r="AI319" s="452"/>
      <c r="AJ319" s="452"/>
      <c r="AK319" s="452"/>
      <c r="AL319" s="452"/>
      <c r="AM319" s="452"/>
      <c r="AN319" s="452"/>
      <c r="AO319" s="446"/>
      <c r="AP319" s="446"/>
      <c r="AQ319" s="446"/>
      <c r="AR319" s="446"/>
      <c r="AS319" s="446"/>
      <c r="AT319" s="72"/>
      <c r="AU319" s="72"/>
      <c r="AV319" s="72"/>
      <c r="AW319" s="72"/>
      <c r="AX319" s="72"/>
      <c r="AY319" s="72"/>
      <c r="AZ319" s="72"/>
      <c r="BA319" s="72"/>
      <c r="BB319" s="72"/>
      <c r="BC319" s="72"/>
      <c r="BD319" s="72"/>
      <c r="BE319" s="72"/>
      <c r="BF319" s="72"/>
    </row>
    <row r="320" spans="3:58">
      <c r="C320" s="452"/>
      <c r="Q320" s="452"/>
      <c r="R320" s="452"/>
      <c r="S320" s="452"/>
      <c r="T320" s="452"/>
      <c r="U320" s="452"/>
      <c r="V320" s="452"/>
      <c r="W320" s="452"/>
      <c r="X320" s="452"/>
      <c r="Y320" s="452"/>
      <c r="Z320" s="452"/>
      <c r="AA320" s="452"/>
      <c r="AB320" s="453"/>
      <c r="AC320" s="453"/>
      <c r="AD320" s="453"/>
      <c r="AE320" s="453"/>
      <c r="AF320" s="452"/>
      <c r="AG320" s="452"/>
      <c r="AH320" s="452"/>
      <c r="AI320" s="452"/>
      <c r="AJ320" s="452"/>
      <c r="AK320" s="452"/>
      <c r="AL320" s="452"/>
      <c r="AM320" s="452"/>
      <c r="AN320" s="452"/>
      <c r="AO320" s="446"/>
      <c r="AP320" s="446"/>
      <c r="AQ320" s="446"/>
      <c r="AR320" s="446"/>
      <c r="AS320" s="446"/>
      <c r="AT320" s="72"/>
      <c r="AU320" s="72"/>
      <c r="AV320" s="72"/>
      <c r="AW320" s="72"/>
      <c r="AX320" s="72"/>
      <c r="AY320" s="72"/>
      <c r="AZ320" s="72"/>
      <c r="BA320" s="72"/>
      <c r="BB320" s="72"/>
      <c r="BC320" s="72"/>
      <c r="BD320" s="72"/>
      <c r="BE320" s="72"/>
      <c r="BF320" s="72"/>
    </row>
    <row r="321" spans="3:58">
      <c r="C321" s="452"/>
      <c r="Q321" s="452"/>
      <c r="R321" s="452"/>
      <c r="S321" s="452"/>
      <c r="T321" s="452"/>
      <c r="U321" s="452"/>
      <c r="V321" s="452"/>
      <c r="W321" s="452"/>
      <c r="X321" s="452"/>
      <c r="Y321" s="452"/>
      <c r="Z321" s="452"/>
      <c r="AA321" s="452"/>
      <c r="AB321" s="453"/>
      <c r="AC321" s="453"/>
      <c r="AD321" s="453"/>
      <c r="AE321" s="453"/>
      <c r="AF321" s="452"/>
      <c r="AG321" s="452"/>
      <c r="AH321" s="452"/>
      <c r="AI321" s="452"/>
      <c r="AJ321" s="452"/>
      <c r="AK321" s="452"/>
      <c r="AL321" s="452"/>
      <c r="AM321" s="452"/>
      <c r="AN321" s="452"/>
      <c r="AO321" s="446"/>
      <c r="AP321" s="446"/>
      <c r="AQ321" s="446"/>
      <c r="AR321" s="446"/>
      <c r="AS321" s="446"/>
      <c r="AT321" s="72"/>
      <c r="AU321" s="72"/>
      <c r="AV321" s="72"/>
      <c r="AW321" s="72"/>
      <c r="AX321" s="72"/>
      <c r="AY321" s="72"/>
      <c r="AZ321" s="72"/>
      <c r="BA321" s="72"/>
      <c r="BB321" s="72"/>
      <c r="BC321" s="72"/>
      <c r="BD321" s="72"/>
      <c r="BE321" s="72"/>
      <c r="BF321" s="72"/>
    </row>
    <row r="322" spans="3:58">
      <c r="C322" s="452"/>
      <c r="Q322" s="452"/>
      <c r="R322" s="452"/>
      <c r="S322" s="452"/>
      <c r="T322" s="452"/>
      <c r="U322" s="452"/>
      <c r="V322" s="452"/>
      <c r="W322" s="452"/>
      <c r="X322" s="452"/>
      <c r="Y322" s="452"/>
      <c r="Z322" s="452"/>
      <c r="AA322" s="452"/>
      <c r="AB322" s="453"/>
      <c r="AC322" s="453"/>
      <c r="AD322" s="453"/>
      <c r="AE322" s="453"/>
      <c r="AF322" s="452"/>
      <c r="AG322" s="452"/>
      <c r="AH322" s="452"/>
      <c r="AI322" s="452"/>
      <c r="AJ322" s="452"/>
      <c r="AK322" s="452"/>
      <c r="AL322" s="452"/>
      <c r="AM322" s="452"/>
      <c r="AN322" s="452"/>
      <c r="AO322" s="446"/>
      <c r="AP322" s="446"/>
      <c r="AQ322" s="446"/>
      <c r="AR322" s="446"/>
      <c r="AS322" s="446"/>
      <c r="AT322" s="72"/>
      <c r="AU322" s="72"/>
      <c r="AV322" s="72"/>
      <c r="AW322" s="72"/>
      <c r="AX322" s="72"/>
      <c r="AY322" s="72"/>
      <c r="AZ322" s="72"/>
      <c r="BA322" s="72"/>
      <c r="BB322" s="72"/>
      <c r="BC322" s="72"/>
      <c r="BD322" s="72"/>
      <c r="BE322" s="72"/>
      <c r="BF322" s="72"/>
    </row>
    <row r="323" spans="3:58">
      <c r="C323" s="452"/>
      <c r="Q323" s="452"/>
      <c r="R323" s="452"/>
      <c r="S323" s="452"/>
      <c r="T323" s="452"/>
      <c r="U323" s="452"/>
      <c r="V323" s="452"/>
      <c r="W323" s="452"/>
      <c r="X323" s="452"/>
      <c r="Y323" s="452"/>
      <c r="Z323" s="452"/>
      <c r="AA323" s="452"/>
      <c r="AB323" s="453"/>
      <c r="AC323" s="453"/>
      <c r="AD323" s="453"/>
      <c r="AE323" s="453"/>
      <c r="AF323" s="452"/>
      <c r="AG323" s="452"/>
      <c r="AH323" s="452"/>
      <c r="AI323" s="452"/>
      <c r="AJ323" s="452"/>
      <c r="AK323" s="452"/>
      <c r="AL323" s="452"/>
      <c r="AM323" s="452"/>
      <c r="AN323" s="452"/>
      <c r="AO323" s="446"/>
      <c r="AP323" s="446"/>
      <c r="AQ323" s="446"/>
      <c r="AR323" s="446"/>
      <c r="AS323" s="446"/>
      <c r="AT323" s="72"/>
      <c r="AU323" s="72"/>
      <c r="AV323" s="72"/>
      <c r="AW323" s="72"/>
      <c r="AX323" s="72"/>
      <c r="AY323" s="72"/>
      <c r="AZ323" s="72"/>
      <c r="BA323" s="72"/>
      <c r="BB323" s="72"/>
      <c r="BC323" s="72"/>
      <c r="BD323" s="72"/>
      <c r="BE323" s="72"/>
      <c r="BF323" s="72"/>
    </row>
    <row r="324" spans="3:58">
      <c r="C324" s="452"/>
      <c r="Q324" s="452"/>
      <c r="R324" s="452"/>
      <c r="S324" s="452"/>
      <c r="T324" s="452"/>
      <c r="U324" s="452"/>
      <c r="V324" s="452"/>
      <c r="W324" s="452"/>
      <c r="X324" s="452"/>
      <c r="Y324" s="452"/>
      <c r="Z324" s="452"/>
      <c r="AA324" s="452"/>
      <c r="AB324" s="453"/>
      <c r="AC324" s="453"/>
      <c r="AD324" s="453"/>
      <c r="AE324" s="453"/>
      <c r="AF324" s="452"/>
      <c r="AG324" s="452"/>
      <c r="AH324" s="452"/>
      <c r="AI324" s="452"/>
      <c r="AJ324" s="452"/>
      <c r="AK324" s="452"/>
      <c r="AL324" s="452"/>
      <c r="AM324" s="452"/>
      <c r="AN324" s="452"/>
      <c r="AO324" s="446"/>
      <c r="AP324" s="446"/>
      <c r="AQ324" s="446"/>
      <c r="AR324" s="446"/>
      <c r="AS324" s="446"/>
      <c r="AT324" s="72"/>
      <c r="AU324" s="72"/>
      <c r="AV324" s="72"/>
      <c r="AW324" s="72"/>
      <c r="AX324" s="72"/>
      <c r="AY324" s="72"/>
      <c r="AZ324" s="72"/>
      <c r="BA324" s="72"/>
      <c r="BB324" s="72"/>
      <c r="BC324" s="72"/>
      <c r="BD324" s="72"/>
      <c r="BE324" s="72"/>
      <c r="BF324" s="72"/>
    </row>
    <row r="325" spans="3:58">
      <c r="C325" s="452"/>
      <c r="Q325" s="452"/>
      <c r="R325" s="452"/>
      <c r="S325" s="452"/>
      <c r="T325" s="452"/>
      <c r="U325" s="452"/>
      <c r="V325" s="452"/>
      <c r="W325" s="452"/>
      <c r="X325" s="452"/>
      <c r="Y325" s="452"/>
      <c r="Z325" s="452"/>
      <c r="AA325" s="452"/>
      <c r="AB325" s="453"/>
      <c r="AC325" s="453"/>
      <c r="AD325" s="453"/>
      <c r="AE325" s="453"/>
      <c r="AF325" s="452"/>
      <c r="AG325" s="452"/>
      <c r="AH325" s="452"/>
      <c r="AI325" s="452"/>
      <c r="AJ325" s="452"/>
      <c r="AK325" s="452"/>
      <c r="AL325" s="452"/>
      <c r="AM325" s="452"/>
      <c r="AN325" s="452"/>
      <c r="AO325" s="446"/>
      <c r="AP325" s="446"/>
      <c r="AQ325" s="446"/>
      <c r="AR325" s="446"/>
      <c r="AS325" s="446"/>
      <c r="AT325" s="72"/>
      <c r="AU325" s="72"/>
      <c r="AV325" s="72"/>
      <c r="AW325" s="72"/>
      <c r="AX325" s="72"/>
      <c r="AY325" s="72"/>
      <c r="AZ325" s="72"/>
      <c r="BA325" s="72"/>
      <c r="BB325" s="72"/>
      <c r="BC325" s="72"/>
      <c r="BD325" s="72"/>
      <c r="BE325" s="72"/>
      <c r="BF325" s="72"/>
    </row>
    <row r="326" spans="3:58">
      <c r="C326" s="452"/>
      <c r="Q326" s="452"/>
      <c r="R326" s="452"/>
      <c r="S326" s="452"/>
      <c r="T326" s="452"/>
      <c r="U326" s="452"/>
      <c r="V326" s="452"/>
      <c r="W326" s="452"/>
      <c r="X326" s="452"/>
      <c r="Y326" s="452"/>
      <c r="Z326" s="452"/>
      <c r="AA326" s="452"/>
      <c r="AB326" s="453"/>
      <c r="AC326" s="453"/>
      <c r="AD326" s="453"/>
      <c r="AE326" s="453"/>
      <c r="AF326" s="452"/>
      <c r="AG326" s="452"/>
      <c r="AH326" s="452"/>
      <c r="AI326" s="452"/>
      <c r="AJ326" s="452"/>
      <c r="AK326" s="452"/>
      <c r="AL326" s="452"/>
      <c r="AM326" s="452"/>
      <c r="AN326" s="452"/>
      <c r="AO326" s="446"/>
      <c r="AP326" s="446"/>
      <c r="AQ326" s="446"/>
      <c r="AR326" s="446"/>
      <c r="AS326" s="446"/>
      <c r="AT326" s="72"/>
      <c r="AU326" s="72"/>
      <c r="AV326" s="72"/>
      <c r="AW326" s="72"/>
      <c r="AX326" s="72"/>
      <c r="AY326" s="72"/>
      <c r="AZ326" s="72"/>
      <c r="BA326" s="72"/>
      <c r="BB326" s="72"/>
      <c r="BC326" s="72"/>
      <c r="BD326" s="72"/>
      <c r="BE326" s="72"/>
      <c r="BF326" s="72"/>
    </row>
    <row r="327" spans="3:58">
      <c r="C327" s="452"/>
      <c r="Q327" s="452"/>
      <c r="R327" s="452"/>
      <c r="S327" s="452"/>
      <c r="T327" s="452"/>
      <c r="U327" s="452"/>
      <c r="V327" s="452"/>
      <c r="W327" s="452"/>
      <c r="X327" s="452"/>
      <c r="Y327" s="452"/>
      <c r="Z327" s="452"/>
      <c r="AA327" s="452"/>
      <c r="AB327" s="453"/>
      <c r="AC327" s="453"/>
      <c r="AD327" s="453"/>
      <c r="AE327" s="453"/>
      <c r="AF327" s="452"/>
      <c r="AG327" s="452"/>
      <c r="AH327" s="452"/>
      <c r="AI327" s="452"/>
      <c r="AJ327" s="452"/>
      <c r="AK327" s="452"/>
      <c r="AL327" s="452"/>
      <c r="AM327" s="452"/>
      <c r="AN327" s="452"/>
      <c r="AO327" s="446"/>
      <c r="AP327" s="446"/>
      <c r="AQ327" s="446"/>
      <c r="AR327" s="446"/>
      <c r="AS327" s="446"/>
      <c r="AT327" s="72"/>
      <c r="AU327" s="72"/>
      <c r="AV327" s="72"/>
      <c r="AW327" s="72"/>
      <c r="AX327" s="72"/>
      <c r="AY327" s="72"/>
      <c r="AZ327" s="72"/>
      <c r="BA327" s="72"/>
      <c r="BB327" s="72"/>
      <c r="BC327" s="72"/>
      <c r="BD327" s="72"/>
      <c r="BE327" s="72"/>
      <c r="BF327" s="72"/>
    </row>
    <row r="328" spans="3:58">
      <c r="C328" s="452"/>
      <c r="Q328" s="452"/>
      <c r="R328" s="452"/>
      <c r="S328" s="452"/>
      <c r="T328" s="452"/>
      <c r="U328" s="452"/>
      <c r="V328" s="452"/>
      <c r="W328" s="452"/>
      <c r="X328" s="452"/>
      <c r="Y328" s="452"/>
      <c r="Z328" s="452"/>
      <c r="AA328" s="452"/>
      <c r="AB328" s="453"/>
      <c r="AC328" s="453"/>
      <c r="AD328" s="453"/>
      <c r="AE328" s="453"/>
      <c r="AF328" s="452"/>
      <c r="AG328" s="452"/>
      <c r="AH328" s="452"/>
      <c r="AI328" s="452"/>
      <c r="AJ328" s="452"/>
      <c r="AK328" s="452"/>
      <c r="AL328" s="452"/>
      <c r="AM328" s="452"/>
      <c r="AN328" s="452"/>
      <c r="AO328" s="446"/>
      <c r="AP328" s="446"/>
      <c r="AQ328" s="446"/>
      <c r="AR328" s="446"/>
      <c r="AS328" s="446"/>
      <c r="AT328" s="72"/>
      <c r="AU328" s="72"/>
      <c r="AV328" s="72"/>
      <c r="AW328" s="72"/>
      <c r="AX328" s="72"/>
      <c r="AY328" s="72"/>
      <c r="AZ328" s="72"/>
      <c r="BA328" s="72"/>
      <c r="BB328" s="72"/>
      <c r="BC328" s="72"/>
      <c r="BD328" s="72"/>
      <c r="BE328" s="72"/>
      <c r="BF328" s="72"/>
    </row>
    <row r="329" spans="3:58">
      <c r="C329" s="452"/>
      <c r="Q329" s="452"/>
      <c r="R329" s="452"/>
      <c r="S329" s="452"/>
      <c r="T329" s="452"/>
      <c r="U329" s="452"/>
      <c r="V329" s="452"/>
      <c r="W329" s="452"/>
      <c r="X329" s="452"/>
      <c r="Y329" s="452"/>
      <c r="Z329" s="452"/>
      <c r="AA329" s="452"/>
      <c r="AB329" s="453"/>
      <c r="AC329" s="453"/>
      <c r="AD329" s="453"/>
      <c r="AE329" s="453"/>
      <c r="AF329" s="452"/>
      <c r="AG329" s="452"/>
      <c r="AH329" s="452"/>
      <c r="AI329" s="452"/>
      <c r="AJ329" s="452"/>
      <c r="AK329" s="452"/>
      <c r="AL329" s="452"/>
      <c r="AM329" s="452"/>
      <c r="AN329" s="452"/>
      <c r="AO329" s="446"/>
      <c r="AP329" s="446"/>
      <c r="AQ329" s="446"/>
      <c r="AR329" s="446"/>
      <c r="AS329" s="446"/>
      <c r="AT329" s="72"/>
      <c r="AU329" s="72"/>
      <c r="AV329" s="72"/>
      <c r="AW329" s="72"/>
      <c r="AX329" s="72"/>
      <c r="AY329" s="72"/>
      <c r="AZ329" s="72"/>
      <c r="BA329" s="72"/>
      <c r="BB329" s="72"/>
      <c r="BC329" s="72"/>
      <c r="BD329" s="72"/>
      <c r="BE329" s="72"/>
      <c r="BF329" s="72"/>
    </row>
    <row r="330" spans="3:58">
      <c r="C330" s="452"/>
      <c r="Q330" s="452"/>
      <c r="R330" s="452"/>
      <c r="S330" s="452"/>
      <c r="T330" s="452"/>
      <c r="U330" s="452"/>
      <c r="V330" s="452"/>
      <c r="W330" s="452"/>
      <c r="X330" s="452"/>
      <c r="Y330" s="452"/>
      <c r="Z330" s="452"/>
      <c r="AA330" s="452"/>
      <c r="AB330" s="453"/>
      <c r="AC330" s="453"/>
      <c r="AD330" s="453"/>
      <c r="AE330" s="453"/>
      <c r="AF330" s="452"/>
      <c r="AG330" s="452"/>
      <c r="AH330" s="452"/>
      <c r="AI330" s="452"/>
      <c r="AJ330" s="452"/>
      <c r="AK330" s="452"/>
      <c r="AL330" s="452"/>
      <c r="AM330" s="452"/>
      <c r="AN330" s="452"/>
      <c r="AO330" s="446"/>
      <c r="AP330" s="446"/>
      <c r="AQ330" s="446"/>
      <c r="AR330" s="446"/>
      <c r="AS330" s="446"/>
      <c r="AT330" s="72"/>
      <c r="AU330" s="72"/>
      <c r="AV330" s="72"/>
      <c r="AW330" s="72"/>
      <c r="AX330" s="72"/>
      <c r="AY330" s="72"/>
      <c r="AZ330" s="72"/>
      <c r="BA330" s="72"/>
      <c r="BB330" s="72"/>
      <c r="BC330" s="72"/>
      <c r="BD330" s="72"/>
      <c r="BE330" s="72"/>
      <c r="BF330" s="72"/>
    </row>
    <row r="331" spans="3:58">
      <c r="C331" s="452"/>
      <c r="Q331" s="452"/>
      <c r="R331" s="452"/>
      <c r="S331" s="452"/>
      <c r="T331" s="452"/>
      <c r="U331" s="452"/>
      <c r="V331" s="452"/>
      <c r="W331" s="452"/>
      <c r="X331" s="452"/>
      <c r="Y331" s="452"/>
      <c r="Z331" s="452"/>
      <c r="AA331" s="452"/>
      <c r="AB331" s="453"/>
      <c r="AC331" s="453"/>
      <c r="AD331" s="453"/>
      <c r="AE331" s="453"/>
      <c r="AF331" s="452"/>
      <c r="AG331" s="452"/>
      <c r="AH331" s="452"/>
      <c r="AI331" s="452"/>
      <c r="AJ331" s="452"/>
      <c r="AK331" s="452"/>
      <c r="AL331" s="452"/>
      <c r="AM331" s="452"/>
      <c r="AN331" s="452"/>
      <c r="AO331" s="446"/>
      <c r="AP331" s="446"/>
      <c r="AQ331" s="446"/>
      <c r="AR331" s="446"/>
      <c r="AS331" s="446"/>
      <c r="AT331" s="72"/>
      <c r="AU331" s="72"/>
      <c r="AV331" s="72"/>
      <c r="AW331" s="72"/>
      <c r="AX331" s="72"/>
      <c r="AY331" s="72"/>
      <c r="AZ331" s="72"/>
      <c r="BA331" s="72"/>
      <c r="BB331" s="72"/>
      <c r="BC331" s="72"/>
      <c r="BD331" s="72"/>
      <c r="BE331" s="72"/>
      <c r="BF331" s="72"/>
    </row>
    <row r="332" spans="3:58">
      <c r="C332" s="452"/>
      <c r="Q332" s="452"/>
      <c r="R332" s="452"/>
      <c r="S332" s="452"/>
      <c r="T332" s="452"/>
      <c r="U332" s="452"/>
      <c r="V332" s="452"/>
      <c r="W332" s="452"/>
      <c r="X332" s="452"/>
      <c r="Y332" s="452"/>
      <c r="Z332" s="452"/>
      <c r="AA332" s="452"/>
      <c r="AB332" s="453"/>
      <c r="AC332" s="453"/>
      <c r="AD332" s="453"/>
      <c r="AE332" s="453"/>
      <c r="AF332" s="452"/>
      <c r="AG332" s="452"/>
      <c r="AH332" s="452"/>
      <c r="AI332" s="452"/>
      <c r="AJ332" s="452"/>
      <c r="AK332" s="452"/>
      <c r="AL332" s="452"/>
      <c r="AM332" s="452"/>
      <c r="AN332" s="452"/>
      <c r="AO332" s="446"/>
      <c r="AP332" s="446"/>
      <c r="AQ332" s="446"/>
      <c r="AR332" s="446"/>
      <c r="AS332" s="446"/>
      <c r="AT332" s="72"/>
      <c r="AU332" s="72"/>
      <c r="AV332" s="72"/>
      <c r="AW332" s="72"/>
      <c r="AX332" s="72"/>
      <c r="AY332" s="72"/>
      <c r="AZ332" s="72"/>
      <c r="BA332" s="72"/>
      <c r="BB332" s="72"/>
      <c r="BC332" s="72"/>
      <c r="BD332" s="72"/>
      <c r="BE332" s="72"/>
      <c r="BF332" s="72"/>
    </row>
    <row r="333" spans="3:58">
      <c r="C333" s="452"/>
      <c r="Q333" s="452"/>
      <c r="R333" s="452"/>
      <c r="S333" s="452"/>
      <c r="T333" s="452"/>
      <c r="U333" s="452"/>
      <c r="V333" s="452"/>
      <c r="W333" s="452"/>
      <c r="X333" s="452"/>
      <c r="Y333" s="452"/>
      <c r="Z333" s="452"/>
      <c r="AA333" s="452"/>
      <c r="AB333" s="453"/>
      <c r="AC333" s="453"/>
      <c r="AD333" s="453"/>
      <c r="AE333" s="453"/>
      <c r="AF333" s="452"/>
      <c r="AG333" s="452"/>
      <c r="AH333" s="452"/>
      <c r="AI333" s="452"/>
      <c r="AJ333" s="452"/>
      <c r="AK333" s="452"/>
      <c r="AL333" s="452"/>
      <c r="AM333" s="452"/>
      <c r="AN333" s="452"/>
      <c r="AO333" s="446"/>
      <c r="AP333" s="446"/>
      <c r="AQ333" s="446"/>
      <c r="AR333" s="446"/>
      <c r="AS333" s="446"/>
      <c r="AT333" s="72"/>
      <c r="AU333" s="72"/>
      <c r="AV333" s="72"/>
      <c r="AW333" s="72"/>
      <c r="AX333" s="72"/>
      <c r="AY333" s="72"/>
      <c r="AZ333" s="72"/>
      <c r="BA333" s="72"/>
      <c r="BB333" s="72"/>
      <c r="BC333" s="72"/>
      <c r="BD333" s="72"/>
      <c r="BE333" s="72"/>
      <c r="BF333" s="72"/>
    </row>
    <row r="334" spans="3:58">
      <c r="C334" s="452"/>
      <c r="Q334" s="452"/>
      <c r="R334" s="452"/>
      <c r="S334" s="452"/>
      <c r="T334" s="452"/>
      <c r="U334" s="452"/>
      <c r="V334" s="452"/>
      <c r="W334" s="452"/>
      <c r="X334" s="452"/>
      <c r="Y334" s="452"/>
      <c r="Z334" s="452"/>
      <c r="AA334" s="452"/>
      <c r="AB334" s="453"/>
      <c r="AC334" s="453"/>
      <c r="AD334" s="453"/>
      <c r="AE334" s="453"/>
      <c r="AF334" s="452"/>
      <c r="AG334" s="452"/>
      <c r="AH334" s="452"/>
      <c r="AI334" s="452"/>
      <c r="AJ334" s="452"/>
      <c r="AK334" s="452"/>
      <c r="AL334" s="452"/>
      <c r="AM334" s="452"/>
      <c r="AN334" s="452"/>
      <c r="AO334" s="446"/>
      <c r="AP334" s="446"/>
      <c r="AQ334" s="446"/>
      <c r="AR334" s="446"/>
      <c r="AS334" s="446"/>
      <c r="AT334" s="72"/>
      <c r="AU334" s="72"/>
      <c r="AV334" s="72"/>
      <c r="AW334" s="72"/>
      <c r="AX334" s="72"/>
      <c r="AY334" s="72"/>
      <c r="AZ334" s="72"/>
      <c r="BA334" s="72"/>
      <c r="BB334" s="72"/>
      <c r="BC334" s="72"/>
      <c r="BD334" s="72"/>
      <c r="BE334" s="72"/>
      <c r="BF334" s="72"/>
    </row>
    <row r="335" spans="3:58">
      <c r="C335" s="452"/>
      <c r="Q335" s="452"/>
      <c r="R335" s="452"/>
      <c r="S335" s="452"/>
      <c r="T335" s="452"/>
      <c r="U335" s="452"/>
      <c r="V335" s="452"/>
      <c r="W335" s="452"/>
      <c r="X335" s="452"/>
      <c r="Y335" s="452"/>
      <c r="Z335" s="452"/>
      <c r="AA335" s="452"/>
      <c r="AB335" s="453"/>
      <c r="AC335" s="453"/>
      <c r="AD335" s="453"/>
      <c r="AE335" s="453"/>
      <c r="AF335" s="452"/>
      <c r="AG335" s="452"/>
      <c r="AH335" s="452"/>
      <c r="AI335" s="452"/>
      <c r="AJ335" s="452"/>
      <c r="AK335" s="452"/>
      <c r="AL335" s="452"/>
      <c r="AM335" s="452"/>
      <c r="AN335" s="452"/>
      <c r="AO335" s="446"/>
      <c r="AP335" s="446"/>
      <c r="AQ335" s="446"/>
      <c r="AR335" s="446"/>
      <c r="AS335" s="446"/>
      <c r="AT335" s="72"/>
      <c r="AU335" s="72"/>
      <c r="AV335" s="72"/>
      <c r="AW335" s="72"/>
      <c r="AX335" s="72"/>
      <c r="AY335" s="72"/>
      <c r="AZ335" s="72"/>
      <c r="BA335" s="72"/>
      <c r="BB335" s="72"/>
      <c r="BC335" s="72"/>
      <c r="BD335" s="72"/>
      <c r="BE335" s="72"/>
      <c r="BF335" s="72"/>
    </row>
    <row r="336" spans="3:58">
      <c r="C336" s="452"/>
      <c r="Q336" s="452"/>
      <c r="R336" s="452"/>
      <c r="S336" s="452"/>
      <c r="T336" s="452"/>
      <c r="U336" s="452"/>
      <c r="V336" s="452"/>
      <c r="W336" s="452"/>
      <c r="X336" s="452"/>
      <c r="Y336" s="452"/>
      <c r="Z336" s="452"/>
      <c r="AA336" s="452"/>
      <c r="AB336" s="453"/>
      <c r="AC336" s="453"/>
      <c r="AD336" s="453"/>
      <c r="AE336" s="453"/>
      <c r="AF336" s="452"/>
      <c r="AG336" s="452"/>
      <c r="AH336" s="452"/>
      <c r="AI336" s="452"/>
      <c r="AJ336" s="452"/>
      <c r="AK336" s="452"/>
      <c r="AL336" s="452"/>
      <c r="AM336" s="452"/>
      <c r="AN336" s="452"/>
      <c r="AO336" s="446"/>
      <c r="AP336" s="446"/>
      <c r="AQ336" s="446"/>
      <c r="AR336" s="446"/>
      <c r="AS336" s="446"/>
      <c r="AT336" s="72"/>
      <c r="AU336" s="72"/>
      <c r="AV336" s="72"/>
      <c r="AW336" s="72"/>
      <c r="AX336" s="72"/>
      <c r="AY336" s="72"/>
      <c r="AZ336" s="72"/>
      <c r="BA336" s="72"/>
      <c r="BB336" s="72"/>
      <c r="BC336" s="72"/>
      <c r="BD336" s="72"/>
      <c r="BE336" s="72"/>
      <c r="BF336" s="72"/>
    </row>
    <row r="337" spans="3:58">
      <c r="C337" s="452"/>
      <c r="Q337" s="452"/>
      <c r="R337" s="452"/>
      <c r="S337" s="452"/>
      <c r="T337" s="452"/>
      <c r="U337" s="452"/>
      <c r="V337" s="452"/>
      <c r="W337" s="452"/>
      <c r="X337" s="452"/>
      <c r="Y337" s="452"/>
      <c r="Z337" s="452"/>
      <c r="AA337" s="452"/>
      <c r="AB337" s="453"/>
      <c r="AC337" s="453"/>
      <c r="AD337" s="453"/>
      <c r="AE337" s="453"/>
      <c r="AF337" s="452"/>
      <c r="AG337" s="452"/>
      <c r="AH337" s="452"/>
      <c r="AI337" s="452"/>
      <c r="AJ337" s="452"/>
      <c r="AK337" s="452"/>
      <c r="AL337" s="452"/>
      <c r="AM337" s="452"/>
      <c r="AN337" s="452"/>
      <c r="AO337" s="446"/>
      <c r="AP337" s="446"/>
      <c r="AQ337" s="446"/>
      <c r="AR337" s="446"/>
      <c r="AS337" s="446"/>
      <c r="AT337" s="72"/>
      <c r="AU337" s="72"/>
      <c r="AV337" s="72"/>
      <c r="AW337" s="72"/>
      <c r="AX337" s="72"/>
      <c r="AY337" s="72"/>
      <c r="AZ337" s="72"/>
      <c r="BA337" s="72"/>
      <c r="BB337" s="72"/>
      <c r="BC337" s="72"/>
      <c r="BD337" s="72"/>
      <c r="BE337" s="72"/>
      <c r="BF337" s="72"/>
    </row>
    <row r="338" spans="3:58">
      <c r="C338" s="452"/>
      <c r="Q338" s="452"/>
      <c r="R338" s="452"/>
      <c r="S338" s="452"/>
      <c r="T338" s="452"/>
      <c r="U338" s="452"/>
      <c r="V338" s="452"/>
      <c r="W338" s="452"/>
      <c r="X338" s="452"/>
      <c r="Y338" s="452"/>
      <c r="Z338" s="452"/>
      <c r="AA338" s="452"/>
      <c r="AB338" s="453"/>
      <c r="AC338" s="453"/>
      <c r="AD338" s="453"/>
      <c r="AE338" s="453"/>
      <c r="AF338" s="452"/>
      <c r="AG338" s="452"/>
      <c r="AH338" s="452"/>
      <c r="AI338" s="452"/>
      <c r="AJ338" s="452"/>
      <c r="AK338" s="452"/>
      <c r="AL338" s="452"/>
      <c r="AM338" s="452"/>
      <c r="AN338" s="452"/>
      <c r="AO338" s="446"/>
      <c r="AP338" s="446"/>
      <c r="AQ338" s="446"/>
      <c r="AR338" s="446"/>
      <c r="AS338" s="446"/>
      <c r="AT338" s="72"/>
      <c r="AU338" s="72"/>
      <c r="AV338" s="72"/>
      <c r="AW338" s="72"/>
      <c r="AX338" s="72"/>
      <c r="AY338" s="72"/>
      <c r="AZ338" s="72"/>
      <c r="BA338" s="72"/>
      <c r="BB338" s="72"/>
      <c r="BC338" s="72"/>
      <c r="BD338" s="72"/>
      <c r="BE338" s="72"/>
      <c r="BF338" s="72"/>
    </row>
    <row r="339" spans="3:58">
      <c r="C339" s="452"/>
      <c r="Q339" s="452"/>
      <c r="R339" s="452"/>
      <c r="S339" s="452"/>
      <c r="T339" s="452"/>
      <c r="U339" s="452"/>
      <c r="V339" s="452"/>
      <c r="W339" s="452"/>
      <c r="X339" s="452"/>
      <c r="Y339" s="452"/>
      <c r="Z339" s="452"/>
      <c r="AA339" s="452"/>
      <c r="AB339" s="453"/>
      <c r="AC339" s="453"/>
      <c r="AD339" s="453"/>
      <c r="AE339" s="453"/>
      <c r="AF339" s="452"/>
      <c r="AG339" s="452"/>
      <c r="AH339" s="452"/>
      <c r="AI339" s="452"/>
      <c r="AJ339" s="452"/>
      <c r="AK339" s="452"/>
      <c r="AL339" s="452"/>
      <c r="AM339" s="452"/>
      <c r="AN339" s="452"/>
      <c r="AO339" s="446"/>
      <c r="AP339" s="446"/>
      <c r="AQ339" s="446"/>
      <c r="AR339" s="446"/>
      <c r="AS339" s="446"/>
      <c r="AT339" s="72"/>
      <c r="AU339" s="72"/>
      <c r="AV339" s="72"/>
      <c r="AW339" s="72"/>
      <c r="AX339" s="72"/>
      <c r="AY339" s="72"/>
      <c r="AZ339" s="72"/>
      <c r="BA339" s="72"/>
      <c r="BB339" s="72"/>
      <c r="BC339" s="72"/>
      <c r="BD339" s="72"/>
      <c r="BE339" s="72"/>
      <c r="BF339" s="72"/>
    </row>
    <row r="340" spans="3:58">
      <c r="C340" s="452"/>
      <c r="Q340" s="452"/>
      <c r="R340" s="452"/>
      <c r="S340" s="452"/>
      <c r="T340" s="452"/>
      <c r="U340" s="452"/>
      <c r="V340" s="452"/>
      <c r="W340" s="452"/>
      <c r="X340" s="452"/>
      <c r="Y340" s="452"/>
      <c r="Z340" s="452"/>
      <c r="AA340" s="452"/>
      <c r="AB340" s="453"/>
      <c r="AC340" s="453"/>
      <c r="AD340" s="453"/>
      <c r="AE340" s="453"/>
      <c r="AF340" s="452"/>
      <c r="AG340" s="452"/>
      <c r="AH340" s="452"/>
      <c r="AI340" s="452"/>
      <c r="AJ340" s="452"/>
      <c r="AK340" s="452"/>
      <c r="AL340" s="452"/>
      <c r="AM340" s="452"/>
      <c r="AN340" s="452"/>
      <c r="AO340" s="446"/>
      <c r="AP340" s="446"/>
      <c r="AQ340" s="446"/>
      <c r="AR340" s="446"/>
      <c r="AS340" s="446"/>
      <c r="AT340" s="72"/>
      <c r="AU340" s="72"/>
      <c r="AV340" s="72"/>
      <c r="AW340" s="72"/>
      <c r="AX340" s="72"/>
      <c r="AY340" s="72"/>
      <c r="AZ340" s="72"/>
      <c r="BA340" s="72"/>
      <c r="BB340" s="72"/>
      <c r="BC340" s="72"/>
      <c r="BD340" s="72"/>
      <c r="BE340" s="72"/>
      <c r="BF340" s="72"/>
    </row>
    <row r="341" spans="3:58">
      <c r="C341" s="452"/>
      <c r="Q341" s="452"/>
      <c r="R341" s="452"/>
      <c r="S341" s="452"/>
      <c r="T341" s="452"/>
      <c r="U341" s="452"/>
      <c r="V341" s="452"/>
      <c r="W341" s="452"/>
      <c r="X341" s="452"/>
      <c r="Y341" s="452"/>
      <c r="Z341" s="452"/>
      <c r="AA341" s="452"/>
      <c r="AB341" s="453"/>
      <c r="AC341" s="453"/>
      <c r="AD341" s="453"/>
      <c r="AE341" s="453"/>
      <c r="AF341" s="452"/>
      <c r="AG341" s="452"/>
      <c r="AH341" s="452"/>
      <c r="AI341" s="452"/>
      <c r="AJ341" s="452"/>
      <c r="AK341" s="452"/>
      <c r="AL341" s="452"/>
      <c r="AM341" s="452"/>
      <c r="AN341" s="452"/>
      <c r="AO341" s="446"/>
      <c r="AP341" s="446"/>
      <c r="AQ341" s="446"/>
      <c r="AR341" s="446"/>
      <c r="AS341" s="446"/>
      <c r="AT341" s="72"/>
      <c r="AU341" s="72"/>
      <c r="AV341" s="72"/>
      <c r="AW341" s="72"/>
      <c r="AX341" s="72"/>
      <c r="AY341" s="72"/>
      <c r="AZ341" s="72"/>
      <c r="BA341" s="72"/>
      <c r="BB341" s="72"/>
      <c r="BC341" s="72"/>
      <c r="BD341" s="72"/>
      <c r="BE341" s="72"/>
      <c r="BF341" s="72"/>
    </row>
    <row r="342" spans="3:58">
      <c r="C342" s="452"/>
      <c r="Q342" s="452"/>
      <c r="R342" s="452"/>
      <c r="S342" s="452"/>
      <c r="T342" s="452"/>
      <c r="U342" s="452"/>
      <c r="V342" s="452"/>
      <c r="W342" s="452"/>
      <c r="X342" s="452"/>
      <c r="Y342" s="452"/>
      <c r="Z342" s="452"/>
      <c r="AA342" s="452"/>
      <c r="AB342" s="453"/>
      <c r="AC342" s="453"/>
      <c r="AD342" s="453"/>
      <c r="AE342" s="453"/>
      <c r="AF342" s="452"/>
      <c r="AG342" s="452"/>
      <c r="AH342" s="452"/>
      <c r="AI342" s="452"/>
      <c r="AJ342" s="452"/>
      <c r="AK342" s="452"/>
      <c r="AL342" s="452"/>
      <c r="AM342" s="452"/>
      <c r="AN342" s="452"/>
      <c r="AO342" s="446"/>
      <c r="AP342" s="446"/>
      <c r="AQ342" s="446"/>
      <c r="AR342" s="446"/>
      <c r="AS342" s="446"/>
      <c r="AT342" s="72"/>
      <c r="AU342" s="72"/>
      <c r="AV342" s="72"/>
      <c r="AW342" s="72"/>
      <c r="AX342" s="72"/>
      <c r="AY342" s="72"/>
      <c r="AZ342" s="72"/>
      <c r="BA342" s="72"/>
      <c r="BB342" s="72"/>
      <c r="BC342" s="72"/>
      <c r="BD342" s="72"/>
      <c r="BE342" s="72"/>
      <c r="BF342" s="72"/>
    </row>
    <row r="343" spans="3:58">
      <c r="C343" s="452"/>
      <c r="Q343" s="452"/>
      <c r="R343" s="452"/>
      <c r="S343" s="452"/>
      <c r="T343" s="452"/>
      <c r="U343" s="452"/>
      <c r="V343" s="452"/>
      <c r="W343" s="452"/>
      <c r="X343" s="452"/>
      <c r="Y343" s="452"/>
      <c r="Z343" s="452"/>
      <c r="AA343" s="452"/>
      <c r="AB343" s="453"/>
      <c r="AC343" s="453"/>
      <c r="AD343" s="453"/>
      <c r="AE343" s="453"/>
      <c r="AF343" s="452"/>
      <c r="AG343" s="452"/>
      <c r="AH343" s="452"/>
      <c r="AI343" s="452"/>
      <c r="AJ343" s="452"/>
      <c r="AK343" s="452"/>
      <c r="AL343" s="452"/>
      <c r="AM343" s="452"/>
      <c r="AN343" s="452"/>
      <c r="AO343" s="446"/>
      <c r="AP343" s="446"/>
      <c r="AQ343" s="446"/>
      <c r="AR343" s="446"/>
      <c r="AS343" s="446"/>
      <c r="AT343" s="72"/>
      <c r="AU343" s="72"/>
      <c r="AV343" s="72"/>
      <c r="AW343" s="72"/>
      <c r="AX343" s="72"/>
      <c r="AY343" s="72"/>
      <c r="AZ343" s="72"/>
      <c r="BA343" s="72"/>
      <c r="BB343" s="72"/>
      <c r="BC343" s="72"/>
      <c r="BD343" s="72"/>
      <c r="BE343" s="72"/>
      <c r="BF343" s="72"/>
    </row>
    <row r="344" spans="3:58">
      <c r="C344" s="452"/>
      <c r="Q344" s="452"/>
      <c r="R344" s="452"/>
      <c r="S344" s="452"/>
      <c r="T344" s="452"/>
      <c r="U344" s="452"/>
      <c r="V344" s="452"/>
      <c r="W344" s="452"/>
      <c r="X344" s="452"/>
      <c r="Y344" s="452"/>
      <c r="Z344" s="452"/>
      <c r="AA344" s="452"/>
      <c r="AB344" s="453"/>
      <c r="AC344" s="453"/>
      <c r="AD344" s="453"/>
      <c r="AE344" s="453"/>
      <c r="AF344" s="452"/>
      <c r="AG344" s="452"/>
      <c r="AH344" s="452"/>
      <c r="AI344" s="452"/>
      <c r="AJ344" s="452"/>
      <c r="AK344" s="452"/>
      <c r="AL344" s="452"/>
      <c r="AM344" s="452"/>
      <c r="AN344" s="452"/>
      <c r="AO344" s="446"/>
      <c r="AP344" s="446"/>
      <c r="AQ344" s="446"/>
      <c r="AR344" s="446"/>
      <c r="AS344" s="446"/>
      <c r="AT344" s="72"/>
      <c r="AU344" s="72"/>
      <c r="AV344" s="72"/>
      <c r="AW344" s="72"/>
      <c r="AX344" s="72"/>
      <c r="AY344" s="72"/>
      <c r="AZ344" s="72"/>
      <c r="BA344" s="72"/>
      <c r="BB344" s="72"/>
      <c r="BC344" s="72"/>
      <c r="BD344" s="72"/>
      <c r="BE344" s="72"/>
      <c r="BF344" s="72"/>
    </row>
    <row r="345" spans="3:58">
      <c r="C345" s="452"/>
      <c r="Q345" s="452"/>
      <c r="R345" s="452"/>
      <c r="S345" s="452"/>
      <c r="T345" s="452"/>
      <c r="U345" s="452"/>
      <c r="V345" s="452"/>
      <c r="W345" s="452"/>
      <c r="X345" s="452"/>
      <c r="Y345" s="452"/>
      <c r="Z345" s="452"/>
      <c r="AA345" s="452"/>
      <c r="AB345" s="453"/>
      <c r="AC345" s="453"/>
      <c r="AD345" s="453"/>
      <c r="AE345" s="453"/>
      <c r="AF345" s="452"/>
      <c r="AG345" s="452"/>
      <c r="AH345" s="452"/>
      <c r="AI345" s="452"/>
      <c r="AJ345" s="452"/>
      <c r="AK345" s="452"/>
      <c r="AL345" s="452"/>
      <c r="AM345" s="452"/>
      <c r="AN345" s="452"/>
      <c r="AO345" s="446"/>
      <c r="AP345" s="446"/>
      <c r="AQ345" s="446"/>
      <c r="AR345" s="446"/>
      <c r="AS345" s="446"/>
      <c r="AT345" s="72"/>
      <c r="AU345" s="72"/>
      <c r="AV345" s="72"/>
      <c r="AW345" s="72"/>
      <c r="AX345" s="72"/>
      <c r="AY345" s="72"/>
      <c r="AZ345" s="72"/>
      <c r="BA345" s="72"/>
      <c r="BB345" s="72"/>
      <c r="BC345" s="72"/>
      <c r="BD345" s="72"/>
      <c r="BE345" s="72"/>
      <c r="BF345" s="72"/>
    </row>
    <row r="346" spans="3:58">
      <c r="C346" s="452"/>
      <c r="Q346" s="452"/>
      <c r="R346" s="452"/>
      <c r="S346" s="452"/>
      <c r="T346" s="452"/>
      <c r="U346" s="452"/>
      <c r="V346" s="452"/>
      <c r="W346" s="452"/>
      <c r="X346" s="452"/>
      <c r="Y346" s="452"/>
      <c r="Z346" s="452"/>
      <c r="AA346" s="452"/>
      <c r="AB346" s="453"/>
      <c r="AC346" s="453"/>
      <c r="AD346" s="453"/>
      <c r="AE346" s="453"/>
      <c r="AF346" s="452"/>
      <c r="AG346" s="452"/>
      <c r="AH346" s="452"/>
      <c r="AI346" s="452"/>
      <c r="AJ346" s="452"/>
      <c r="AK346" s="452"/>
      <c r="AL346" s="452"/>
      <c r="AM346" s="452"/>
      <c r="AN346" s="452"/>
      <c r="AO346" s="446"/>
      <c r="AP346" s="446"/>
      <c r="AQ346" s="446"/>
      <c r="AR346" s="446"/>
      <c r="AS346" s="446"/>
      <c r="AT346" s="72"/>
      <c r="AU346" s="72"/>
      <c r="AV346" s="72"/>
      <c r="AW346" s="72"/>
      <c r="AX346" s="72"/>
      <c r="AY346" s="72"/>
      <c r="AZ346" s="72"/>
      <c r="BA346" s="72"/>
      <c r="BB346" s="72"/>
      <c r="BC346" s="72"/>
      <c r="BD346" s="72"/>
      <c r="BE346" s="72"/>
      <c r="BF346" s="72"/>
    </row>
    <row r="347" spans="3:58">
      <c r="C347" s="452"/>
      <c r="Q347" s="452"/>
      <c r="R347" s="452"/>
      <c r="S347" s="452"/>
      <c r="T347" s="452"/>
      <c r="U347" s="452"/>
      <c r="V347" s="452"/>
      <c r="W347" s="452"/>
      <c r="X347" s="452"/>
      <c r="Y347" s="452"/>
      <c r="Z347" s="452"/>
      <c r="AA347" s="452"/>
      <c r="AB347" s="453"/>
      <c r="AC347" s="453"/>
      <c r="AD347" s="453"/>
      <c r="AE347" s="453"/>
      <c r="AF347" s="452"/>
      <c r="AG347" s="452"/>
      <c r="AH347" s="452"/>
      <c r="AI347" s="452"/>
      <c r="AJ347" s="452"/>
      <c r="AK347" s="452"/>
      <c r="AL347" s="452"/>
      <c r="AM347" s="452"/>
      <c r="AN347" s="452"/>
      <c r="AO347" s="446"/>
      <c r="AP347" s="446"/>
      <c r="AQ347" s="446"/>
      <c r="AR347" s="446"/>
      <c r="AS347" s="446"/>
      <c r="AT347" s="72"/>
      <c r="AU347" s="72"/>
      <c r="AV347" s="72"/>
      <c r="AW347" s="72"/>
      <c r="AX347" s="72"/>
      <c r="AY347" s="72"/>
      <c r="AZ347" s="72"/>
      <c r="BA347" s="72"/>
      <c r="BB347" s="72"/>
      <c r="BC347" s="72"/>
      <c r="BD347" s="72"/>
      <c r="BE347" s="72"/>
      <c r="BF347" s="72"/>
    </row>
    <row r="348" spans="3:58">
      <c r="C348" s="452"/>
      <c r="Q348" s="452"/>
      <c r="R348" s="452"/>
      <c r="S348" s="452"/>
      <c r="T348" s="452"/>
      <c r="U348" s="452"/>
      <c r="V348" s="452"/>
      <c r="W348" s="452"/>
      <c r="X348" s="452"/>
      <c r="Y348" s="452"/>
      <c r="Z348" s="452"/>
      <c r="AA348" s="452"/>
      <c r="AB348" s="453"/>
      <c r="AC348" s="453"/>
      <c r="AD348" s="453"/>
      <c r="AE348" s="453"/>
      <c r="AF348" s="452"/>
      <c r="AG348" s="452"/>
      <c r="AH348" s="452"/>
      <c r="AI348" s="452"/>
      <c r="AJ348" s="452"/>
      <c r="AK348" s="452"/>
      <c r="AL348" s="452"/>
      <c r="AM348" s="452"/>
      <c r="AN348" s="452"/>
      <c r="AO348" s="446"/>
      <c r="AP348" s="446"/>
      <c r="AQ348" s="446"/>
      <c r="AR348" s="446"/>
      <c r="AS348" s="446"/>
      <c r="AT348" s="72"/>
      <c r="AU348" s="72"/>
      <c r="AV348" s="72"/>
      <c r="AW348" s="72"/>
      <c r="AX348" s="72"/>
      <c r="AY348" s="72"/>
      <c r="AZ348" s="72"/>
      <c r="BA348" s="72"/>
      <c r="BB348" s="72"/>
      <c r="BC348" s="72"/>
      <c r="BD348" s="72"/>
      <c r="BE348" s="72"/>
      <c r="BF348" s="72"/>
    </row>
    <row r="349" spans="3:58">
      <c r="C349" s="452"/>
      <c r="Q349" s="452"/>
      <c r="R349" s="452"/>
      <c r="S349" s="452"/>
      <c r="T349" s="452"/>
      <c r="U349" s="452"/>
      <c r="V349" s="452"/>
      <c r="W349" s="452"/>
      <c r="X349" s="452"/>
      <c r="Y349" s="452"/>
      <c r="Z349" s="452"/>
      <c r="AA349" s="452"/>
      <c r="AB349" s="453"/>
      <c r="AC349" s="453"/>
      <c r="AD349" s="453"/>
      <c r="AE349" s="453"/>
      <c r="AF349" s="452"/>
      <c r="AG349" s="452"/>
      <c r="AH349" s="452"/>
      <c r="AI349" s="452"/>
      <c r="AJ349" s="452"/>
      <c r="AK349" s="452"/>
      <c r="AL349" s="452"/>
      <c r="AM349" s="452"/>
      <c r="AN349" s="452"/>
      <c r="AO349" s="446"/>
      <c r="AP349" s="446"/>
      <c r="AQ349" s="446"/>
      <c r="AR349" s="446"/>
      <c r="AS349" s="446"/>
      <c r="AT349" s="72"/>
      <c r="AU349" s="72"/>
      <c r="AV349" s="72"/>
      <c r="AW349" s="72"/>
      <c r="AX349" s="72"/>
      <c r="AY349" s="72"/>
      <c r="AZ349" s="72"/>
      <c r="BA349" s="72"/>
      <c r="BB349" s="72"/>
      <c r="BC349" s="72"/>
      <c r="BD349" s="72"/>
      <c r="BE349" s="72"/>
      <c r="BF349" s="72"/>
    </row>
    <row r="350" spans="3:58">
      <c r="C350" s="452"/>
      <c r="Q350" s="452"/>
      <c r="R350" s="452"/>
      <c r="S350" s="452"/>
      <c r="T350" s="452"/>
      <c r="U350" s="452"/>
      <c r="V350" s="452"/>
      <c r="W350" s="452"/>
      <c r="X350" s="452"/>
      <c r="Y350" s="452"/>
      <c r="Z350" s="452"/>
      <c r="AA350" s="452"/>
      <c r="AB350" s="453"/>
      <c r="AC350" s="453"/>
      <c r="AD350" s="453"/>
      <c r="AE350" s="453"/>
      <c r="AF350" s="452"/>
      <c r="AG350" s="452"/>
      <c r="AH350" s="452"/>
      <c r="AI350" s="452"/>
      <c r="AJ350" s="452"/>
      <c r="AK350" s="452"/>
      <c r="AL350" s="452"/>
      <c r="AM350" s="452"/>
      <c r="AN350" s="452"/>
      <c r="AO350" s="446"/>
      <c r="AP350" s="446"/>
      <c r="AQ350" s="446"/>
      <c r="AR350" s="446"/>
      <c r="AS350" s="446"/>
      <c r="AT350" s="72"/>
      <c r="AU350" s="72"/>
      <c r="AV350" s="72"/>
      <c r="AW350" s="72"/>
      <c r="AX350" s="72"/>
      <c r="AY350" s="72"/>
      <c r="AZ350" s="72"/>
      <c r="BA350" s="72"/>
      <c r="BB350" s="72"/>
      <c r="BC350" s="72"/>
      <c r="BD350" s="72"/>
      <c r="BE350" s="72"/>
      <c r="BF350" s="72"/>
    </row>
    <row r="351" spans="3:58">
      <c r="C351" s="452"/>
      <c r="Q351" s="452"/>
      <c r="R351" s="452"/>
      <c r="S351" s="452"/>
      <c r="T351" s="452"/>
      <c r="U351" s="452"/>
      <c r="V351" s="452"/>
      <c r="W351" s="452"/>
      <c r="X351" s="452"/>
      <c r="Y351" s="452"/>
      <c r="Z351" s="452"/>
      <c r="AA351" s="452"/>
      <c r="AB351" s="453"/>
      <c r="AC351" s="453"/>
      <c r="AD351" s="453"/>
      <c r="AE351" s="453"/>
      <c r="AF351" s="452"/>
      <c r="AG351" s="452"/>
      <c r="AH351" s="452"/>
      <c r="AI351" s="452"/>
      <c r="AJ351" s="452"/>
      <c r="AK351" s="452"/>
      <c r="AL351" s="452"/>
      <c r="AM351" s="452"/>
      <c r="AN351" s="452"/>
      <c r="AO351" s="446"/>
      <c r="AP351" s="446"/>
      <c r="AQ351" s="446"/>
      <c r="AR351" s="446"/>
      <c r="AS351" s="446"/>
      <c r="AT351" s="72"/>
      <c r="AU351" s="72"/>
      <c r="AV351" s="72"/>
      <c r="AW351" s="72"/>
      <c r="AX351" s="72"/>
      <c r="AY351" s="72"/>
      <c r="AZ351" s="72"/>
      <c r="BA351" s="72"/>
      <c r="BB351" s="72"/>
      <c r="BC351" s="72"/>
      <c r="BD351" s="72"/>
      <c r="BE351" s="72"/>
      <c r="BF351" s="72"/>
    </row>
    <row r="352" spans="3:58">
      <c r="C352" s="452"/>
      <c r="Q352" s="452"/>
      <c r="R352" s="452"/>
      <c r="S352" s="452"/>
      <c r="T352" s="452"/>
      <c r="U352" s="452"/>
      <c r="V352" s="452"/>
      <c r="W352" s="452"/>
      <c r="X352" s="452"/>
      <c r="Y352" s="452"/>
      <c r="Z352" s="452"/>
      <c r="AA352" s="452"/>
      <c r="AB352" s="453"/>
      <c r="AC352" s="453"/>
      <c r="AD352" s="453"/>
      <c r="AE352" s="453"/>
      <c r="AF352" s="452"/>
      <c r="AG352" s="452"/>
      <c r="AH352" s="452"/>
      <c r="AI352" s="452"/>
      <c r="AJ352" s="452"/>
      <c r="AK352" s="452"/>
      <c r="AL352" s="452"/>
      <c r="AM352" s="452"/>
      <c r="AN352" s="452"/>
      <c r="AO352" s="446"/>
      <c r="AP352" s="446"/>
      <c r="AQ352" s="446"/>
      <c r="AR352" s="446"/>
      <c r="AS352" s="446"/>
      <c r="AT352" s="72"/>
      <c r="AU352" s="72"/>
      <c r="AV352" s="72"/>
      <c r="AW352" s="72"/>
      <c r="AX352" s="72"/>
      <c r="AY352" s="72"/>
      <c r="AZ352" s="72"/>
      <c r="BA352" s="72"/>
      <c r="BB352" s="72"/>
      <c r="BC352" s="72"/>
      <c r="BD352" s="72"/>
      <c r="BE352" s="72"/>
      <c r="BF352" s="72"/>
    </row>
    <row r="353" spans="3:58">
      <c r="C353" s="452"/>
      <c r="Q353" s="452"/>
      <c r="R353" s="452"/>
      <c r="S353" s="452"/>
      <c r="T353" s="452"/>
      <c r="U353" s="452"/>
      <c r="V353" s="452"/>
      <c r="W353" s="452"/>
      <c r="X353" s="452"/>
      <c r="Y353" s="452"/>
      <c r="Z353" s="452"/>
      <c r="AA353" s="452"/>
      <c r="AB353" s="453"/>
      <c r="AC353" s="453"/>
      <c r="AD353" s="453"/>
      <c r="AE353" s="453"/>
      <c r="AF353" s="452"/>
      <c r="AG353" s="452"/>
      <c r="AH353" s="452"/>
      <c r="AI353" s="452"/>
      <c r="AJ353" s="452"/>
      <c r="AK353" s="452"/>
      <c r="AL353" s="452"/>
      <c r="AM353" s="452"/>
      <c r="AN353" s="452"/>
      <c r="AO353" s="446"/>
      <c r="AP353" s="446"/>
      <c r="AQ353" s="446"/>
      <c r="AR353" s="446"/>
      <c r="AS353" s="446"/>
      <c r="AT353" s="72"/>
      <c r="AU353" s="72"/>
      <c r="AV353" s="72"/>
      <c r="AW353" s="72"/>
      <c r="AX353" s="72"/>
      <c r="AY353" s="72"/>
      <c r="AZ353" s="72"/>
      <c r="BA353" s="72"/>
      <c r="BB353" s="72"/>
      <c r="BC353" s="72"/>
      <c r="BD353" s="72"/>
      <c r="BE353" s="72"/>
      <c r="BF353" s="72"/>
    </row>
    <row r="354" spans="3:58">
      <c r="C354" s="452"/>
      <c r="Q354" s="452"/>
      <c r="R354" s="452"/>
      <c r="S354" s="452"/>
      <c r="T354" s="452"/>
      <c r="U354" s="452"/>
      <c r="V354" s="452"/>
      <c r="W354" s="452"/>
      <c r="X354" s="452"/>
      <c r="Y354" s="452"/>
      <c r="Z354" s="452"/>
      <c r="AA354" s="452"/>
      <c r="AB354" s="453"/>
      <c r="AC354" s="453"/>
      <c r="AD354" s="453"/>
      <c r="AE354" s="453"/>
      <c r="AF354" s="452"/>
      <c r="AG354" s="452"/>
      <c r="AH354" s="452"/>
      <c r="AI354" s="452"/>
      <c r="AJ354" s="452"/>
      <c r="AK354" s="452"/>
      <c r="AL354" s="452"/>
      <c r="AM354" s="452"/>
      <c r="AN354" s="452"/>
      <c r="AO354" s="446"/>
      <c r="AP354" s="446"/>
      <c r="AQ354" s="446"/>
      <c r="AR354" s="446"/>
      <c r="AS354" s="446"/>
      <c r="AT354" s="72"/>
      <c r="AU354" s="72"/>
      <c r="AV354" s="72"/>
      <c r="AW354" s="72"/>
      <c r="AX354" s="72"/>
      <c r="AY354" s="72"/>
      <c r="AZ354" s="72"/>
      <c r="BA354" s="72"/>
      <c r="BB354" s="72"/>
      <c r="BC354" s="72"/>
      <c r="BD354" s="72"/>
      <c r="BE354" s="72"/>
      <c r="BF354" s="72"/>
    </row>
    <row r="355" spans="3:58">
      <c r="C355" s="452"/>
      <c r="Q355" s="452"/>
      <c r="R355" s="452"/>
      <c r="S355" s="452"/>
      <c r="T355" s="452"/>
      <c r="U355" s="452"/>
      <c r="V355" s="452"/>
      <c r="W355" s="452"/>
      <c r="X355" s="452"/>
      <c r="Y355" s="452"/>
      <c r="Z355" s="452"/>
      <c r="AA355" s="452"/>
      <c r="AB355" s="453"/>
      <c r="AC355" s="453"/>
      <c r="AD355" s="453"/>
      <c r="AE355" s="453"/>
      <c r="AF355" s="452"/>
      <c r="AG355" s="452"/>
      <c r="AH355" s="452"/>
      <c r="AI355" s="452"/>
      <c r="AJ355" s="452"/>
      <c r="AK355" s="452"/>
      <c r="AL355" s="452"/>
      <c r="AM355" s="452"/>
      <c r="AN355" s="452"/>
      <c r="AO355" s="446"/>
      <c r="AP355" s="446"/>
      <c r="AQ355" s="446"/>
      <c r="AR355" s="446"/>
      <c r="AS355" s="446"/>
      <c r="AT355" s="72"/>
      <c r="AU355" s="72"/>
      <c r="AV355" s="72"/>
      <c r="AW355" s="72"/>
      <c r="AX355" s="72"/>
      <c r="AY355" s="72"/>
      <c r="AZ355" s="72"/>
      <c r="BA355" s="72"/>
      <c r="BB355" s="72"/>
      <c r="BC355" s="72"/>
      <c r="BD355" s="72"/>
      <c r="BE355" s="72"/>
      <c r="BF355" s="72"/>
    </row>
    <row r="356" spans="3:58">
      <c r="C356" s="452"/>
      <c r="Q356" s="452"/>
      <c r="R356" s="452"/>
      <c r="S356" s="452"/>
      <c r="T356" s="452"/>
      <c r="U356" s="452"/>
      <c r="V356" s="452"/>
      <c r="W356" s="452"/>
      <c r="X356" s="452"/>
      <c r="Y356" s="452"/>
      <c r="Z356" s="452"/>
      <c r="AA356" s="452"/>
      <c r="AB356" s="453"/>
      <c r="AC356" s="453"/>
      <c r="AD356" s="453"/>
      <c r="AE356" s="453"/>
      <c r="AF356" s="452"/>
      <c r="AG356" s="452"/>
      <c r="AH356" s="452"/>
      <c r="AI356" s="452"/>
      <c r="AJ356" s="452"/>
      <c r="AK356" s="452"/>
      <c r="AL356" s="452"/>
      <c r="AM356" s="452"/>
      <c r="AN356" s="452"/>
      <c r="AO356" s="446"/>
      <c r="AP356" s="446"/>
      <c r="AQ356" s="446"/>
      <c r="AR356" s="446"/>
      <c r="AS356" s="446"/>
      <c r="AT356" s="72"/>
      <c r="AU356" s="72"/>
      <c r="AV356" s="72"/>
      <c r="AW356" s="72"/>
      <c r="AX356" s="72"/>
      <c r="AY356" s="72"/>
      <c r="AZ356" s="72"/>
      <c r="BA356" s="72"/>
      <c r="BB356" s="72"/>
      <c r="BC356" s="72"/>
      <c r="BD356" s="72"/>
      <c r="BE356" s="72"/>
      <c r="BF356" s="72"/>
    </row>
    <row r="357" spans="3:58">
      <c r="C357" s="452"/>
      <c r="Q357" s="452"/>
      <c r="R357" s="452"/>
      <c r="S357" s="452"/>
      <c r="T357" s="452"/>
      <c r="U357" s="452"/>
      <c r="V357" s="452"/>
      <c r="W357" s="452"/>
      <c r="X357" s="452"/>
      <c r="Y357" s="452"/>
      <c r="Z357" s="452"/>
      <c r="AA357" s="452"/>
      <c r="AB357" s="453"/>
      <c r="AC357" s="453"/>
      <c r="AD357" s="453"/>
      <c r="AE357" s="453"/>
      <c r="AF357" s="452"/>
      <c r="AG357" s="452"/>
      <c r="AH357" s="452"/>
      <c r="AI357" s="452"/>
      <c r="AJ357" s="452"/>
      <c r="AK357" s="452"/>
      <c r="AL357" s="452"/>
      <c r="AM357" s="452"/>
      <c r="AN357" s="452"/>
      <c r="AO357" s="446"/>
      <c r="AP357" s="446"/>
      <c r="AQ357" s="446"/>
      <c r="AR357" s="446"/>
      <c r="AS357" s="446"/>
      <c r="AT357" s="72"/>
      <c r="AU357" s="72"/>
      <c r="AV357" s="72"/>
      <c r="AW357" s="72"/>
      <c r="AX357" s="72"/>
      <c r="AY357" s="72"/>
      <c r="AZ357" s="72"/>
      <c r="BA357" s="72"/>
      <c r="BB357" s="72"/>
      <c r="BC357" s="72"/>
      <c r="BD357" s="72"/>
      <c r="BE357" s="72"/>
      <c r="BF357" s="72"/>
    </row>
    <row r="358" spans="3:58">
      <c r="C358" s="452"/>
      <c r="Q358" s="452"/>
      <c r="R358" s="452"/>
      <c r="S358" s="452"/>
      <c r="T358" s="452"/>
      <c r="U358" s="452"/>
      <c r="V358" s="452"/>
      <c r="W358" s="452"/>
      <c r="X358" s="452"/>
      <c r="Y358" s="452"/>
      <c r="Z358" s="452"/>
      <c r="AA358" s="452"/>
      <c r="AB358" s="453"/>
      <c r="AC358" s="453"/>
      <c r="AD358" s="453"/>
      <c r="AE358" s="453"/>
      <c r="AF358" s="452"/>
      <c r="AG358" s="452"/>
      <c r="AH358" s="452"/>
      <c r="AI358" s="452"/>
      <c r="AJ358" s="452"/>
      <c r="AK358" s="452"/>
      <c r="AL358" s="452"/>
      <c r="AM358" s="452"/>
      <c r="AN358" s="452"/>
      <c r="AO358" s="446"/>
      <c r="AP358" s="446"/>
      <c r="AQ358" s="446"/>
      <c r="AR358" s="446"/>
      <c r="AS358" s="446"/>
      <c r="AT358" s="72"/>
      <c r="AU358" s="72"/>
      <c r="AV358" s="72"/>
      <c r="AW358" s="72"/>
      <c r="AX358" s="72"/>
      <c r="AY358" s="72"/>
      <c r="AZ358" s="72"/>
      <c r="BA358" s="72"/>
      <c r="BB358" s="72"/>
      <c r="BC358" s="72"/>
      <c r="BD358" s="72"/>
      <c r="BE358" s="72"/>
      <c r="BF358" s="72"/>
    </row>
    <row r="359" spans="3:58">
      <c r="C359" s="452"/>
      <c r="Q359" s="452"/>
      <c r="R359" s="452"/>
      <c r="S359" s="452"/>
      <c r="T359" s="452"/>
      <c r="U359" s="452"/>
      <c r="V359" s="452"/>
      <c r="W359" s="452"/>
      <c r="X359" s="452"/>
      <c r="Y359" s="452"/>
      <c r="Z359" s="452"/>
      <c r="AA359" s="452"/>
      <c r="AB359" s="453"/>
      <c r="AC359" s="453"/>
      <c r="AD359" s="453"/>
      <c r="AE359" s="453"/>
      <c r="AF359" s="452"/>
      <c r="AG359" s="452"/>
      <c r="AH359" s="452"/>
      <c r="AI359" s="452"/>
      <c r="AJ359" s="452"/>
      <c r="AK359" s="452"/>
      <c r="AL359" s="452"/>
      <c r="AM359" s="452"/>
      <c r="AN359" s="452"/>
      <c r="AO359" s="446"/>
      <c r="AP359" s="446"/>
      <c r="AQ359" s="446"/>
      <c r="AR359" s="446"/>
      <c r="AS359" s="446"/>
      <c r="AT359" s="72"/>
      <c r="AU359" s="72"/>
      <c r="AV359" s="72"/>
      <c r="AW359" s="72"/>
      <c r="AX359" s="72"/>
      <c r="AY359" s="72"/>
      <c r="AZ359" s="72"/>
      <c r="BA359" s="72"/>
      <c r="BB359" s="72"/>
      <c r="BC359" s="72"/>
      <c r="BD359" s="72"/>
      <c r="BE359" s="72"/>
      <c r="BF359" s="72"/>
    </row>
    <row r="360" spans="3:58">
      <c r="C360" s="452"/>
      <c r="Q360" s="452"/>
      <c r="R360" s="452"/>
      <c r="S360" s="452"/>
      <c r="T360" s="452"/>
      <c r="U360" s="452"/>
      <c r="V360" s="452"/>
      <c r="W360" s="452"/>
      <c r="X360" s="452"/>
      <c r="Y360" s="452"/>
      <c r="Z360" s="452"/>
      <c r="AA360" s="452"/>
      <c r="AB360" s="453"/>
      <c r="AC360" s="453"/>
      <c r="AD360" s="453"/>
      <c r="AE360" s="453"/>
      <c r="AF360" s="452"/>
      <c r="AG360" s="452"/>
      <c r="AH360" s="452"/>
      <c r="AI360" s="452"/>
      <c r="AJ360" s="452"/>
      <c r="AK360" s="452"/>
      <c r="AL360" s="452"/>
      <c r="AM360" s="452"/>
      <c r="AN360" s="452"/>
      <c r="AO360" s="446"/>
      <c r="AP360" s="446"/>
      <c r="AQ360" s="446"/>
      <c r="AR360" s="446"/>
      <c r="AS360" s="446"/>
      <c r="AT360" s="72"/>
      <c r="AU360" s="72"/>
      <c r="AV360" s="72"/>
      <c r="AW360" s="72"/>
      <c r="AX360" s="72"/>
      <c r="AY360" s="72"/>
      <c r="AZ360" s="72"/>
      <c r="BA360" s="72"/>
      <c r="BB360" s="72"/>
      <c r="BC360" s="72"/>
      <c r="BD360" s="72"/>
      <c r="BE360" s="72"/>
      <c r="BF360" s="72"/>
    </row>
    <row r="361" spans="3:58">
      <c r="C361" s="452"/>
      <c r="Q361" s="452"/>
      <c r="R361" s="452"/>
      <c r="S361" s="452"/>
      <c r="T361" s="452"/>
      <c r="U361" s="452"/>
      <c r="V361" s="452"/>
      <c r="W361" s="452"/>
      <c r="X361" s="452"/>
      <c r="Y361" s="452"/>
      <c r="Z361" s="452"/>
      <c r="AA361" s="452"/>
      <c r="AB361" s="453"/>
      <c r="AC361" s="453"/>
      <c r="AD361" s="453"/>
      <c r="AE361" s="453"/>
      <c r="AF361" s="452"/>
      <c r="AG361" s="452"/>
      <c r="AH361" s="452"/>
      <c r="AI361" s="452"/>
      <c r="AJ361" s="452"/>
      <c r="AK361" s="452"/>
      <c r="AL361" s="452"/>
      <c r="AM361" s="452"/>
      <c r="AN361" s="452"/>
      <c r="AO361" s="446"/>
      <c r="AP361" s="446"/>
      <c r="AQ361" s="446"/>
      <c r="AR361" s="446"/>
      <c r="AS361" s="446"/>
      <c r="AT361" s="72"/>
      <c r="AU361" s="72"/>
      <c r="AV361" s="72"/>
      <c r="AW361" s="72"/>
      <c r="AX361" s="72"/>
      <c r="AY361" s="72"/>
      <c r="AZ361" s="72"/>
      <c r="BA361" s="72"/>
      <c r="BB361" s="72"/>
      <c r="BC361" s="72"/>
      <c r="BD361" s="72"/>
      <c r="BE361" s="72"/>
      <c r="BF361" s="72"/>
    </row>
    <row r="362" spans="3:58">
      <c r="C362" s="452"/>
      <c r="Q362" s="452"/>
      <c r="R362" s="452"/>
      <c r="S362" s="452"/>
      <c r="T362" s="452"/>
      <c r="U362" s="452"/>
      <c r="V362" s="452"/>
      <c r="W362" s="452"/>
      <c r="X362" s="452"/>
      <c r="Y362" s="452"/>
      <c r="Z362" s="452"/>
      <c r="AA362" s="452"/>
      <c r="AB362" s="453"/>
      <c r="AC362" s="453"/>
      <c r="AD362" s="453"/>
      <c r="AE362" s="453"/>
      <c r="AF362" s="452"/>
      <c r="AG362" s="452"/>
      <c r="AH362" s="452"/>
      <c r="AI362" s="452"/>
      <c r="AJ362" s="452"/>
      <c r="AK362" s="452"/>
      <c r="AL362" s="452"/>
      <c r="AM362" s="452"/>
      <c r="AN362" s="452"/>
      <c r="AO362" s="446"/>
      <c r="AP362" s="446"/>
      <c r="AQ362" s="446"/>
      <c r="AR362" s="446"/>
      <c r="AS362" s="446"/>
      <c r="AT362" s="72"/>
      <c r="AU362" s="72"/>
      <c r="AV362" s="72"/>
      <c r="AW362" s="72"/>
      <c r="AX362" s="72"/>
      <c r="AY362" s="72"/>
      <c r="AZ362" s="72"/>
      <c r="BA362" s="72"/>
      <c r="BB362" s="72"/>
      <c r="BC362" s="72"/>
      <c r="BD362" s="72"/>
      <c r="BE362" s="72"/>
      <c r="BF362" s="72"/>
    </row>
    <row r="363" spans="3:58">
      <c r="C363" s="452"/>
      <c r="Q363" s="452"/>
      <c r="R363" s="452"/>
      <c r="S363" s="452"/>
      <c r="T363" s="452"/>
      <c r="U363" s="452"/>
      <c r="V363" s="452"/>
      <c r="W363" s="452"/>
      <c r="X363" s="452"/>
      <c r="Y363" s="452"/>
      <c r="Z363" s="452"/>
      <c r="AA363" s="452"/>
      <c r="AB363" s="453"/>
      <c r="AC363" s="453"/>
      <c r="AD363" s="453"/>
      <c r="AE363" s="453"/>
      <c r="AF363" s="452"/>
      <c r="AG363" s="452"/>
      <c r="AH363" s="452"/>
      <c r="AI363" s="452"/>
      <c r="AJ363" s="452"/>
      <c r="AK363" s="452"/>
      <c r="AL363" s="452"/>
      <c r="AM363" s="452"/>
      <c r="AN363" s="452"/>
      <c r="AO363" s="446"/>
      <c r="AP363" s="446"/>
      <c r="AQ363" s="446"/>
      <c r="AR363" s="446"/>
      <c r="AS363" s="446"/>
      <c r="AT363" s="72"/>
      <c r="AU363" s="72"/>
      <c r="AV363" s="72"/>
      <c r="AW363" s="72"/>
      <c r="AX363" s="72"/>
      <c r="AY363" s="72"/>
      <c r="AZ363" s="72"/>
      <c r="BA363" s="72"/>
      <c r="BB363" s="72"/>
      <c r="BC363" s="72"/>
      <c r="BD363" s="72"/>
      <c r="BE363" s="72"/>
      <c r="BF363" s="72"/>
    </row>
    <row r="364" spans="3:58">
      <c r="C364" s="452"/>
      <c r="Q364" s="452"/>
      <c r="R364" s="452"/>
      <c r="S364" s="452"/>
      <c r="T364" s="452"/>
      <c r="U364" s="452"/>
      <c r="V364" s="452"/>
      <c r="W364" s="452"/>
      <c r="X364" s="452"/>
      <c r="Y364" s="452"/>
      <c r="Z364" s="452"/>
      <c r="AA364" s="452"/>
      <c r="AB364" s="453"/>
      <c r="AC364" s="453"/>
      <c r="AD364" s="453"/>
      <c r="AE364" s="453"/>
      <c r="AF364" s="452"/>
      <c r="AG364" s="452"/>
      <c r="AH364" s="452"/>
      <c r="AI364" s="452"/>
      <c r="AJ364" s="452"/>
      <c r="AK364" s="452"/>
      <c r="AL364" s="452"/>
      <c r="AM364" s="452"/>
      <c r="AN364" s="452"/>
      <c r="AO364" s="446"/>
      <c r="AP364" s="446"/>
      <c r="AQ364" s="446"/>
      <c r="AR364" s="446"/>
      <c r="AS364" s="446"/>
      <c r="AT364" s="72"/>
      <c r="AU364" s="72"/>
      <c r="AV364" s="72"/>
      <c r="AW364" s="72"/>
      <c r="AX364" s="72"/>
      <c r="AY364" s="72"/>
      <c r="AZ364" s="72"/>
      <c r="BA364" s="72"/>
      <c r="BB364" s="72"/>
      <c r="BC364" s="72"/>
      <c r="BD364" s="72"/>
      <c r="BE364" s="72"/>
      <c r="BF364" s="72"/>
    </row>
    <row r="365" spans="3:58">
      <c r="C365" s="452"/>
      <c r="Q365" s="452"/>
      <c r="R365" s="452"/>
      <c r="S365" s="452"/>
      <c r="T365" s="452"/>
      <c r="U365" s="452"/>
      <c r="V365" s="452"/>
      <c r="W365" s="452"/>
      <c r="X365" s="452"/>
      <c r="Y365" s="452"/>
      <c r="Z365" s="452"/>
      <c r="AA365" s="452"/>
      <c r="AB365" s="453"/>
      <c r="AC365" s="453"/>
      <c r="AD365" s="453"/>
      <c r="AE365" s="453"/>
      <c r="AF365" s="452"/>
      <c r="AG365" s="452"/>
      <c r="AH365" s="452"/>
      <c r="AI365" s="452"/>
      <c r="AJ365" s="452"/>
      <c r="AK365" s="452"/>
      <c r="AL365" s="452"/>
      <c r="AM365" s="452"/>
      <c r="AN365" s="452"/>
      <c r="AO365" s="446"/>
      <c r="AP365" s="446"/>
      <c r="AQ365" s="446"/>
      <c r="AR365" s="446"/>
      <c r="AS365" s="446"/>
      <c r="AT365" s="72"/>
      <c r="AU365" s="72"/>
      <c r="AV365" s="72"/>
      <c r="AW365" s="72"/>
      <c r="AX365" s="72"/>
      <c r="AY365" s="72"/>
      <c r="AZ365" s="72"/>
      <c r="BA365" s="72"/>
      <c r="BB365" s="72"/>
      <c r="BC365" s="72"/>
      <c r="BD365" s="72"/>
      <c r="BE365" s="72"/>
      <c r="BF365" s="72"/>
    </row>
    <row r="366" spans="3:58">
      <c r="C366" s="452"/>
      <c r="Q366" s="452"/>
      <c r="R366" s="452"/>
      <c r="S366" s="452"/>
      <c r="T366" s="452"/>
      <c r="U366" s="452"/>
      <c r="V366" s="452"/>
      <c r="W366" s="452"/>
      <c r="X366" s="452"/>
      <c r="Y366" s="452"/>
      <c r="Z366" s="452"/>
      <c r="AA366" s="452"/>
      <c r="AB366" s="453"/>
      <c r="AC366" s="453"/>
      <c r="AD366" s="453"/>
      <c r="AE366" s="453"/>
      <c r="AF366" s="452"/>
      <c r="AG366" s="452"/>
      <c r="AH366" s="452"/>
      <c r="AI366" s="452"/>
      <c r="AJ366" s="452"/>
      <c r="AK366" s="452"/>
      <c r="AL366" s="452"/>
      <c r="AM366" s="452"/>
      <c r="AN366" s="452"/>
      <c r="AO366" s="446"/>
      <c r="AP366" s="446"/>
      <c r="AQ366" s="446"/>
      <c r="AR366" s="446"/>
      <c r="AS366" s="446"/>
      <c r="AT366" s="72"/>
      <c r="AU366" s="72"/>
      <c r="AV366" s="72"/>
      <c r="AW366" s="72"/>
      <c r="AX366" s="72"/>
      <c r="AY366" s="72"/>
      <c r="AZ366" s="72"/>
      <c r="BA366" s="72"/>
      <c r="BB366" s="72"/>
      <c r="BC366" s="72"/>
      <c r="BD366" s="72"/>
      <c r="BE366" s="72"/>
      <c r="BF366" s="72"/>
    </row>
    <row r="367" spans="3:58">
      <c r="C367" s="452"/>
      <c r="Q367" s="452"/>
      <c r="R367" s="452"/>
      <c r="S367" s="452"/>
      <c r="T367" s="452"/>
      <c r="U367" s="452"/>
      <c r="V367" s="452"/>
      <c r="W367" s="452"/>
      <c r="X367" s="452"/>
      <c r="Y367" s="452"/>
      <c r="Z367" s="452"/>
      <c r="AA367" s="452"/>
      <c r="AB367" s="453"/>
      <c r="AC367" s="453"/>
      <c r="AD367" s="453"/>
      <c r="AE367" s="453"/>
      <c r="AF367" s="452"/>
      <c r="AG367" s="452"/>
      <c r="AH367" s="452"/>
      <c r="AI367" s="452"/>
      <c r="AJ367" s="452"/>
      <c r="AK367" s="452"/>
      <c r="AL367" s="452"/>
      <c r="AM367" s="452"/>
      <c r="AN367" s="452"/>
      <c r="AO367" s="446"/>
      <c r="AP367" s="446"/>
      <c r="AQ367" s="446"/>
      <c r="AR367" s="446"/>
      <c r="AS367" s="446"/>
      <c r="AT367" s="72"/>
      <c r="AU367" s="72"/>
      <c r="AV367" s="72"/>
      <c r="AW367" s="72"/>
      <c r="AX367" s="72"/>
      <c r="AY367" s="72"/>
      <c r="AZ367" s="72"/>
      <c r="BA367" s="72"/>
      <c r="BB367" s="72"/>
      <c r="BC367" s="72"/>
      <c r="BD367" s="72"/>
      <c r="BE367" s="72"/>
      <c r="BF367" s="72"/>
    </row>
    <row r="368" spans="3:58">
      <c r="C368" s="452"/>
      <c r="Q368" s="452"/>
      <c r="R368" s="452"/>
      <c r="S368" s="452"/>
      <c r="T368" s="452"/>
      <c r="U368" s="452"/>
      <c r="V368" s="452"/>
      <c r="W368" s="452"/>
      <c r="X368" s="452"/>
      <c r="Y368" s="452"/>
      <c r="Z368" s="452"/>
      <c r="AA368" s="452"/>
      <c r="AB368" s="453"/>
      <c r="AC368" s="453"/>
      <c r="AD368" s="453"/>
      <c r="AE368" s="453"/>
      <c r="AF368" s="452"/>
      <c r="AG368" s="452"/>
      <c r="AH368" s="452"/>
      <c r="AI368" s="452"/>
      <c r="AJ368" s="452"/>
      <c r="AK368" s="452"/>
      <c r="AL368" s="452"/>
      <c r="AM368" s="452"/>
      <c r="AN368" s="452"/>
      <c r="AO368" s="446"/>
      <c r="AP368" s="446"/>
      <c r="AQ368" s="446"/>
      <c r="AR368" s="446"/>
      <c r="AS368" s="446"/>
      <c r="AT368" s="72"/>
      <c r="AU368" s="72"/>
      <c r="AV368" s="72"/>
      <c r="AW368" s="72"/>
      <c r="AX368" s="72"/>
      <c r="AY368" s="72"/>
      <c r="AZ368" s="72"/>
      <c r="BA368" s="72"/>
      <c r="BB368" s="72"/>
      <c r="BC368" s="72"/>
      <c r="BD368" s="72"/>
      <c r="BE368" s="72"/>
      <c r="BF368" s="72"/>
    </row>
    <row r="369" spans="3:58">
      <c r="C369" s="452"/>
      <c r="Q369" s="452"/>
      <c r="R369" s="452"/>
      <c r="S369" s="452"/>
      <c r="T369" s="452"/>
      <c r="U369" s="452"/>
      <c r="V369" s="452"/>
      <c r="W369" s="452"/>
      <c r="X369" s="452"/>
      <c r="Y369" s="452"/>
      <c r="Z369" s="452"/>
      <c r="AA369" s="452"/>
      <c r="AB369" s="453"/>
      <c r="AC369" s="453"/>
      <c r="AD369" s="453"/>
      <c r="AE369" s="453"/>
      <c r="AF369" s="452"/>
      <c r="AG369" s="452"/>
      <c r="AH369" s="452"/>
      <c r="AI369" s="452"/>
      <c r="AJ369" s="452"/>
      <c r="AK369" s="452"/>
      <c r="AL369" s="452"/>
      <c r="AM369" s="452"/>
      <c r="AN369" s="452"/>
      <c r="AO369" s="446"/>
      <c r="AP369" s="446"/>
      <c r="AQ369" s="446"/>
      <c r="AR369" s="446"/>
      <c r="AS369" s="446"/>
      <c r="AT369" s="72"/>
      <c r="AU369" s="72"/>
      <c r="AV369" s="72"/>
      <c r="AW369" s="72"/>
      <c r="AX369" s="72"/>
      <c r="AY369" s="72"/>
      <c r="AZ369" s="72"/>
      <c r="BA369" s="72"/>
      <c r="BB369" s="72"/>
      <c r="BC369" s="72"/>
      <c r="BD369" s="72"/>
      <c r="BE369" s="72"/>
      <c r="BF369" s="72"/>
    </row>
    <row r="370" spans="3:58">
      <c r="C370" s="452"/>
      <c r="Q370" s="452"/>
      <c r="R370" s="452"/>
      <c r="S370" s="452"/>
      <c r="T370" s="452"/>
      <c r="U370" s="452"/>
      <c r="V370" s="452"/>
      <c r="W370" s="452"/>
      <c r="X370" s="452"/>
      <c r="Y370" s="452"/>
      <c r="Z370" s="452"/>
      <c r="AA370" s="452"/>
      <c r="AB370" s="453"/>
      <c r="AC370" s="453"/>
      <c r="AD370" s="453"/>
      <c r="AE370" s="453"/>
      <c r="AF370" s="452"/>
      <c r="AG370" s="452"/>
      <c r="AH370" s="452"/>
      <c r="AI370" s="452"/>
      <c r="AJ370" s="452"/>
      <c r="AK370" s="452"/>
      <c r="AL370" s="452"/>
      <c r="AM370" s="452"/>
      <c r="AN370" s="452"/>
      <c r="AO370" s="446"/>
      <c r="AP370" s="446"/>
      <c r="AQ370" s="446"/>
      <c r="AR370" s="446"/>
      <c r="AS370" s="446"/>
      <c r="AT370" s="72"/>
      <c r="AU370" s="72"/>
      <c r="AV370" s="72"/>
      <c r="AW370" s="72"/>
      <c r="AX370" s="72"/>
      <c r="AY370" s="72"/>
      <c r="AZ370" s="72"/>
      <c r="BA370" s="72"/>
      <c r="BB370" s="72"/>
      <c r="BC370" s="72"/>
      <c r="BD370" s="72"/>
      <c r="BE370" s="72"/>
      <c r="BF370" s="72"/>
    </row>
    <row r="371" spans="3:58">
      <c r="C371" s="452"/>
      <c r="Q371" s="452"/>
      <c r="R371" s="452"/>
      <c r="S371" s="452"/>
      <c r="T371" s="452"/>
      <c r="U371" s="452"/>
      <c r="V371" s="452"/>
      <c r="W371" s="452"/>
      <c r="X371" s="452"/>
      <c r="Y371" s="452"/>
      <c r="Z371" s="452"/>
      <c r="AA371" s="452"/>
      <c r="AB371" s="453"/>
      <c r="AC371" s="453"/>
      <c r="AD371" s="453"/>
      <c r="AE371" s="453"/>
      <c r="AF371" s="452"/>
      <c r="AG371" s="452"/>
      <c r="AH371" s="452"/>
      <c r="AI371" s="452"/>
      <c r="AJ371" s="452"/>
      <c r="AK371" s="452"/>
      <c r="AL371" s="452"/>
      <c r="AM371" s="452"/>
      <c r="AN371" s="452"/>
      <c r="AO371" s="446"/>
      <c r="AP371" s="446"/>
      <c r="AQ371" s="446"/>
      <c r="AR371" s="446"/>
      <c r="AS371" s="446"/>
      <c r="AT371" s="72"/>
      <c r="AU371" s="72"/>
      <c r="AV371" s="72"/>
      <c r="AW371" s="72"/>
      <c r="AX371" s="72"/>
      <c r="AY371" s="72"/>
      <c r="AZ371" s="72"/>
      <c r="BA371" s="72"/>
      <c r="BB371" s="72"/>
      <c r="BC371" s="72"/>
      <c r="BD371" s="72"/>
      <c r="BE371" s="72"/>
      <c r="BF371" s="72"/>
    </row>
    <row r="372" spans="3:58">
      <c r="C372" s="452"/>
      <c r="Q372" s="452"/>
      <c r="R372" s="452"/>
      <c r="S372" s="452"/>
      <c r="T372" s="452"/>
      <c r="U372" s="452"/>
      <c r="V372" s="452"/>
      <c r="W372" s="452"/>
      <c r="X372" s="452"/>
      <c r="Y372" s="452"/>
      <c r="Z372" s="452"/>
      <c r="AA372" s="452"/>
      <c r="AB372" s="453"/>
      <c r="AC372" s="453"/>
      <c r="AD372" s="453"/>
      <c r="AE372" s="453"/>
      <c r="AF372" s="452"/>
      <c r="AG372" s="452"/>
      <c r="AH372" s="452"/>
      <c r="AI372" s="452"/>
      <c r="AJ372" s="452"/>
      <c r="AK372" s="452"/>
      <c r="AL372" s="452"/>
      <c r="AM372" s="452"/>
      <c r="AN372" s="452"/>
      <c r="AO372" s="446"/>
      <c r="AP372" s="446"/>
      <c r="AQ372" s="446"/>
      <c r="AR372" s="446"/>
      <c r="AS372" s="446"/>
      <c r="AT372" s="72"/>
      <c r="AU372" s="72"/>
      <c r="AV372" s="72"/>
      <c r="AW372" s="72"/>
      <c r="AX372" s="72"/>
      <c r="AY372" s="72"/>
      <c r="AZ372" s="72"/>
      <c r="BA372" s="72"/>
      <c r="BB372" s="72"/>
      <c r="BC372" s="72"/>
      <c r="BD372" s="72"/>
      <c r="BE372" s="72"/>
      <c r="BF372" s="72"/>
    </row>
    <row r="373" spans="3:58">
      <c r="C373" s="452"/>
      <c r="Q373" s="452"/>
      <c r="R373" s="452"/>
      <c r="S373" s="452"/>
      <c r="T373" s="452"/>
      <c r="U373" s="452"/>
      <c r="V373" s="452"/>
      <c r="W373" s="452"/>
      <c r="X373" s="452"/>
      <c r="Y373" s="452"/>
      <c r="Z373" s="452"/>
      <c r="AA373" s="452"/>
      <c r="AB373" s="453"/>
      <c r="AC373" s="453"/>
      <c r="AD373" s="453"/>
      <c r="AE373" s="453"/>
      <c r="AF373" s="452"/>
      <c r="AG373" s="452"/>
      <c r="AH373" s="452"/>
      <c r="AI373" s="452"/>
      <c r="AJ373" s="452"/>
      <c r="AK373" s="452"/>
      <c r="AL373" s="452"/>
      <c r="AM373" s="452"/>
      <c r="AN373" s="452"/>
      <c r="AO373" s="446"/>
      <c r="AP373" s="446"/>
      <c r="AQ373" s="446"/>
      <c r="AR373" s="446"/>
      <c r="AS373" s="446"/>
      <c r="AT373" s="72"/>
      <c r="AU373" s="72"/>
      <c r="AV373" s="72"/>
      <c r="AW373" s="72"/>
      <c r="AX373" s="72"/>
      <c r="AY373" s="72"/>
      <c r="AZ373" s="72"/>
      <c r="BA373" s="72"/>
      <c r="BB373" s="72"/>
      <c r="BC373" s="72"/>
      <c r="BD373" s="72"/>
      <c r="BE373" s="72"/>
      <c r="BF373" s="72"/>
    </row>
    <row r="374" spans="3:58">
      <c r="C374" s="452"/>
      <c r="Q374" s="452"/>
      <c r="R374" s="452"/>
      <c r="S374" s="452"/>
      <c r="T374" s="452"/>
      <c r="U374" s="452"/>
      <c r="V374" s="452"/>
      <c r="W374" s="452"/>
      <c r="X374" s="452"/>
      <c r="Y374" s="452"/>
      <c r="Z374" s="452"/>
      <c r="AA374" s="452"/>
      <c r="AB374" s="453"/>
      <c r="AC374" s="453"/>
      <c r="AD374" s="453"/>
      <c r="AE374" s="453"/>
      <c r="AF374" s="452"/>
      <c r="AG374" s="452"/>
      <c r="AH374" s="452"/>
      <c r="AI374" s="452"/>
      <c r="AJ374" s="452"/>
      <c r="AK374" s="452"/>
      <c r="AL374" s="452"/>
      <c r="AM374" s="452"/>
      <c r="AN374" s="452"/>
      <c r="AO374" s="446"/>
      <c r="AP374" s="446"/>
      <c r="AQ374" s="446"/>
      <c r="AR374" s="446"/>
      <c r="AS374" s="446"/>
      <c r="AT374" s="72"/>
      <c r="AU374" s="72"/>
      <c r="AV374" s="72"/>
      <c r="AW374" s="72"/>
      <c r="AX374" s="72"/>
      <c r="AY374" s="72"/>
      <c r="AZ374" s="72"/>
      <c r="BA374" s="72"/>
      <c r="BB374" s="72"/>
      <c r="BC374" s="72"/>
      <c r="BD374" s="72"/>
      <c r="BE374" s="72"/>
      <c r="BF374" s="72"/>
    </row>
    <row r="375" spans="3:58">
      <c r="C375" s="452"/>
      <c r="Q375" s="452"/>
      <c r="R375" s="452"/>
      <c r="S375" s="452"/>
      <c r="T375" s="452"/>
      <c r="U375" s="452"/>
      <c r="V375" s="452"/>
      <c r="W375" s="452"/>
      <c r="X375" s="452"/>
      <c r="Y375" s="452"/>
      <c r="Z375" s="452"/>
      <c r="AA375" s="452"/>
      <c r="AB375" s="453"/>
      <c r="AC375" s="453"/>
      <c r="AD375" s="453"/>
      <c r="AE375" s="453"/>
      <c r="AF375" s="452"/>
      <c r="AG375" s="452"/>
      <c r="AH375" s="452"/>
      <c r="AI375" s="452"/>
      <c r="AJ375" s="452"/>
      <c r="AK375" s="452"/>
      <c r="AL375" s="452"/>
      <c r="AM375" s="452"/>
      <c r="AN375" s="452"/>
      <c r="AO375" s="446"/>
      <c r="AP375" s="446"/>
      <c r="AQ375" s="446"/>
      <c r="AR375" s="446"/>
      <c r="AS375" s="446"/>
      <c r="AT375" s="72"/>
      <c r="AU375" s="72"/>
      <c r="AV375" s="72"/>
      <c r="AW375" s="72"/>
      <c r="AX375" s="72"/>
      <c r="AY375" s="72"/>
      <c r="AZ375" s="72"/>
      <c r="BA375" s="72"/>
      <c r="BB375" s="72"/>
      <c r="BC375" s="72"/>
      <c r="BD375" s="72"/>
      <c r="BE375" s="72"/>
      <c r="BF375" s="72"/>
    </row>
    <row r="376" spans="3:58">
      <c r="C376" s="452"/>
      <c r="Q376" s="452"/>
      <c r="R376" s="452"/>
      <c r="S376" s="452"/>
      <c r="T376" s="452"/>
      <c r="U376" s="452"/>
      <c r="V376" s="452"/>
      <c r="W376" s="452"/>
      <c r="X376" s="452"/>
      <c r="Y376" s="452"/>
      <c r="Z376" s="452"/>
      <c r="AA376" s="452"/>
      <c r="AB376" s="453"/>
      <c r="AC376" s="453"/>
      <c r="AD376" s="453"/>
      <c r="AE376" s="453"/>
      <c r="AF376" s="452"/>
      <c r="AG376" s="452"/>
      <c r="AH376" s="452"/>
      <c r="AI376" s="452"/>
      <c r="AJ376" s="452"/>
      <c r="AK376" s="452"/>
      <c r="AL376" s="452"/>
      <c r="AM376" s="452"/>
      <c r="AN376" s="452"/>
      <c r="AO376" s="446"/>
      <c r="AP376" s="446"/>
      <c r="AQ376" s="446"/>
      <c r="AR376" s="446"/>
      <c r="AS376" s="446"/>
      <c r="AT376" s="72"/>
      <c r="AU376" s="72"/>
      <c r="AV376" s="72"/>
      <c r="AW376" s="72"/>
      <c r="AX376" s="72"/>
      <c r="AY376" s="72"/>
      <c r="AZ376" s="72"/>
      <c r="BA376" s="72"/>
      <c r="BB376" s="72"/>
      <c r="BC376" s="72"/>
      <c r="BD376" s="72"/>
      <c r="BE376" s="72"/>
      <c r="BF376" s="72"/>
    </row>
    <row r="377" spans="3:58">
      <c r="C377" s="452"/>
      <c r="Q377" s="452"/>
      <c r="R377" s="452"/>
      <c r="S377" s="452"/>
      <c r="T377" s="452"/>
      <c r="U377" s="452"/>
      <c r="V377" s="452"/>
      <c r="W377" s="452"/>
      <c r="X377" s="452"/>
      <c r="Y377" s="452"/>
      <c r="Z377" s="452"/>
      <c r="AA377" s="452"/>
      <c r="AB377" s="453"/>
      <c r="AC377" s="453"/>
      <c r="AD377" s="453"/>
      <c r="AE377" s="453"/>
      <c r="AF377" s="452"/>
      <c r="AG377" s="452"/>
      <c r="AH377" s="452"/>
      <c r="AI377" s="452"/>
      <c r="AJ377" s="452"/>
      <c r="AK377" s="452"/>
      <c r="AL377" s="452"/>
      <c r="AM377" s="452"/>
      <c r="AN377" s="452"/>
      <c r="AO377" s="446"/>
      <c r="AP377" s="446"/>
      <c r="AQ377" s="446"/>
      <c r="AR377" s="446"/>
      <c r="AS377" s="446"/>
      <c r="AT377" s="72"/>
      <c r="AU377" s="72"/>
      <c r="AV377" s="72"/>
      <c r="AW377" s="72"/>
      <c r="AX377" s="72"/>
      <c r="AY377" s="72"/>
      <c r="AZ377" s="72"/>
      <c r="BA377" s="72"/>
      <c r="BB377" s="72"/>
      <c r="BC377" s="72"/>
      <c r="BD377" s="72"/>
      <c r="BE377" s="72"/>
      <c r="BF377" s="72"/>
    </row>
    <row r="378" spans="3:58">
      <c r="C378" s="452"/>
      <c r="Q378" s="452"/>
      <c r="R378" s="452"/>
      <c r="S378" s="452"/>
      <c r="T378" s="452"/>
      <c r="U378" s="452"/>
      <c r="V378" s="452"/>
      <c r="W378" s="452"/>
      <c r="X378" s="452"/>
      <c r="Y378" s="452"/>
      <c r="Z378" s="452"/>
      <c r="AA378" s="452"/>
      <c r="AB378" s="453"/>
      <c r="AC378" s="453"/>
      <c r="AD378" s="453"/>
      <c r="AE378" s="453"/>
      <c r="AF378" s="452"/>
      <c r="AG378" s="452"/>
      <c r="AH378" s="452"/>
      <c r="AI378" s="452"/>
      <c r="AJ378" s="452"/>
      <c r="AK378" s="452"/>
      <c r="AL378" s="452"/>
      <c r="AM378" s="452"/>
      <c r="AN378" s="452"/>
      <c r="AO378" s="446"/>
      <c r="AP378" s="446"/>
      <c r="AQ378" s="446"/>
      <c r="AR378" s="446"/>
      <c r="AS378" s="446"/>
      <c r="AT378" s="72"/>
      <c r="AU378" s="72"/>
      <c r="AV378" s="72"/>
      <c r="AW378" s="72"/>
      <c r="AX378" s="72"/>
      <c r="AY378" s="72"/>
      <c r="AZ378" s="72"/>
      <c r="BA378" s="72"/>
      <c r="BB378" s="72"/>
      <c r="BC378" s="72"/>
      <c r="BD378" s="72"/>
      <c r="BE378" s="72"/>
      <c r="BF378" s="72"/>
    </row>
    <row r="379" spans="3:58">
      <c r="C379" s="452"/>
      <c r="Q379" s="452"/>
      <c r="R379" s="452"/>
      <c r="S379" s="452"/>
      <c r="T379" s="452"/>
      <c r="U379" s="452"/>
      <c r="V379" s="452"/>
      <c r="W379" s="452"/>
      <c r="X379" s="452"/>
      <c r="Y379" s="452"/>
      <c r="Z379" s="452"/>
      <c r="AA379" s="452"/>
      <c r="AB379" s="453"/>
      <c r="AC379" s="453"/>
      <c r="AD379" s="453"/>
      <c r="AE379" s="453"/>
      <c r="AF379" s="452"/>
      <c r="AG379" s="452"/>
      <c r="AH379" s="452"/>
      <c r="AI379" s="452"/>
      <c r="AJ379" s="452"/>
      <c r="AK379" s="452"/>
      <c r="AL379" s="452"/>
      <c r="AM379" s="452"/>
      <c r="AN379" s="452"/>
      <c r="AO379" s="446"/>
      <c r="AP379" s="446"/>
      <c r="AQ379" s="446"/>
      <c r="AR379" s="446"/>
      <c r="AS379" s="446"/>
      <c r="AT379" s="72"/>
      <c r="AU379" s="72"/>
      <c r="AV379" s="72"/>
      <c r="AW379" s="72"/>
      <c r="AX379" s="72"/>
      <c r="AY379" s="72"/>
      <c r="AZ379" s="72"/>
      <c r="BA379" s="72"/>
      <c r="BB379" s="72"/>
      <c r="BC379" s="72"/>
      <c r="BD379" s="72"/>
      <c r="BE379" s="72"/>
      <c r="BF379" s="72"/>
    </row>
    <row r="380" spans="3:58">
      <c r="C380" s="452"/>
      <c r="Q380" s="452"/>
      <c r="R380" s="452"/>
      <c r="S380" s="452"/>
      <c r="T380" s="452"/>
      <c r="U380" s="452"/>
      <c r="V380" s="452"/>
      <c r="W380" s="452"/>
      <c r="X380" s="452"/>
      <c r="Y380" s="452"/>
      <c r="Z380" s="452"/>
      <c r="AA380" s="452"/>
      <c r="AB380" s="453"/>
      <c r="AC380" s="453"/>
      <c r="AD380" s="453"/>
      <c r="AE380" s="453"/>
      <c r="AF380" s="452"/>
      <c r="AG380" s="452"/>
      <c r="AH380" s="452"/>
      <c r="AI380" s="452"/>
      <c r="AJ380" s="452"/>
      <c r="AK380" s="452"/>
      <c r="AL380" s="452"/>
      <c r="AM380" s="452"/>
      <c r="AN380" s="452"/>
      <c r="AO380" s="446"/>
      <c r="AP380" s="446"/>
      <c r="AQ380" s="446"/>
      <c r="AR380" s="446"/>
      <c r="AS380" s="446"/>
      <c r="AT380" s="72"/>
      <c r="AU380" s="72"/>
      <c r="AV380" s="72"/>
      <c r="AW380" s="72"/>
      <c r="AX380" s="72"/>
      <c r="AY380" s="72"/>
      <c r="AZ380" s="72"/>
      <c r="BA380" s="72"/>
      <c r="BB380" s="72"/>
      <c r="BC380" s="72"/>
      <c r="BD380" s="72"/>
      <c r="BE380" s="72"/>
      <c r="BF380" s="72"/>
    </row>
    <row r="381" spans="3:58">
      <c r="C381" s="452"/>
      <c r="Q381" s="452"/>
      <c r="R381" s="452"/>
      <c r="S381" s="452"/>
      <c r="T381" s="452"/>
      <c r="U381" s="452"/>
      <c r="V381" s="452"/>
      <c r="W381" s="452"/>
      <c r="X381" s="452"/>
      <c r="Y381" s="452"/>
      <c r="Z381" s="452"/>
      <c r="AA381" s="452"/>
      <c r="AB381" s="453"/>
      <c r="AC381" s="453"/>
      <c r="AD381" s="453"/>
      <c r="AE381" s="453"/>
      <c r="AF381" s="452"/>
      <c r="AG381" s="452"/>
      <c r="AH381" s="452"/>
      <c r="AI381" s="452"/>
      <c r="AJ381" s="452"/>
      <c r="AK381" s="452"/>
      <c r="AL381" s="452"/>
      <c r="AM381" s="452"/>
      <c r="AN381" s="452"/>
      <c r="AO381" s="446"/>
      <c r="AP381" s="446"/>
      <c r="AQ381" s="446"/>
      <c r="AR381" s="446"/>
      <c r="AS381" s="446"/>
      <c r="AT381" s="72"/>
      <c r="AU381" s="72"/>
      <c r="AV381" s="72"/>
      <c r="AW381" s="72"/>
      <c r="AX381" s="72"/>
      <c r="AY381" s="72"/>
      <c r="AZ381" s="72"/>
      <c r="BA381" s="72"/>
      <c r="BB381" s="72"/>
      <c r="BC381" s="72"/>
      <c r="BD381" s="72"/>
      <c r="BE381" s="72"/>
      <c r="BF381" s="72"/>
    </row>
    <row r="382" spans="3:58">
      <c r="C382" s="452"/>
      <c r="Q382" s="452"/>
      <c r="R382" s="452"/>
      <c r="S382" s="452"/>
      <c r="T382" s="452"/>
      <c r="U382" s="452"/>
      <c r="V382" s="452"/>
      <c r="W382" s="452"/>
      <c r="X382" s="452"/>
      <c r="Y382" s="452"/>
      <c r="Z382" s="452"/>
      <c r="AA382" s="452"/>
      <c r="AB382" s="453"/>
      <c r="AC382" s="453"/>
      <c r="AD382" s="453"/>
      <c r="AE382" s="453"/>
      <c r="AF382" s="452"/>
      <c r="AG382" s="452"/>
      <c r="AH382" s="452"/>
      <c r="AI382" s="452"/>
      <c r="AJ382" s="452"/>
      <c r="AK382" s="452"/>
      <c r="AL382" s="452"/>
      <c r="AM382" s="452"/>
      <c r="AN382" s="452"/>
      <c r="AO382" s="446"/>
      <c r="AP382" s="446"/>
      <c r="AQ382" s="446"/>
      <c r="AR382" s="446"/>
      <c r="AS382" s="446"/>
      <c r="AT382" s="72"/>
      <c r="AU382" s="72"/>
      <c r="AV382" s="72"/>
      <c r="AW382" s="72"/>
      <c r="AX382" s="72"/>
      <c r="AY382" s="72"/>
      <c r="AZ382" s="72"/>
      <c r="BA382" s="72"/>
      <c r="BB382" s="72"/>
      <c r="BC382" s="72"/>
      <c r="BD382" s="72"/>
      <c r="BE382" s="72"/>
      <c r="BF382" s="72"/>
    </row>
    <row r="383" spans="3:58">
      <c r="C383" s="452"/>
      <c r="Q383" s="452"/>
      <c r="R383" s="452"/>
      <c r="S383" s="452"/>
      <c r="T383" s="452"/>
      <c r="U383" s="452"/>
      <c r="V383" s="452"/>
      <c r="W383" s="452"/>
      <c r="X383" s="452"/>
      <c r="Y383" s="452"/>
      <c r="Z383" s="452"/>
      <c r="AA383" s="452"/>
      <c r="AB383" s="453"/>
      <c r="AC383" s="453"/>
      <c r="AD383" s="453"/>
      <c r="AE383" s="453"/>
      <c r="AF383" s="452"/>
      <c r="AG383" s="452"/>
      <c r="AH383" s="452"/>
      <c r="AI383" s="452"/>
      <c r="AJ383" s="452"/>
      <c r="AK383" s="452"/>
      <c r="AL383" s="452"/>
      <c r="AM383" s="452"/>
      <c r="AN383" s="452"/>
      <c r="AO383" s="446"/>
      <c r="AP383" s="446"/>
      <c r="AQ383" s="446"/>
      <c r="AR383" s="446"/>
      <c r="AS383" s="446"/>
      <c r="AT383" s="72"/>
      <c r="AU383" s="72"/>
      <c r="AV383" s="72"/>
      <c r="AW383" s="72"/>
      <c r="AX383" s="72"/>
      <c r="AY383" s="72"/>
      <c r="AZ383" s="72"/>
      <c r="BA383" s="72"/>
      <c r="BB383" s="72"/>
      <c r="BC383" s="72"/>
      <c r="BD383" s="72"/>
      <c r="BE383" s="72"/>
      <c r="BF383" s="72"/>
    </row>
    <row r="384" spans="3:58">
      <c r="C384" s="452"/>
      <c r="Q384" s="452"/>
      <c r="R384" s="452"/>
      <c r="S384" s="452"/>
      <c r="T384" s="452"/>
      <c r="U384" s="452"/>
      <c r="V384" s="452"/>
      <c r="W384" s="452"/>
      <c r="X384" s="452"/>
      <c r="Y384" s="452"/>
      <c r="Z384" s="452"/>
      <c r="AA384" s="452"/>
      <c r="AB384" s="453"/>
      <c r="AC384" s="453"/>
      <c r="AD384" s="453"/>
      <c r="AE384" s="453"/>
      <c r="AF384" s="452"/>
      <c r="AG384" s="452"/>
      <c r="AH384" s="452"/>
      <c r="AI384" s="452"/>
      <c r="AJ384" s="452"/>
      <c r="AK384" s="452"/>
      <c r="AL384" s="452"/>
      <c r="AM384" s="452"/>
      <c r="AN384" s="452"/>
      <c r="AO384" s="446"/>
      <c r="AP384" s="446"/>
      <c r="AQ384" s="446"/>
      <c r="AR384" s="446"/>
      <c r="AS384" s="446"/>
      <c r="AT384" s="72"/>
      <c r="AU384" s="72"/>
      <c r="AV384" s="72"/>
      <c r="AW384" s="72"/>
      <c r="AX384" s="72"/>
      <c r="AY384" s="72"/>
      <c r="AZ384" s="72"/>
      <c r="BA384" s="72"/>
      <c r="BB384" s="72"/>
      <c r="BC384" s="72"/>
      <c r="BD384" s="72"/>
      <c r="BE384" s="72"/>
      <c r="BF384" s="72"/>
    </row>
    <row r="385" spans="3:58">
      <c r="C385" s="452"/>
      <c r="Q385" s="452"/>
      <c r="R385" s="452"/>
      <c r="S385" s="452"/>
      <c r="T385" s="452"/>
      <c r="U385" s="452"/>
      <c r="V385" s="452"/>
      <c r="W385" s="452"/>
      <c r="X385" s="452"/>
      <c r="Y385" s="452"/>
      <c r="Z385" s="452"/>
      <c r="AA385" s="452"/>
      <c r="AB385" s="453"/>
      <c r="AC385" s="453"/>
      <c r="AD385" s="453"/>
      <c r="AE385" s="453"/>
      <c r="AF385" s="452"/>
      <c r="AG385" s="452"/>
      <c r="AH385" s="452"/>
      <c r="AI385" s="452"/>
      <c r="AJ385" s="452"/>
      <c r="AK385" s="452"/>
      <c r="AL385" s="452"/>
      <c r="AM385" s="452"/>
      <c r="AN385" s="452"/>
      <c r="AO385" s="446"/>
      <c r="AP385" s="446"/>
      <c r="AQ385" s="446"/>
      <c r="AR385" s="446"/>
      <c r="AS385" s="446"/>
      <c r="AT385" s="72"/>
      <c r="AU385" s="72"/>
      <c r="AV385" s="72"/>
      <c r="AW385" s="72"/>
      <c r="AX385" s="72"/>
      <c r="AY385" s="72"/>
      <c r="AZ385" s="72"/>
      <c r="BA385" s="72"/>
      <c r="BB385" s="72"/>
      <c r="BC385" s="72"/>
      <c r="BD385" s="72"/>
      <c r="BE385" s="72"/>
      <c r="BF385" s="72"/>
    </row>
    <row r="386" spans="3:58">
      <c r="C386" s="452"/>
      <c r="Q386" s="452"/>
      <c r="R386" s="452"/>
      <c r="S386" s="452"/>
      <c r="T386" s="452"/>
      <c r="U386" s="452"/>
      <c r="V386" s="452"/>
      <c r="W386" s="452"/>
      <c r="X386" s="452"/>
      <c r="Y386" s="452"/>
      <c r="Z386" s="452"/>
      <c r="AA386" s="452"/>
      <c r="AB386" s="453"/>
      <c r="AC386" s="453"/>
      <c r="AD386" s="453"/>
      <c r="AE386" s="453"/>
      <c r="AF386" s="452"/>
      <c r="AG386" s="452"/>
      <c r="AH386" s="452"/>
      <c r="AI386" s="452"/>
      <c r="AJ386" s="452"/>
      <c r="AK386" s="452"/>
      <c r="AL386" s="452"/>
      <c r="AM386" s="452"/>
      <c r="AN386" s="452"/>
      <c r="AO386" s="446"/>
      <c r="AP386" s="446"/>
      <c r="AQ386" s="446"/>
      <c r="AR386" s="446"/>
      <c r="AS386" s="446"/>
      <c r="AT386" s="72"/>
      <c r="AU386" s="72"/>
      <c r="AV386" s="72"/>
      <c r="AW386" s="72"/>
      <c r="AX386" s="72"/>
      <c r="AY386" s="72"/>
      <c r="AZ386" s="72"/>
      <c r="BA386" s="72"/>
      <c r="BB386" s="72"/>
      <c r="BC386" s="72"/>
      <c r="BD386" s="72"/>
      <c r="BE386" s="72"/>
      <c r="BF386" s="72"/>
    </row>
    <row r="387" spans="3:58">
      <c r="C387" s="452"/>
      <c r="Q387" s="452"/>
      <c r="R387" s="452"/>
      <c r="S387" s="452"/>
      <c r="T387" s="452"/>
      <c r="U387" s="452"/>
      <c r="V387" s="452"/>
      <c r="W387" s="452"/>
      <c r="X387" s="452"/>
      <c r="Y387" s="452"/>
      <c r="Z387" s="452"/>
      <c r="AA387" s="452"/>
      <c r="AB387" s="453"/>
      <c r="AC387" s="453"/>
      <c r="AD387" s="453"/>
      <c r="AE387" s="453"/>
      <c r="AF387" s="452"/>
      <c r="AG387" s="452"/>
      <c r="AH387" s="452"/>
      <c r="AI387" s="452"/>
      <c r="AJ387" s="452"/>
      <c r="AK387" s="452"/>
      <c r="AL387" s="452"/>
      <c r="AM387" s="452"/>
      <c r="AN387" s="452"/>
      <c r="AO387" s="446"/>
      <c r="AP387" s="446"/>
      <c r="AQ387" s="446"/>
      <c r="AR387" s="446"/>
      <c r="AS387" s="446"/>
      <c r="AT387" s="72"/>
      <c r="AU387" s="72"/>
      <c r="AV387" s="72"/>
      <c r="AW387" s="72"/>
      <c r="AX387" s="72"/>
      <c r="AY387" s="72"/>
      <c r="AZ387" s="72"/>
      <c r="BA387" s="72"/>
      <c r="BB387" s="72"/>
      <c r="BC387" s="72"/>
      <c r="BD387" s="72"/>
      <c r="BE387" s="72"/>
      <c r="BF387" s="72"/>
    </row>
    <row r="388" spans="3:58">
      <c r="C388" s="452"/>
      <c r="Q388" s="452"/>
      <c r="R388" s="452"/>
      <c r="S388" s="452"/>
      <c r="T388" s="452"/>
      <c r="U388" s="452"/>
      <c r="V388" s="452"/>
      <c r="W388" s="452"/>
      <c r="X388" s="452"/>
      <c r="Y388" s="452"/>
      <c r="Z388" s="452"/>
      <c r="AA388" s="452"/>
      <c r="AB388" s="453"/>
      <c r="AC388" s="453"/>
      <c r="AD388" s="453"/>
      <c r="AE388" s="453"/>
      <c r="AF388" s="452"/>
      <c r="AG388" s="452"/>
      <c r="AH388" s="452"/>
      <c r="AI388" s="452"/>
      <c r="AJ388" s="452"/>
      <c r="AK388" s="452"/>
      <c r="AL388" s="452"/>
      <c r="AM388" s="452"/>
      <c r="AN388" s="452"/>
      <c r="AO388" s="446"/>
      <c r="AP388" s="446"/>
      <c r="AQ388" s="446"/>
      <c r="AR388" s="446"/>
      <c r="AS388" s="446"/>
      <c r="AT388" s="72"/>
      <c r="AU388" s="72"/>
      <c r="AV388" s="72"/>
      <c r="AW388" s="72"/>
      <c r="AX388" s="72"/>
      <c r="AY388" s="72"/>
      <c r="AZ388" s="72"/>
      <c r="BA388" s="72"/>
      <c r="BB388" s="72"/>
      <c r="BC388" s="72"/>
      <c r="BD388" s="72"/>
      <c r="BE388" s="72"/>
      <c r="BF388" s="72"/>
    </row>
    <row r="389" spans="3:58">
      <c r="C389" s="452"/>
      <c r="Q389" s="452"/>
      <c r="R389" s="452"/>
      <c r="S389" s="452"/>
      <c r="T389" s="452"/>
      <c r="U389" s="452"/>
      <c r="V389" s="452"/>
      <c r="W389" s="452"/>
      <c r="X389" s="452"/>
      <c r="Y389" s="452"/>
      <c r="Z389" s="452"/>
      <c r="AA389" s="452"/>
      <c r="AB389" s="453"/>
      <c r="AC389" s="453"/>
      <c r="AD389" s="453"/>
      <c r="AE389" s="453"/>
      <c r="AF389" s="452"/>
      <c r="AG389" s="452"/>
      <c r="AH389" s="452"/>
      <c r="AI389" s="452"/>
      <c r="AJ389" s="452"/>
      <c r="AK389" s="452"/>
      <c r="AL389" s="452"/>
      <c r="AM389" s="452"/>
      <c r="AN389" s="452"/>
      <c r="AO389" s="446"/>
      <c r="AP389" s="446"/>
      <c r="AQ389" s="446"/>
      <c r="AR389" s="446"/>
      <c r="AS389" s="446"/>
      <c r="AT389" s="72"/>
      <c r="AU389" s="72"/>
      <c r="AV389" s="72"/>
      <c r="AW389" s="72"/>
      <c r="AX389" s="72"/>
      <c r="AY389" s="72"/>
      <c r="AZ389" s="72"/>
      <c r="BA389" s="72"/>
      <c r="BB389" s="72"/>
      <c r="BC389" s="72"/>
      <c r="BD389" s="72"/>
      <c r="BE389" s="72"/>
      <c r="BF389" s="72"/>
    </row>
    <row r="390" spans="3:58">
      <c r="C390" s="452"/>
      <c r="Q390" s="452"/>
      <c r="R390" s="452"/>
      <c r="S390" s="452"/>
      <c r="T390" s="452"/>
      <c r="U390" s="452"/>
      <c r="V390" s="452"/>
      <c r="W390" s="452"/>
      <c r="X390" s="452"/>
      <c r="Y390" s="452"/>
      <c r="Z390" s="452"/>
      <c r="AA390" s="452"/>
      <c r="AB390" s="453"/>
      <c r="AC390" s="453"/>
      <c r="AD390" s="453"/>
      <c r="AE390" s="453"/>
      <c r="AF390" s="452"/>
      <c r="AG390" s="452"/>
      <c r="AH390" s="452"/>
      <c r="AI390" s="452"/>
      <c r="AJ390" s="452"/>
      <c r="AK390" s="452"/>
      <c r="AL390" s="452"/>
      <c r="AM390" s="452"/>
      <c r="AN390" s="452"/>
      <c r="AO390" s="446"/>
      <c r="AP390" s="446"/>
      <c r="AQ390" s="446"/>
      <c r="AR390" s="446"/>
      <c r="AS390" s="446"/>
      <c r="AT390" s="72"/>
      <c r="AU390" s="72"/>
      <c r="AV390" s="72"/>
      <c r="AW390" s="72"/>
      <c r="AX390" s="72"/>
      <c r="AY390" s="72"/>
      <c r="AZ390" s="72"/>
      <c r="BA390" s="72"/>
      <c r="BB390" s="72"/>
      <c r="BC390" s="72"/>
      <c r="BD390" s="72"/>
      <c r="BE390" s="72"/>
      <c r="BF390" s="72"/>
    </row>
    <row r="391" spans="3:58">
      <c r="C391" s="452"/>
      <c r="Q391" s="452"/>
      <c r="R391" s="452"/>
      <c r="S391" s="452"/>
      <c r="T391" s="452"/>
      <c r="U391" s="452"/>
      <c r="V391" s="452"/>
      <c r="W391" s="452"/>
      <c r="X391" s="452"/>
      <c r="Y391" s="452"/>
      <c r="Z391" s="452"/>
      <c r="AA391" s="452"/>
      <c r="AB391" s="453"/>
      <c r="AC391" s="453"/>
      <c r="AD391" s="453"/>
      <c r="AE391" s="453"/>
      <c r="AF391" s="452"/>
      <c r="AG391" s="452"/>
      <c r="AH391" s="452"/>
      <c r="AI391" s="452"/>
      <c r="AJ391" s="452"/>
      <c r="AK391" s="452"/>
      <c r="AL391" s="452"/>
      <c r="AM391" s="452"/>
      <c r="AN391" s="452"/>
      <c r="AO391" s="446"/>
      <c r="AP391" s="446"/>
      <c r="AQ391" s="446"/>
      <c r="AR391" s="446"/>
      <c r="AS391" s="446"/>
      <c r="AT391" s="72"/>
      <c r="AU391" s="72"/>
      <c r="AV391" s="72"/>
      <c r="AW391" s="72"/>
      <c r="AX391" s="72"/>
      <c r="AY391" s="72"/>
      <c r="AZ391" s="72"/>
      <c r="BA391" s="72"/>
      <c r="BB391" s="72"/>
      <c r="BC391" s="72"/>
      <c r="BD391" s="72"/>
      <c r="BE391" s="72"/>
      <c r="BF391" s="72"/>
    </row>
    <row r="392" spans="3:58">
      <c r="C392" s="452"/>
      <c r="Q392" s="452"/>
      <c r="R392" s="452"/>
      <c r="S392" s="452"/>
      <c r="T392" s="452"/>
      <c r="U392" s="452"/>
      <c r="V392" s="452"/>
      <c r="W392" s="452"/>
      <c r="X392" s="452"/>
      <c r="Y392" s="452"/>
      <c r="Z392" s="452"/>
      <c r="AA392" s="452"/>
      <c r="AB392" s="453"/>
      <c r="AC392" s="453"/>
      <c r="AD392" s="453"/>
      <c r="AE392" s="453"/>
      <c r="AF392" s="452"/>
      <c r="AG392" s="452"/>
      <c r="AH392" s="452"/>
      <c r="AI392" s="452"/>
      <c r="AJ392" s="452"/>
      <c r="AK392" s="452"/>
      <c r="AL392" s="452"/>
      <c r="AM392" s="452"/>
      <c r="AN392" s="452"/>
      <c r="AO392" s="446"/>
      <c r="AP392" s="446"/>
      <c r="AQ392" s="446"/>
      <c r="AR392" s="446"/>
      <c r="AS392" s="446"/>
      <c r="AT392" s="72"/>
      <c r="AU392" s="72"/>
      <c r="AV392" s="72"/>
      <c r="AW392" s="72"/>
      <c r="AX392" s="72"/>
      <c r="AY392" s="72"/>
      <c r="AZ392" s="72"/>
      <c r="BA392" s="72"/>
      <c r="BB392" s="72"/>
      <c r="BC392" s="72"/>
      <c r="BD392" s="72"/>
      <c r="BE392" s="72"/>
      <c r="BF392" s="72"/>
    </row>
    <row r="393" spans="3:58">
      <c r="C393" s="452"/>
      <c r="Q393" s="452"/>
      <c r="R393" s="452"/>
      <c r="S393" s="452"/>
      <c r="T393" s="452"/>
      <c r="U393" s="452"/>
      <c r="V393" s="452"/>
      <c r="W393" s="452"/>
      <c r="X393" s="452"/>
      <c r="Y393" s="452"/>
      <c r="Z393" s="452"/>
      <c r="AA393" s="452"/>
      <c r="AB393" s="453"/>
      <c r="AC393" s="453"/>
      <c r="AD393" s="453"/>
      <c r="AE393" s="453"/>
      <c r="AF393" s="452"/>
      <c r="AG393" s="452"/>
      <c r="AH393" s="452"/>
      <c r="AI393" s="452"/>
      <c r="AJ393" s="452"/>
      <c r="AK393" s="452"/>
      <c r="AL393" s="452"/>
      <c r="AM393" s="452"/>
      <c r="AN393" s="452"/>
      <c r="AO393" s="446"/>
      <c r="AP393" s="446"/>
      <c r="AQ393" s="446"/>
      <c r="AR393" s="446"/>
      <c r="AS393" s="446"/>
      <c r="AT393" s="72"/>
      <c r="AU393" s="72"/>
      <c r="AV393" s="72"/>
      <c r="AW393" s="72"/>
      <c r="AX393" s="72"/>
      <c r="AY393" s="72"/>
      <c r="AZ393" s="72"/>
      <c r="BA393" s="72"/>
      <c r="BB393" s="72"/>
      <c r="BC393" s="72"/>
      <c r="BD393" s="72"/>
      <c r="BE393" s="72"/>
      <c r="BF393" s="72"/>
    </row>
    <row r="394" spans="3:58">
      <c r="C394" s="452"/>
      <c r="Q394" s="452"/>
      <c r="R394" s="452"/>
      <c r="S394" s="452"/>
      <c r="T394" s="452"/>
      <c r="U394" s="452"/>
      <c r="V394" s="452"/>
      <c r="W394" s="452"/>
      <c r="X394" s="452"/>
      <c r="Y394" s="452"/>
      <c r="Z394" s="452"/>
      <c r="AA394" s="452"/>
      <c r="AB394" s="453"/>
      <c r="AC394" s="453"/>
      <c r="AD394" s="453"/>
      <c r="AE394" s="453"/>
      <c r="AF394" s="452"/>
      <c r="AG394" s="452"/>
      <c r="AH394" s="452"/>
      <c r="AI394" s="452"/>
      <c r="AJ394" s="452"/>
      <c r="AK394" s="452"/>
      <c r="AL394" s="452"/>
      <c r="AM394" s="452"/>
      <c r="AN394" s="452"/>
      <c r="AO394" s="446"/>
      <c r="AP394" s="446"/>
      <c r="AQ394" s="446"/>
      <c r="AR394" s="446"/>
      <c r="AS394" s="446"/>
      <c r="AT394" s="72"/>
      <c r="AU394" s="72"/>
      <c r="AV394" s="72"/>
      <c r="AW394" s="72"/>
      <c r="AX394" s="72"/>
      <c r="AY394" s="72"/>
      <c r="AZ394" s="72"/>
      <c r="BA394" s="72"/>
      <c r="BB394" s="72"/>
      <c r="BC394" s="72"/>
      <c r="BD394" s="72"/>
      <c r="BE394" s="72"/>
      <c r="BF394" s="72"/>
    </row>
    <row r="395" spans="3:58">
      <c r="C395" s="452"/>
      <c r="Q395" s="452"/>
      <c r="R395" s="452"/>
      <c r="S395" s="452"/>
      <c r="T395" s="452"/>
      <c r="U395" s="452"/>
      <c r="V395" s="452"/>
      <c r="W395" s="452"/>
      <c r="X395" s="452"/>
      <c r="Y395" s="452"/>
      <c r="Z395" s="452"/>
      <c r="AA395" s="452"/>
      <c r="AB395" s="453"/>
      <c r="AC395" s="453"/>
      <c r="AD395" s="453"/>
      <c r="AE395" s="453"/>
      <c r="AF395" s="452"/>
      <c r="AG395" s="452"/>
      <c r="AH395" s="452"/>
      <c r="AI395" s="452"/>
      <c r="AJ395" s="452"/>
      <c r="AK395" s="452"/>
      <c r="AL395" s="452"/>
      <c r="AM395" s="452"/>
      <c r="AN395" s="452"/>
      <c r="AO395" s="446"/>
      <c r="AP395" s="446"/>
      <c r="AQ395" s="446"/>
      <c r="AR395" s="446"/>
      <c r="AS395" s="446"/>
      <c r="AT395" s="72"/>
      <c r="AU395" s="72"/>
      <c r="AV395" s="72"/>
      <c r="AW395" s="72"/>
      <c r="AX395" s="72"/>
      <c r="AY395" s="72"/>
      <c r="AZ395" s="72"/>
      <c r="BA395" s="72"/>
      <c r="BB395" s="72"/>
      <c r="BC395" s="72"/>
      <c r="BD395" s="72"/>
      <c r="BE395" s="72"/>
      <c r="BF395" s="72"/>
    </row>
    <row r="396" spans="3:58">
      <c r="C396" s="452"/>
      <c r="Q396" s="452"/>
      <c r="R396" s="452"/>
      <c r="S396" s="452"/>
      <c r="T396" s="452"/>
      <c r="U396" s="452"/>
      <c r="V396" s="452"/>
      <c r="W396" s="452"/>
      <c r="X396" s="452"/>
      <c r="Y396" s="452"/>
      <c r="Z396" s="452"/>
      <c r="AA396" s="452"/>
      <c r="AB396" s="453"/>
      <c r="AC396" s="453"/>
      <c r="AD396" s="453"/>
      <c r="AE396" s="453"/>
      <c r="AF396" s="452"/>
      <c r="AG396" s="452"/>
      <c r="AH396" s="452"/>
      <c r="AI396" s="452"/>
      <c r="AJ396" s="452"/>
      <c r="AK396" s="452"/>
      <c r="AL396" s="452"/>
      <c r="AM396" s="452"/>
      <c r="AN396" s="452"/>
      <c r="AO396" s="446"/>
      <c r="AP396" s="446"/>
      <c r="AQ396" s="446"/>
      <c r="AR396" s="446"/>
      <c r="AS396" s="446"/>
      <c r="AT396" s="72"/>
      <c r="AU396" s="72"/>
      <c r="AV396" s="72"/>
      <c r="AW396" s="72"/>
      <c r="AX396" s="72"/>
      <c r="AY396" s="72"/>
      <c r="AZ396" s="72"/>
      <c r="BA396" s="72"/>
      <c r="BB396" s="72"/>
      <c r="BC396" s="72"/>
      <c r="BD396" s="72"/>
      <c r="BE396" s="72"/>
      <c r="BF396" s="72"/>
    </row>
    <row r="397" spans="3:58">
      <c r="C397" s="452"/>
      <c r="Q397" s="452"/>
      <c r="R397" s="452"/>
      <c r="S397" s="452"/>
      <c r="T397" s="452"/>
      <c r="U397" s="452"/>
      <c r="V397" s="452"/>
      <c r="W397" s="452"/>
      <c r="X397" s="452"/>
      <c r="Y397" s="452"/>
      <c r="Z397" s="452"/>
      <c r="AA397" s="452"/>
      <c r="AB397" s="453"/>
      <c r="AC397" s="453"/>
      <c r="AD397" s="453"/>
      <c r="AE397" s="453"/>
      <c r="AF397" s="452"/>
      <c r="AG397" s="452"/>
      <c r="AH397" s="452"/>
      <c r="AI397" s="452"/>
      <c r="AJ397" s="452"/>
      <c r="AK397" s="452"/>
      <c r="AL397" s="452"/>
      <c r="AM397" s="452"/>
      <c r="AN397" s="452"/>
      <c r="AO397" s="446"/>
      <c r="AP397" s="446"/>
      <c r="AQ397" s="446"/>
      <c r="AR397" s="446"/>
      <c r="AS397" s="446"/>
      <c r="AT397" s="72"/>
      <c r="AU397" s="72"/>
      <c r="AV397" s="72"/>
      <c r="AW397" s="72"/>
      <c r="AX397" s="72"/>
      <c r="AY397" s="72"/>
      <c r="AZ397" s="72"/>
      <c r="BA397" s="72"/>
      <c r="BB397" s="72"/>
      <c r="BC397" s="72"/>
      <c r="BD397" s="72"/>
      <c r="BE397" s="72"/>
      <c r="BF397" s="72"/>
    </row>
    <row r="398" spans="3:58">
      <c r="C398" s="452"/>
      <c r="Q398" s="452"/>
      <c r="R398" s="452"/>
      <c r="S398" s="452"/>
      <c r="T398" s="452"/>
      <c r="U398" s="452"/>
      <c r="V398" s="452"/>
      <c r="W398" s="452"/>
      <c r="X398" s="452"/>
      <c r="Y398" s="452"/>
      <c r="Z398" s="452"/>
      <c r="AA398" s="452"/>
      <c r="AB398" s="453"/>
      <c r="AC398" s="453"/>
      <c r="AD398" s="453"/>
      <c r="AE398" s="453"/>
      <c r="AF398" s="452"/>
      <c r="AG398" s="452"/>
      <c r="AH398" s="452"/>
      <c r="AI398" s="452"/>
      <c r="AJ398" s="452"/>
      <c r="AK398" s="452"/>
      <c r="AL398" s="452"/>
      <c r="AM398" s="452"/>
      <c r="AN398" s="452"/>
      <c r="AO398" s="446"/>
      <c r="AP398" s="446"/>
      <c r="AQ398" s="446"/>
      <c r="AR398" s="446"/>
      <c r="AS398" s="446"/>
      <c r="AT398" s="72"/>
      <c r="AU398" s="72"/>
      <c r="AV398" s="72"/>
      <c r="AW398" s="72"/>
      <c r="AX398" s="72"/>
      <c r="AY398" s="72"/>
      <c r="AZ398" s="72"/>
      <c r="BA398" s="72"/>
      <c r="BB398" s="72"/>
      <c r="BC398" s="72"/>
      <c r="BD398" s="72"/>
      <c r="BE398" s="72"/>
      <c r="BF398" s="72"/>
    </row>
    <row r="399" spans="3:58">
      <c r="C399" s="452"/>
      <c r="Q399" s="452"/>
      <c r="R399" s="452"/>
      <c r="S399" s="452"/>
      <c r="T399" s="452"/>
      <c r="U399" s="452"/>
      <c r="V399" s="452"/>
      <c r="W399" s="452"/>
      <c r="X399" s="452"/>
      <c r="Y399" s="452"/>
      <c r="Z399" s="452"/>
      <c r="AA399" s="452"/>
      <c r="AB399" s="453"/>
      <c r="AC399" s="453"/>
      <c r="AD399" s="453"/>
      <c r="AE399" s="453"/>
      <c r="AF399" s="452"/>
      <c r="AG399" s="452"/>
      <c r="AH399" s="452"/>
      <c r="AI399" s="452"/>
      <c r="AJ399" s="452"/>
      <c r="AK399" s="452"/>
      <c r="AL399" s="452"/>
      <c r="AM399" s="452"/>
      <c r="AN399" s="452"/>
      <c r="AO399" s="446"/>
      <c r="AP399" s="446"/>
      <c r="AQ399" s="446"/>
      <c r="AR399" s="446"/>
      <c r="AS399" s="446"/>
      <c r="AT399" s="72"/>
      <c r="AU399" s="72"/>
      <c r="AV399" s="72"/>
      <c r="AW399" s="72"/>
      <c r="AX399" s="72"/>
      <c r="AY399" s="72"/>
      <c r="AZ399" s="72"/>
      <c r="BA399" s="72"/>
      <c r="BB399" s="72"/>
      <c r="BC399" s="72"/>
      <c r="BD399" s="72"/>
      <c r="BE399" s="72"/>
      <c r="BF399" s="72"/>
    </row>
    <row r="400" spans="3:58">
      <c r="C400" s="452"/>
      <c r="Q400" s="452"/>
      <c r="R400" s="452"/>
      <c r="S400" s="452"/>
      <c r="T400" s="452"/>
      <c r="U400" s="452"/>
      <c r="V400" s="452"/>
      <c r="W400" s="452"/>
      <c r="X400" s="452"/>
      <c r="Y400" s="452"/>
      <c r="Z400" s="452"/>
      <c r="AA400" s="452"/>
      <c r="AB400" s="453"/>
      <c r="AC400" s="453"/>
      <c r="AD400" s="453"/>
      <c r="AE400" s="453"/>
      <c r="AF400" s="452"/>
      <c r="AG400" s="452"/>
      <c r="AH400" s="452"/>
      <c r="AI400" s="452"/>
      <c r="AJ400" s="452"/>
      <c r="AK400" s="452"/>
      <c r="AL400" s="452"/>
      <c r="AM400" s="452"/>
      <c r="AN400" s="452"/>
      <c r="AO400" s="446"/>
      <c r="AP400" s="446"/>
      <c r="AQ400" s="446"/>
      <c r="AR400" s="446"/>
      <c r="AS400" s="446"/>
      <c r="AT400" s="72"/>
      <c r="AU400" s="72"/>
      <c r="AV400" s="72"/>
      <c r="AW400" s="72"/>
      <c r="AX400" s="72"/>
      <c r="AY400" s="72"/>
      <c r="AZ400" s="72"/>
      <c r="BA400" s="72"/>
      <c r="BB400" s="72"/>
      <c r="BC400" s="72"/>
      <c r="BD400" s="72"/>
      <c r="BE400" s="72"/>
      <c r="BF400" s="72"/>
    </row>
    <row r="401" spans="3:58">
      <c r="C401" s="452"/>
      <c r="Q401" s="452"/>
      <c r="R401" s="452"/>
      <c r="S401" s="452"/>
      <c r="T401" s="452"/>
      <c r="U401" s="452"/>
      <c r="V401" s="452"/>
      <c r="W401" s="452"/>
      <c r="X401" s="452"/>
      <c r="Y401" s="452"/>
      <c r="Z401" s="452"/>
      <c r="AA401" s="452"/>
      <c r="AB401" s="453"/>
      <c r="AC401" s="453"/>
      <c r="AD401" s="453"/>
      <c r="AE401" s="453"/>
      <c r="AF401" s="452"/>
      <c r="AG401" s="452"/>
      <c r="AH401" s="452"/>
      <c r="AI401" s="452"/>
      <c r="AJ401" s="452"/>
      <c r="AK401" s="452"/>
      <c r="AL401" s="452"/>
      <c r="AM401" s="452"/>
      <c r="AN401" s="452"/>
      <c r="AO401" s="446"/>
      <c r="AP401" s="446"/>
      <c r="AQ401" s="446"/>
      <c r="AR401" s="446"/>
      <c r="AS401" s="446"/>
      <c r="AT401" s="72"/>
      <c r="AU401" s="72"/>
      <c r="AV401" s="72"/>
      <c r="AW401" s="72"/>
      <c r="AX401" s="72"/>
      <c r="AY401" s="72"/>
      <c r="AZ401" s="72"/>
      <c r="BA401" s="72"/>
      <c r="BB401" s="72"/>
      <c r="BC401" s="72"/>
      <c r="BD401" s="72"/>
      <c r="BE401" s="72"/>
      <c r="BF401" s="72"/>
    </row>
    <row r="402" spans="3:58">
      <c r="C402" s="452"/>
      <c r="Q402" s="452"/>
      <c r="R402" s="452"/>
      <c r="S402" s="452"/>
      <c r="T402" s="452"/>
      <c r="U402" s="452"/>
      <c r="V402" s="452"/>
      <c r="W402" s="452"/>
      <c r="X402" s="452"/>
      <c r="Y402" s="452"/>
      <c r="Z402" s="452"/>
      <c r="AA402" s="452"/>
      <c r="AB402" s="453"/>
      <c r="AC402" s="453"/>
      <c r="AD402" s="453"/>
      <c r="AE402" s="453"/>
      <c r="AF402" s="452"/>
      <c r="AG402" s="452"/>
      <c r="AH402" s="452"/>
      <c r="AI402" s="452"/>
      <c r="AJ402" s="452"/>
      <c r="AK402" s="452"/>
      <c r="AL402" s="452"/>
      <c r="AM402" s="452"/>
      <c r="AN402" s="452"/>
      <c r="AO402" s="446"/>
      <c r="AP402" s="446"/>
      <c r="AQ402" s="446"/>
      <c r="AR402" s="446"/>
      <c r="AS402" s="446"/>
      <c r="AT402" s="72"/>
      <c r="AU402" s="72"/>
      <c r="AV402" s="72"/>
      <c r="AW402" s="72"/>
      <c r="AX402" s="72"/>
      <c r="AY402" s="72"/>
      <c r="AZ402" s="72"/>
      <c r="BA402" s="72"/>
      <c r="BB402" s="72"/>
      <c r="BC402" s="72"/>
      <c r="BD402" s="72"/>
      <c r="BE402" s="72"/>
      <c r="BF402" s="72"/>
    </row>
    <row r="403" spans="3:58">
      <c r="C403" s="452"/>
      <c r="Q403" s="452"/>
      <c r="R403" s="452"/>
      <c r="S403" s="452"/>
      <c r="T403" s="452"/>
      <c r="U403" s="452"/>
      <c r="V403" s="452"/>
      <c r="W403" s="452"/>
      <c r="X403" s="452"/>
      <c r="Y403" s="452"/>
      <c r="Z403" s="452"/>
      <c r="AA403" s="452"/>
      <c r="AB403" s="453"/>
      <c r="AC403" s="453"/>
      <c r="AD403" s="453"/>
      <c r="AE403" s="453"/>
      <c r="AF403" s="452"/>
      <c r="AG403" s="452"/>
      <c r="AH403" s="452"/>
      <c r="AI403" s="452"/>
      <c r="AJ403" s="452"/>
      <c r="AK403" s="452"/>
      <c r="AL403" s="452"/>
      <c r="AM403" s="452"/>
      <c r="AN403" s="452"/>
      <c r="AO403" s="446"/>
      <c r="AP403" s="446"/>
      <c r="AQ403" s="446"/>
      <c r="AR403" s="446"/>
      <c r="AS403" s="446"/>
      <c r="AT403" s="72"/>
      <c r="AU403" s="72"/>
      <c r="AV403" s="72"/>
      <c r="AW403" s="72"/>
      <c r="AX403" s="72"/>
      <c r="AY403" s="72"/>
      <c r="AZ403" s="72"/>
      <c r="BA403" s="72"/>
      <c r="BB403" s="72"/>
      <c r="BC403" s="72"/>
      <c r="BD403" s="72"/>
      <c r="BE403" s="72"/>
      <c r="BF403" s="72"/>
    </row>
    <row r="404" spans="3:58">
      <c r="C404" s="452"/>
      <c r="Q404" s="452"/>
      <c r="R404" s="452"/>
      <c r="S404" s="452"/>
      <c r="T404" s="452"/>
      <c r="U404" s="452"/>
      <c r="V404" s="452"/>
      <c r="W404" s="452"/>
      <c r="X404" s="452"/>
      <c r="Y404" s="452"/>
      <c r="Z404" s="452"/>
      <c r="AA404" s="452"/>
      <c r="AB404" s="453"/>
      <c r="AC404" s="453"/>
      <c r="AD404" s="453"/>
      <c r="AE404" s="453"/>
      <c r="AF404" s="452"/>
      <c r="AG404" s="452"/>
      <c r="AH404" s="452"/>
      <c r="AI404" s="452"/>
      <c r="AJ404" s="452"/>
      <c r="AK404" s="452"/>
      <c r="AL404" s="452"/>
      <c r="AM404" s="452"/>
      <c r="AN404" s="452"/>
      <c r="AO404" s="446"/>
      <c r="AP404" s="446"/>
      <c r="AQ404" s="446"/>
      <c r="AR404" s="446"/>
      <c r="AS404" s="446"/>
      <c r="AT404" s="72"/>
      <c r="AU404" s="72"/>
      <c r="AV404" s="72"/>
      <c r="AW404" s="72"/>
      <c r="AX404" s="72"/>
      <c r="AY404" s="72"/>
      <c r="AZ404" s="72"/>
      <c r="BA404" s="72"/>
      <c r="BB404" s="72"/>
      <c r="BC404" s="72"/>
      <c r="BD404" s="72"/>
      <c r="BE404" s="72"/>
      <c r="BF404" s="72"/>
    </row>
    <row r="405" spans="3:58">
      <c r="C405" s="452"/>
      <c r="Q405" s="452"/>
      <c r="R405" s="452"/>
      <c r="S405" s="452"/>
      <c r="T405" s="452"/>
      <c r="U405" s="452"/>
      <c r="V405" s="452"/>
      <c r="W405" s="452"/>
      <c r="X405" s="452"/>
      <c r="Y405" s="452"/>
      <c r="Z405" s="452"/>
      <c r="AA405" s="452"/>
      <c r="AB405" s="453"/>
      <c r="AC405" s="453"/>
      <c r="AD405" s="453"/>
      <c r="AE405" s="453"/>
      <c r="AF405" s="452"/>
      <c r="AG405" s="452"/>
      <c r="AH405" s="452"/>
      <c r="AI405" s="452"/>
      <c r="AJ405" s="452"/>
      <c r="AK405" s="452"/>
      <c r="AL405" s="452"/>
      <c r="AM405" s="452"/>
      <c r="AN405" s="452"/>
      <c r="AO405" s="446"/>
      <c r="AP405" s="446"/>
      <c r="AQ405" s="446"/>
      <c r="AR405" s="446"/>
      <c r="AS405" s="446"/>
      <c r="AT405" s="72"/>
      <c r="AU405" s="72"/>
      <c r="AV405" s="72"/>
      <c r="AW405" s="72"/>
      <c r="AX405" s="72"/>
      <c r="AY405" s="72"/>
      <c r="AZ405" s="72"/>
      <c r="BA405" s="72"/>
      <c r="BB405" s="72"/>
      <c r="BC405" s="72"/>
      <c r="BD405" s="72"/>
      <c r="BE405" s="72"/>
      <c r="BF405" s="72"/>
    </row>
    <row r="406" spans="3:58">
      <c r="C406" s="452"/>
      <c r="Q406" s="452"/>
      <c r="R406" s="452"/>
      <c r="S406" s="452"/>
      <c r="T406" s="452"/>
      <c r="U406" s="452"/>
      <c r="V406" s="452"/>
      <c r="W406" s="452"/>
      <c r="X406" s="452"/>
      <c r="Y406" s="452"/>
      <c r="Z406" s="452"/>
      <c r="AA406" s="452"/>
      <c r="AB406" s="453"/>
      <c r="AC406" s="453"/>
      <c r="AD406" s="453"/>
      <c r="AE406" s="453"/>
      <c r="AF406" s="452"/>
      <c r="AG406" s="452"/>
      <c r="AH406" s="452"/>
      <c r="AI406" s="452"/>
      <c r="AJ406" s="452"/>
      <c r="AK406" s="452"/>
      <c r="AL406" s="452"/>
      <c r="AM406" s="452"/>
      <c r="AN406" s="452"/>
      <c r="AO406" s="446"/>
      <c r="AP406" s="446"/>
      <c r="AQ406" s="446"/>
      <c r="AR406" s="446"/>
      <c r="AS406" s="446"/>
      <c r="AT406" s="72"/>
      <c r="AU406" s="72"/>
      <c r="AV406" s="72"/>
      <c r="AW406" s="72"/>
      <c r="AX406" s="72"/>
      <c r="AY406" s="72"/>
      <c r="AZ406" s="72"/>
      <c r="BA406" s="72"/>
      <c r="BB406" s="72"/>
      <c r="BC406" s="72"/>
      <c r="BD406" s="72"/>
      <c r="BE406" s="72"/>
      <c r="BF406" s="72"/>
    </row>
    <row r="407" spans="3:58">
      <c r="C407" s="452"/>
      <c r="Q407" s="452"/>
      <c r="R407" s="452"/>
      <c r="S407" s="452"/>
      <c r="T407" s="452"/>
      <c r="U407" s="452"/>
      <c r="V407" s="452"/>
      <c r="W407" s="452"/>
      <c r="X407" s="452"/>
      <c r="Y407" s="452"/>
      <c r="Z407" s="452"/>
      <c r="AA407" s="452"/>
      <c r="AB407" s="453"/>
      <c r="AC407" s="453"/>
      <c r="AD407" s="453"/>
      <c r="AE407" s="453"/>
      <c r="AF407" s="452"/>
      <c r="AG407" s="452"/>
      <c r="AH407" s="452"/>
      <c r="AI407" s="452"/>
      <c r="AJ407" s="452"/>
      <c r="AK407" s="452"/>
      <c r="AL407" s="452"/>
      <c r="AM407" s="452"/>
      <c r="AN407" s="452"/>
      <c r="AO407" s="446"/>
      <c r="AP407" s="446"/>
      <c r="AQ407" s="446"/>
      <c r="AR407" s="446"/>
      <c r="AS407" s="446"/>
      <c r="AT407" s="72"/>
      <c r="AU407" s="72"/>
      <c r="AV407" s="72"/>
      <c r="AW407" s="72"/>
      <c r="AX407" s="72"/>
      <c r="AY407" s="72"/>
      <c r="AZ407" s="72"/>
      <c r="BA407" s="72"/>
      <c r="BB407" s="72"/>
      <c r="BC407" s="72"/>
      <c r="BD407" s="72"/>
      <c r="BE407" s="72"/>
      <c r="BF407" s="72"/>
    </row>
    <row r="408" spans="3:58">
      <c r="C408" s="452"/>
      <c r="Q408" s="452"/>
      <c r="R408" s="452"/>
      <c r="S408" s="452"/>
      <c r="T408" s="452"/>
      <c r="U408" s="452"/>
      <c r="V408" s="452"/>
      <c r="W408" s="452"/>
      <c r="X408" s="452"/>
      <c r="Y408" s="452"/>
      <c r="Z408" s="452"/>
      <c r="AA408" s="452"/>
      <c r="AB408" s="453"/>
      <c r="AC408" s="453"/>
      <c r="AD408" s="453"/>
      <c r="AE408" s="453"/>
      <c r="AF408" s="452"/>
      <c r="AG408" s="452"/>
      <c r="AH408" s="452"/>
      <c r="AI408" s="452"/>
      <c r="AJ408" s="452"/>
      <c r="AK408" s="452"/>
      <c r="AL408" s="452"/>
      <c r="AM408" s="452"/>
      <c r="AN408" s="452"/>
      <c r="AO408" s="446"/>
      <c r="AP408" s="446"/>
      <c r="AQ408" s="446"/>
      <c r="AR408" s="446"/>
      <c r="AS408" s="446"/>
      <c r="AT408" s="72"/>
      <c r="AU408" s="72"/>
      <c r="AV408" s="72"/>
      <c r="AW408" s="72"/>
      <c r="AX408" s="72"/>
      <c r="AY408" s="72"/>
      <c r="AZ408" s="72"/>
      <c r="BA408" s="72"/>
      <c r="BB408" s="72"/>
      <c r="BC408" s="72"/>
      <c r="BD408" s="72"/>
      <c r="BE408" s="72"/>
      <c r="BF408" s="72"/>
    </row>
    <row r="409" spans="3:58">
      <c r="C409" s="452"/>
      <c r="Q409" s="452"/>
      <c r="R409" s="452"/>
      <c r="S409" s="452"/>
      <c r="T409" s="452"/>
      <c r="U409" s="452"/>
      <c r="V409" s="452"/>
      <c r="W409" s="452"/>
      <c r="X409" s="452"/>
      <c r="Y409" s="452"/>
      <c r="Z409" s="452"/>
      <c r="AA409" s="452"/>
      <c r="AB409" s="453"/>
      <c r="AC409" s="453"/>
      <c r="AD409" s="453"/>
      <c r="AE409" s="453"/>
      <c r="AF409" s="452"/>
      <c r="AG409" s="452"/>
      <c r="AH409" s="452"/>
      <c r="AI409" s="452"/>
      <c r="AJ409" s="452"/>
      <c r="AK409" s="452"/>
      <c r="AL409" s="452"/>
      <c r="AM409" s="452"/>
      <c r="AN409" s="452"/>
      <c r="AO409" s="446"/>
      <c r="AP409" s="446"/>
      <c r="AQ409" s="446"/>
      <c r="AR409" s="446"/>
      <c r="AS409" s="446"/>
      <c r="AT409" s="72"/>
      <c r="AU409" s="72"/>
      <c r="AV409" s="72"/>
      <c r="AW409" s="72"/>
      <c r="AX409" s="72"/>
      <c r="AY409" s="72"/>
      <c r="AZ409" s="72"/>
      <c r="BA409" s="72"/>
      <c r="BB409" s="72"/>
      <c r="BC409" s="72"/>
      <c r="BD409" s="72"/>
      <c r="BE409" s="72"/>
      <c r="BF409" s="72"/>
    </row>
    <row r="410" spans="3:58">
      <c r="C410" s="452"/>
      <c r="Q410" s="452"/>
      <c r="R410" s="452"/>
      <c r="S410" s="452"/>
      <c r="T410" s="452"/>
      <c r="U410" s="452"/>
      <c r="V410" s="452"/>
      <c r="W410" s="452"/>
      <c r="X410" s="452"/>
      <c r="Y410" s="452"/>
      <c r="Z410" s="452"/>
      <c r="AA410" s="452"/>
      <c r="AB410" s="453"/>
      <c r="AC410" s="453"/>
      <c r="AD410" s="453"/>
      <c r="AE410" s="453"/>
      <c r="AF410" s="452"/>
      <c r="AG410" s="452"/>
      <c r="AH410" s="452"/>
      <c r="AI410" s="452"/>
      <c r="AJ410" s="452"/>
      <c r="AK410" s="452"/>
      <c r="AL410" s="452"/>
      <c r="AM410" s="452"/>
      <c r="AN410" s="452"/>
      <c r="AO410" s="446"/>
      <c r="AP410" s="446"/>
      <c r="AQ410" s="446"/>
      <c r="AR410" s="446"/>
      <c r="AS410" s="446"/>
      <c r="AT410" s="72"/>
      <c r="AU410" s="72"/>
      <c r="AV410" s="72"/>
      <c r="AW410" s="72"/>
      <c r="AX410" s="72"/>
      <c r="AY410" s="72"/>
      <c r="AZ410" s="72"/>
      <c r="BA410" s="72"/>
      <c r="BB410" s="72"/>
      <c r="BC410" s="72"/>
      <c r="BD410" s="72"/>
      <c r="BE410" s="72"/>
      <c r="BF410" s="72"/>
    </row>
    <row r="411" spans="3:58">
      <c r="C411" s="452"/>
      <c r="Q411" s="452"/>
      <c r="R411" s="452"/>
      <c r="S411" s="452"/>
      <c r="T411" s="452"/>
      <c r="U411" s="452"/>
      <c r="V411" s="452"/>
      <c r="W411" s="452"/>
      <c r="X411" s="452"/>
      <c r="Y411" s="452"/>
      <c r="Z411" s="452"/>
      <c r="AA411" s="452"/>
      <c r="AB411" s="453"/>
      <c r="AC411" s="453"/>
      <c r="AD411" s="453"/>
      <c r="AE411" s="453"/>
      <c r="AF411" s="452"/>
      <c r="AG411" s="452"/>
      <c r="AH411" s="452"/>
      <c r="AI411" s="452"/>
      <c r="AJ411" s="452"/>
      <c r="AK411" s="452"/>
      <c r="AL411" s="452"/>
      <c r="AM411" s="452"/>
      <c r="AN411" s="452"/>
      <c r="AO411" s="446"/>
      <c r="AP411" s="446"/>
      <c r="AQ411" s="446"/>
      <c r="AR411" s="446"/>
      <c r="AS411" s="446"/>
      <c r="AT411" s="72"/>
      <c r="AU411" s="72"/>
      <c r="AV411" s="72"/>
      <c r="AW411" s="72"/>
      <c r="AX411" s="72"/>
      <c r="AY411" s="72"/>
      <c r="AZ411" s="72"/>
      <c r="BA411" s="72"/>
      <c r="BB411" s="72"/>
      <c r="BC411" s="72"/>
      <c r="BD411" s="72"/>
      <c r="BE411" s="72"/>
      <c r="BF411" s="72"/>
    </row>
    <row r="412" spans="3:58">
      <c r="C412" s="452"/>
      <c r="Q412" s="452"/>
      <c r="R412" s="452"/>
      <c r="S412" s="452"/>
      <c r="T412" s="452"/>
      <c r="U412" s="452"/>
      <c r="V412" s="452"/>
      <c r="W412" s="452"/>
      <c r="X412" s="452"/>
      <c r="Y412" s="452"/>
      <c r="Z412" s="452"/>
      <c r="AA412" s="452"/>
      <c r="AB412" s="453"/>
      <c r="AC412" s="453"/>
      <c r="AD412" s="453"/>
      <c r="AE412" s="453"/>
      <c r="AF412" s="452"/>
      <c r="AG412" s="452"/>
      <c r="AH412" s="452"/>
      <c r="AI412" s="452"/>
      <c r="AJ412" s="452"/>
      <c r="AK412" s="452"/>
      <c r="AL412" s="452"/>
      <c r="AM412" s="452"/>
      <c r="AN412" s="452"/>
      <c r="AO412" s="446"/>
      <c r="AP412" s="446"/>
      <c r="AQ412" s="446"/>
      <c r="AR412" s="446"/>
      <c r="AS412" s="446"/>
      <c r="AT412" s="72"/>
      <c r="AU412" s="72"/>
      <c r="AV412" s="72"/>
      <c r="AW412" s="72"/>
      <c r="AX412" s="72"/>
      <c r="AY412" s="72"/>
      <c r="AZ412" s="72"/>
      <c r="BA412" s="72"/>
      <c r="BB412" s="72"/>
      <c r="BC412" s="72"/>
      <c r="BD412" s="72"/>
      <c r="BE412" s="72"/>
      <c r="BF412" s="72"/>
    </row>
    <row r="413" spans="3:58">
      <c r="C413" s="452"/>
      <c r="Q413" s="452"/>
      <c r="R413" s="452"/>
      <c r="S413" s="452"/>
      <c r="T413" s="452"/>
      <c r="U413" s="452"/>
      <c r="V413" s="452"/>
      <c r="W413" s="452"/>
      <c r="X413" s="452"/>
      <c r="Y413" s="452"/>
      <c r="Z413" s="452"/>
      <c r="AA413" s="452"/>
      <c r="AB413" s="453"/>
      <c r="AC413" s="453"/>
      <c r="AD413" s="453"/>
      <c r="AE413" s="453"/>
      <c r="AF413" s="452"/>
      <c r="AG413" s="452"/>
      <c r="AH413" s="452"/>
      <c r="AI413" s="452"/>
      <c r="AJ413" s="452"/>
      <c r="AK413" s="452"/>
      <c r="AL413" s="452"/>
      <c r="AM413" s="452"/>
      <c r="AN413" s="452"/>
      <c r="AO413" s="446"/>
      <c r="AP413" s="446"/>
      <c r="AQ413" s="446"/>
      <c r="AR413" s="446"/>
      <c r="AS413" s="446"/>
      <c r="AT413" s="72"/>
      <c r="AU413" s="72"/>
      <c r="AV413" s="72"/>
      <c r="AW413" s="72"/>
      <c r="AX413" s="72"/>
      <c r="AY413" s="72"/>
      <c r="AZ413" s="72"/>
      <c r="BA413" s="72"/>
      <c r="BB413" s="72"/>
      <c r="BC413" s="72"/>
      <c r="BD413" s="72"/>
      <c r="BE413" s="72"/>
      <c r="BF413" s="72"/>
    </row>
    <row r="414" spans="3:58">
      <c r="C414" s="452"/>
      <c r="Q414" s="452"/>
      <c r="R414" s="452"/>
      <c r="S414" s="452"/>
      <c r="T414" s="452"/>
      <c r="U414" s="452"/>
      <c r="V414" s="452"/>
      <c r="W414" s="452"/>
      <c r="X414" s="452"/>
      <c r="Y414" s="452"/>
      <c r="Z414" s="452"/>
      <c r="AA414" s="452"/>
      <c r="AB414" s="453"/>
      <c r="AC414" s="453"/>
      <c r="AD414" s="453"/>
      <c r="AE414" s="453"/>
      <c r="AF414" s="452"/>
      <c r="AG414" s="452"/>
      <c r="AH414" s="452"/>
      <c r="AI414" s="452"/>
      <c r="AJ414" s="452"/>
      <c r="AK414" s="452"/>
      <c r="AL414" s="452"/>
      <c r="AM414" s="452"/>
      <c r="AN414" s="452"/>
      <c r="AO414" s="446"/>
      <c r="AP414" s="446"/>
      <c r="AQ414" s="446"/>
      <c r="AR414" s="446"/>
      <c r="AS414" s="446"/>
      <c r="AT414" s="72"/>
      <c r="AU414" s="72"/>
      <c r="AV414" s="72"/>
      <c r="AW414" s="72"/>
      <c r="AX414" s="72"/>
      <c r="AY414" s="72"/>
      <c r="AZ414" s="72"/>
      <c r="BA414" s="72"/>
      <c r="BB414" s="72"/>
      <c r="BC414" s="72"/>
      <c r="BD414" s="72"/>
      <c r="BE414" s="72"/>
      <c r="BF414" s="72"/>
    </row>
    <row r="415" spans="3:58">
      <c r="C415" s="452"/>
      <c r="Q415" s="452"/>
      <c r="R415" s="452"/>
      <c r="S415" s="452"/>
      <c r="T415" s="452"/>
      <c r="U415" s="452"/>
      <c r="V415" s="452"/>
      <c r="W415" s="452"/>
      <c r="X415" s="452"/>
      <c r="Y415" s="452"/>
      <c r="Z415" s="452"/>
      <c r="AA415" s="452"/>
      <c r="AB415" s="453"/>
      <c r="AC415" s="453"/>
      <c r="AD415" s="453"/>
      <c r="AE415" s="453"/>
      <c r="AF415" s="452"/>
      <c r="AG415" s="452"/>
      <c r="AH415" s="452"/>
      <c r="AI415" s="452"/>
      <c r="AJ415" s="452"/>
      <c r="AK415" s="452"/>
      <c r="AL415" s="452"/>
      <c r="AM415" s="452"/>
      <c r="AN415" s="452"/>
      <c r="AO415" s="446"/>
      <c r="AP415" s="446"/>
      <c r="AQ415" s="446"/>
      <c r="AR415" s="446"/>
      <c r="AS415" s="446"/>
      <c r="AT415" s="72"/>
      <c r="AU415" s="72"/>
      <c r="AV415" s="72"/>
      <c r="AW415" s="72"/>
      <c r="AX415" s="72"/>
      <c r="AY415" s="72"/>
      <c r="AZ415" s="72"/>
      <c r="BA415" s="72"/>
      <c r="BB415" s="72"/>
      <c r="BC415" s="72"/>
      <c r="BD415" s="72"/>
      <c r="BE415" s="72"/>
      <c r="BF415" s="72"/>
    </row>
    <row r="416" spans="3:58">
      <c r="C416" s="452"/>
      <c r="Q416" s="452"/>
      <c r="R416" s="452"/>
      <c r="S416" s="452"/>
      <c r="T416" s="452"/>
      <c r="U416" s="452"/>
      <c r="V416" s="452"/>
      <c r="W416" s="452"/>
      <c r="X416" s="452"/>
      <c r="Y416" s="452"/>
      <c r="Z416" s="452"/>
      <c r="AA416" s="452"/>
      <c r="AB416" s="453"/>
      <c r="AC416" s="453"/>
      <c r="AD416" s="453"/>
      <c r="AE416" s="453"/>
      <c r="AF416" s="452"/>
      <c r="AG416" s="452"/>
      <c r="AH416" s="452"/>
      <c r="AI416" s="452"/>
      <c r="AJ416" s="452"/>
      <c r="AK416" s="452"/>
      <c r="AL416" s="452"/>
      <c r="AM416" s="452"/>
      <c r="AN416" s="452"/>
      <c r="AO416" s="446"/>
      <c r="AP416" s="446"/>
      <c r="AQ416" s="446"/>
      <c r="AR416" s="446"/>
      <c r="AS416" s="446"/>
      <c r="AT416" s="72"/>
      <c r="AU416" s="72"/>
      <c r="AV416" s="72"/>
      <c r="AW416" s="72"/>
      <c r="AX416" s="72"/>
      <c r="AY416" s="72"/>
      <c r="AZ416" s="72"/>
      <c r="BA416" s="72"/>
      <c r="BB416" s="72"/>
      <c r="BC416" s="72"/>
      <c r="BD416" s="72"/>
      <c r="BE416" s="72"/>
      <c r="BF416" s="72"/>
    </row>
    <row r="417" spans="3:58">
      <c r="C417" s="452"/>
      <c r="Q417" s="452"/>
      <c r="R417" s="452"/>
      <c r="S417" s="452"/>
      <c r="T417" s="452"/>
      <c r="U417" s="452"/>
      <c r="V417" s="452"/>
      <c r="W417" s="452"/>
      <c r="X417" s="452"/>
      <c r="Y417" s="452"/>
      <c r="Z417" s="452"/>
      <c r="AA417" s="452"/>
      <c r="AB417" s="453"/>
      <c r="AC417" s="453"/>
      <c r="AD417" s="453"/>
      <c r="AE417" s="453"/>
      <c r="AF417" s="452"/>
      <c r="AG417" s="452"/>
      <c r="AH417" s="452"/>
      <c r="AI417" s="452"/>
      <c r="AJ417" s="452"/>
      <c r="AK417" s="452"/>
      <c r="AL417" s="452"/>
      <c r="AM417" s="452"/>
      <c r="AN417" s="452"/>
      <c r="AO417" s="446"/>
      <c r="AP417" s="446"/>
      <c r="AQ417" s="446"/>
      <c r="AR417" s="446"/>
      <c r="AS417" s="446"/>
      <c r="AT417" s="72"/>
      <c r="AU417" s="72"/>
      <c r="AV417" s="72"/>
      <c r="AW417" s="72"/>
      <c r="AX417" s="72"/>
      <c r="AY417" s="72"/>
      <c r="AZ417" s="72"/>
      <c r="BA417" s="72"/>
      <c r="BB417" s="72"/>
      <c r="BC417" s="72"/>
      <c r="BD417" s="72"/>
      <c r="BE417" s="72"/>
      <c r="BF417" s="72"/>
    </row>
    <row r="418" spans="3:58">
      <c r="C418" s="452"/>
      <c r="Q418" s="452"/>
      <c r="R418" s="452"/>
      <c r="S418" s="452"/>
      <c r="T418" s="452"/>
      <c r="U418" s="452"/>
      <c r="V418" s="452"/>
      <c r="W418" s="452"/>
      <c r="X418" s="452"/>
      <c r="Y418" s="452"/>
      <c r="Z418" s="452"/>
      <c r="AA418" s="452"/>
      <c r="AB418" s="453"/>
      <c r="AC418" s="453"/>
      <c r="AD418" s="453"/>
      <c r="AE418" s="453"/>
      <c r="AF418" s="452"/>
      <c r="AG418" s="452"/>
      <c r="AH418" s="452"/>
      <c r="AI418" s="452"/>
      <c r="AJ418" s="452"/>
      <c r="AK418" s="452"/>
      <c r="AL418" s="452"/>
      <c r="AM418" s="452"/>
      <c r="AN418" s="452"/>
      <c r="AO418" s="446"/>
      <c r="AP418" s="446"/>
      <c r="AQ418" s="446"/>
      <c r="AR418" s="446"/>
      <c r="AS418" s="446"/>
      <c r="AT418" s="72"/>
      <c r="AU418" s="72"/>
      <c r="AV418" s="72"/>
      <c r="AW418" s="72"/>
      <c r="AX418" s="72"/>
      <c r="AY418" s="72"/>
      <c r="AZ418" s="72"/>
      <c r="BA418" s="72"/>
      <c r="BB418" s="72"/>
      <c r="BC418" s="72"/>
      <c r="BD418" s="72"/>
      <c r="BE418" s="72"/>
      <c r="BF418" s="72"/>
    </row>
    <row r="419" spans="3:58">
      <c r="C419" s="452"/>
      <c r="Q419" s="452"/>
      <c r="R419" s="452"/>
      <c r="S419" s="452"/>
      <c r="T419" s="452"/>
      <c r="U419" s="452"/>
      <c r="V419" s="452"/>
      <c r="W419" s="452"/>
      <c r="X419" s="452"/>
      <c r="Y419" s="452"/>
      <c r="Z419" s="452"/>
      <c r="AA419" s="452"/>
      <c r="AB419" s="453"/>
      <c r="AC419" s="453"/>
      <c r="AD419" s="453"/>
      <c r="AE419" s="453"/>
      <c r="AF419" s="452"/>
      <c r="AG419" s="452"/>
      <c r="AH419" s="452"/>
      <c r="AI419" s="452"/>
      <c r="AJ419" s="452"/>
      <c r="AK419" s="452"/>
      <c r="AL419" s="452"/>
      <c r="AM419" s="452"/>
      <c r="AN419" s="452"/>
      <c r="AO419" s="446"/>
      <c r="AP419" s="446"/>
      <c r="AQ419" s="446"/>
      <c r="AR419" s="446"/>
      <c r="AS419" s="446"/>
      <c r="AT419" s="72"/>
      <c r="AU419" s="72"/>
      <c r="AV419" s="72"/>
      <c r="AW419" s="72"/>
      <c r="AX419" s="72"/>
      <c r="AY419" s="72"/>
      <c r="AZ419" s="72"/>
      <c r="BA419" s="72"/>
      <c r="BB419" s="72"/>
      <c r="BC419" s="72"/>
      <c r="BD419" s="72"/>
      <c r="BE419" s="72"/>
      <c r="BF419" s="72"/>
    </row>
    <row r="420" spans="3:58">
      <c r="C420" s="452"/>
      <c r="Q420" s="452"/>
      <c r="R420" s="452"/>
      <c r="S420" s="452"/>
      <c r="T420" s="452"/>
      <c r="U420" s="452"/>
      <c r="V420" s="452"/>
      <c r="W420" s="452"/>
      <c r="X420" s="452"/>
      <c r="Y420" s="452"/>
      <c r="Z420" s="452"/>
      <c r="AA420" s="452"/>
      <c r="AB420" s="453"/>
      <c r="AC420" s="453"/>
      <c r="AD420" s="453"/>
      <c r="AE420" s="453"/>
      <c r="AF420" s="452"/>
      <c r="AG420" s="452"/>
      <c r="AH420" s="452"/>
      <c r="AI420" s="452"/>
      <c r="AJ420" s="452"/>
      <c r="AK420" s="452"/>
      <c r="AL420" s="452"/>
      <c r="AM420" s="452"/>
      <c r="AN420" s="452"/>
      <c r="AO420" s="446"/>
      <c r="AP420" s="446"/>
      <c r="AQ420" s="446"/>
      <c r="AR420" s="446"/>
      <c r="AS420" s="446"/>
      <c r="AT420" s="72"/>
      <c r="AU420" s="72"/>
      <c r="AV420" s="72"/>
      <c r="AW420" s="72"/>
      <c r="AX420" s="72"/>
      <c r="AY420" s="72"/>
      <c r="AZ420" s="72"/>
      <c r="BA420" s="72"/>
      <c r="BB420" s="72"/>
      <c r="BC420" s="72"/>
      <c r="BD420" s="72"/>
      <c r="BE420" s="72"/>
      <c r="BF420" s="72"/>
    </row>
    <row r="421" spans="3:58">
      <c r="C421" s="452"/>
      <c r="Q421" s="452"/>
      <c r="R421" s="452"/>
      <c r="S421" s="452"/>
      <c r="T421" s="452"/>
      <c r="U421" s="452"/>
      <c r="V421" s="452"/>
      <c r="W421" s="452"/>
      <c r="X421" s="452"/>
      <c r="Y421" s="452"/>
      <c r="Z421" s="452"/>
      <c r="AA421" s="452"/>
      <c r="AB421" s="453"/>
      <c r="AC421" s="453"/>
      <c r="AD421" s="453"/>
      <c r="AE421" s="453"/>
      <c r="AF421" s="452"/>
      <c r="AG421" s="452"/>
      <c r="AH421" s="452"/>
      <c r="AI421" s="452"/>
      <c r="AJ421" s="452"/>
      <c r="AK421" s="452"/>
      <c r="AL421" s="452"/>
      <c r="AM421" s="452"/>
      <c r="AN421" s="452"/>
      <c r="AO421" s="446"/>
      <c r="AP421" s="446"/>
      <c r="AQ421" s="446"/>
      <c r="AR421" s="446"/>
      <c r="AS421" s="446"/>
      <c r="AT421" s="72"/>
      <c r="AU421" s="72"/>
      <c r="AV421" s="72"/>
      <c r="AW421" s="72"/>
      <c r="AX421" s="72"/>
      <c r="AY421" s="72"/>
      <c r="AZ421" s="72"/>
      <c r="BA421" s="72"/>
      <c r="BB421" s="72"/>
      <c r="BC421" s="72"/>
      <c r="BD421" s="72"/>
      <c r="BE421" s="72"/>
      <c r="BF421" s="72"/>
    </row>
    <row r="422" spans="3:58">
      <c r="C422" s="452"/>
      <c r="Q422" s="452"/>
      <c r="R422" s="452"/>
      <c r="S422" s="452"/>
      <c r="T422" s="452"/>
      <c r="U422" s="452"/>
      <c r="V422" s="452"/>
      <c r="W422" s="452"/>
      <c r="X422" s="452"/>
      <c r="Y422" s="452"/>
      <c r="Z422" s="452"/>
      <c r="AA422" s="452"/>
      <c r="AB422" s="453"/>
      <c r="AC422" s="453"/>
      <c r="AD422" s="453"/>
      <c r="AE422" s="453"/>
      <c r="AF422" s="452"/>
      <c r="AG422" s="452"/>
      <c r="AH422" s="452"/>
      <c r="AI422" s="452"/>
      <c r="AJ422" s="452"/>
      <c r="AK422" s="452"/>
      <c r="AL422" s="452"/>
      <c r="AM422" s="452"/>
      <c r="AN422" s="452"/>
      <c r="AO422" s="446"/>
      <c r="AP422" s="446"/>
      <c r="AQ422" s="446"/>
      <c r="AR422" s="446"/>
      <c r="AS422" s="446"/>
      <c r="AT422" s="72"/>
      <c r="AU422" s="72"/>
      <c r="AV422" s="72"/>
      <c r="AW422" s="72"/>
      <c r="AX422" s="72"/>
      <c r="AY422" s="72"/>
      <c r="AZ422" s="72"/>
      <c r="BA422" s="72"/>
      <c r="BB422" s="72"/>
      <c r="BC422" s="72"/>
      <c r="BD422" s="72"/>
      <c r="BE422" s="72"/>
      <c r="BF422" s="72"/>
    </row>
    <row r="423" spans="3:58">
      <c r="C423" s="452"/>
      <c r="Q423" s="452"/>
      <c r="R423" s="452"/>
      <c r="S423" s="452"/>
      <c r="T423" s="452"/>
      <c r="U423" s="452"/>
      <c r="V423" s="452"/>
      <c r="W423" s="452"/>
      <c r="X423" s="452"/>
      <c r="Y423" s="452"/>
      <c r="Z423" s="452"/>
      <c r="AA423" s="452"/>
      <c r="AB423" s="453"/>
      <c r="AC423" s="453"/>
      <c r="AD423" s="453"/>
      <c r="AE423" s="453"/>
      <c r="AF423" s="452"/>
      <c r="AG423" s="452"/>
      <c r="AH423" s="452"/>
      <c r="AI423" s="452"/>
      <c r="AJ423" s="452"/>
      <c r="AK423" s="452"/>
      <c r="AL423" s="452"/>
      <c r="AM423" s="452"/>
      <c r="AN423" s="452"/>
      <c r="AO423" s="446"/>
      <c r="AP423" s="446"/>
      <c r="AQ423" s="446"/>
      <c r="AR423" s="446"/>
      <c r="AS423" s="446"/>
      <c r="AT423" s="72"/>
      <c r="AU423" s="72"/>
      <c r="AV423" s="72"/>
      <c r="AW423" s="72"/>
      <c r="AX423" s="72"/>
      <c r="AY423" s="72"/>
      <c r="AZ423" s="72"/>
      <c r="BA423" s="72"/>
      <c r="BB423" s="72"/>
      <c r="BC423" s="72"/>
      <c r="BD423" s="72"/>
      <c r="BE423" s="72"/>
      <c r="BF423" s="72"/>
    </row>
    <row r="424" spans="3:58">
      <c r="C424" s="452"/>
      <c r="Q424" s="452"/>
      <c r="R424" s="452"/>
      <c r="S424" s="452"/>
      <c r="T424" s="452"/>
      <c r="U424" s="452"/>
      <c r="V424" s="452"/>
      <c r="W424" s="452"/>
      <c r="X424" s="452"/>
      <c r="Y424" s="452"/>
      <c r="Z424" s="452"/>
      <c r="AA424" s="452"/>
      <c r="AB424" s="453"/>
      <c r="AC424" s="453"/>
      <c r="AD424" s="453"/>
      <c r="AE424" s="453"/>
      <c r="AF424" s="452"/>
      <c r="AG424" s="452"/>
      <c r="AH424" s="452"/>
      <c r="AI424" s="452"/>
      <c r="AJ424" s="452"/>
      <c r="AK424" s="452"/>
      <c r="AL424" s="452"/>
      <c r="AM424" s="452"/>
      <c r="AN424" s="452"/>
      <c r="AO424" s="446"/>
      <c r="AP424" s="446"/>
      <c r="AQ424" s="446"/>
      <c r="AR424" s="446"/>
      <c r="AS424" s="446"/>
      <c r="AT424" s="72"/>
      <c r="AU424" s="72"/>
      <c r="AV424" s="72"/>
      <c r="AW424" s="72"/>
      <c r="AX424" s="72"/>
      <c r="AY424" s="72"/>
      <c r="AZ424" s="72"/>
      <c r="BA424" s="72"/>
      <c r="BB424" s="72"/>
      <c r="BC424" s="72"/>
      <c r="BD424" s="72"/>
      <c r="BE424" s="72"/>
      <c r="BF424" s="72"/>
    </row>
    <row r="425" spans="3:58">
      <c r="C425" s="452"/>
      <c r="Q425" s="452"/>
      <c r="R425" s="452"/>
      <c r="S425" s="452"/>
      <c r="T425" s="452"/>
      <c r="U425" s="452"/>
      <c r="V425" s="452"/>
      <c r="W425" s="452"/>
      <c r="X425" s="452"/>
      <c r="Y425" s="452"/>
      <c r="Z425" s="452"/>
      <c r="AA425" s="452"/>
      <c r="AB425" s="453"/>
      <c r="AC425" s="453"/>
      <c r="AD425" s="453"/>
      <c r="AE425" s="453"/>
      <c r="AF425" s="452"/>
      <c r="AG425" s="452"/>
      <c r="AH425" s="452"/>
      <c r="AI425" s="452"/>
      <c r="AJ425" s="452"/>
      <c r="AK425" s="452"/>
      <c r="AL425" s="452"/>
      <c r="AM425" s="452"/>
      <c r="AN425" s="452"/>
      <c r="AO425" s="446"/>
      <c r="AP425" s="446"/>
      <c r="AQ425" s="446"/>
      <c r="AR425" s="446"/>
      <c r="AS425" s="446"/>
      <c r="AT425" s="72"/>
      <c r="AU425" s="72"/>
      <c r="AV425" s="72"/>
      <c r="AW425" s="72"/>
      <c r="AX425" s="72"/>
      <c r="AY425" s="72"/>
      <c r="AZ425" s="72"/>
      <c r="BA425" s="72"/>
      <c r="BB425" s="72"/>
      <c r="BC425" s="72"/>
      <c r="BD425" s="72"/>
      <c r="BE425" s="72"/>
      <c r="BF425" s="72"/>
    </row>
    <row r="426" spans="3:58">
      <c r="C426" s="452"/>
      <c r="Q426" s="452"/>
      <c r="R426" s="452"/>
      <c r="S426" s="452"/>
      <c r="T426" s="452"/>
      <c r="U426" s="452"/>
      <c r="V426" s="452"/>
      <c r="W426" s="452"/>
      <c r="X426" s="452"/>
      <c r="Y426" s="452"/>
      <c r="Z426" s="452"/>
      <c r="AA426" s="452"/>
      <c r="AB426" s="453"/>
      <c r="AC426" s="453"/>
      <c r="AD426" s="453"/>
      <c r="AE426" s="453"/>
      <c r="AF426" s="452"/>
      <c r="AG426" s="452"/>
      <c r="AH426" s="452"/>
      <c r="AI426" s="452"/>
      <c r="AJ426" s="452"/>
      <c r="AK426" s="452"/>
      <c r="AL426" s="452"/>
      <c r="AM426" s="452"/>
      <c r="AN426" s="452"/>
      <c r="AO426" s="446"/>
      <c r="AP426" s="446"/>
      <c r="AQ426" s="446"/>
      <c r="AR426" s="446"/>
      <c r="AS426" s="446"/>
      <c r="AT426" s="72"/>
      <c r="AU426" s="72"/>
      <c r="AV426" s="72"/>
      <c r="AW426" s="72"/>
      <c r="AX426" s="72"/>
      <c r="AY426" s="72"/>
      <c r="AZ426" s="72"/>
      <c r="BA426" s="72"/>
      <c r="BB426" s="72"/>
      <c r="BC426" s="72"/>
      <c r="BD426" s="72"/>
      <c r="BE426" s="72"/>
      <c r="BF426" s="72"/>
    </row>
    <row r="427" spans="3:58">
      <c r="C427" s="452"/>
      <c r="Q427" s="452"/>
      <c r="R427" s="452"/>
      <c r="S427" s="452"/>
      <c r="T427" s="452"/>
      <c r="U427" s="452"/>
      <c r="V427" s="452"/>
      <c r="W427" s="452"/>
      <c r="X427" s="452"/>
      <c r="Y427" s="452"/>
      <c r="Z427" s="452"/>
      <c r="AA427" s="452"/>
      <c r="AB427" s="453"/>
      <c r="AC427" s="453"/>
      <c r="AD427" s="453"/>
      <c r="AE427" s="453"/>
      <c r="AF427" s="452"/>
      <c r="AG427" s="452"/>
      <c r="AH427" s="452"/>
      <c r="AI427" s="452"/>
      <c r="AJ427" s="452"/>
      <c r="AK427" s="452"/>
      <c r="AL427" s="452"/>
      <c r="AM427" s="452"/>
      <c r="AN427" s="452"/>
      <c r="AO427" s="446"/>
      <c r="AP427" s="446"/>
      <c r="AQ427" s="446"/>
      <c r="AR427" s="446"/>
      <c r="AS427" s="446"/>
      <c r="AT427" s="72"/>
      <c r="AU427" s="72"/>
      <c r="AV427" s="72"/>
      <c r="AW427" s="72"/>
      <c r="AX427" s="72"/>
      <c r="AY427" s="72"/>
      <c r="AZ427" s="72"/>
      <c r="BA427" s="72"/>
      <c r="BB427" s="72"/>
      <c r="BC427" s="72"/>
      <c r="BD427" s="72"/>
      <c r="BE427" s="72"/>
      <c r="BF427" s="72"/>
    </row>
    <row r="428" spans="3:58">
      <c r="C428" s="452"/>
      <c r="Q428" s="452"/>
      <c r="R428" s="452"/>
      <c r="S428" s="452"/>
      <c r="T428" s="452"/>
      <c r="U428" s="452"/>
      <c r="V428" s="452"/>
      <c r="W428" s="452"/>
      <c r="X428" s="452"/>
      <c r="Y428" s="452"/>
      <c r="Z428" s="452"/>
      <c r="AA428" s="452"/>
      <c r="AB428" s="453"/>
      <c r="AC428" s="453"/>
      <c r="AD428" s="453"/>
      <c r="AE428" s="453"/>
      <c r="AF428" s="452"/>
      <c r="AG428" s="452"/>
      <c r="AH428" s="452"/>
      <c r="AI428" s="452"/>
      <c r="AJ428" s="452"/>
      <c r="AK428" s="452"/>
      <c r="AL428" s="452"/>
      <c r="AM428" s="452"/>
      <c r="AN428" s="452"/>
      <c r="AO428" s="446"/>
      <c r="AP428" s="446"/>
      <c r="AQ428" s="446"/>
      <c r="AR428" s="446"/>
      <c r="AS428" s="446"/>
      <c r="AT428" s="72"/>
      <c r="AU428" s="72"/>
      <c r="AV428" s="72"/>
      <c r="AW428" s="72"/>
      <c r="AX428" s="72"/>
      <c r="AY428" s="72"/>
      <c r="AZ428" s="72"/>
      <c r="BA428" s="72"/>
      <c r="BB428" s="72"/>
      <c r="BC428" s="72"/>
      <c r="BD428" s="72"/>
      <c r="BE428" s="72"/>
      <c r="BF428" s="72"/>
    </row>
    <row r="429" spans="3:58">
      <c r="C429" s="452"/>
      <c r="Q429" s="452"/>
      <c r="R429" s="452"/>
      <c r="S429" s="452"/>
      <c r="T429" s="452"/>
      <c r="U429" s="452"/>
      <c r="V429" s="452"/>
      <c r="W429" s="452"/>
      <c r="X429" s="452"/>
      <c r="Y429" s="452"/>
      <c r="Z429" s="452"/>
      <c r="AA429" s="452"/>
      <c r="AB429" s="453"/>
      <c r="AC429" s="453"/>
      <c r="AD429" s="453"/>
      <c r="AE429" s="453"/>
      <c r="AF429" s="452"/>
      <c r="AG429" s="452"/>
      <c r="AH429" s="452"/>
      <c r="AI429" s="452"/>
      <c r="AJ429" s="452"/>
      <c r="AK429" s="452"/>
      <c r="AL429" s="452"/>
      <c r="AM429" s="452"/>
      <c r="AN429" s="452"/>
      <c r="AO429" s="446"/>
      <c r="AP429" s="446"/>
      <c r="AQ429" s="446"/>
      <c r="AR429" s="446"/>
      <c r="AS429" s="446"/>
      <c r="AT429" s="72"/>
      <c r="AU429" s="72"/>
      <c r="AV429" s="72"/>
      <c r="AW429" s="72"/>
      <c r="AX429" s="72"/>
      <c r="AY429" s="72"/>
      <c r="AZ429" s="72"/>
      <c r="BA429" s="72"/>
      <c r="BB429" s="72"/>
      <c r="BC429" s="72"/>
      <c r="BD429" s="72"/>
      <c r="BE429" s="72"/>
      <c r="BF429" s="72"/>
    </row>
    <row r="430" spans="3:58">
      <c r="C430" s="452"/>
      <c r="Q430" s="452"/>
      <c r="R430" s="452"/>
      <c r="S430" s="452"/>
      <c r="T430" s="452"/>
      <c r="U430" s="452"/>
      <c r="V430" s="452"/>
      <c r="W430" s="452"/>
      <c r="X430" s="452"/>
      <c r="Y430" s="452"/>
      <c r="Z430" s="452"/>
      <c r="AA430" s="452"/>
      <c r="AB430" s="453"/>
      <c r="AC430" s="453"/>
      <c r="AD430" s="453"/>
      <c r="AE430" s="453"/>
      <c r="AF430" s="452"/>
      <c r="AG430" s="452"/>
      <c r="AH430" s="452"/>
      <c r="AI430" s="452"/>
      <c r="AJ430" s="452"/>
      <c r="AK430" s="452"/>
      <c r="AL430" s="452"/>
      <c r="AM430" s="452"/>
      <c r="AN430" s="452"/>
      <c r="AO430" s="446"/>
      <c r="AP430" s="446"/>
      <c r="AQ430" s="446"/>
      <c r="AR430" s="446"/>
      <c r="AS430" s="446"/>
      <c r="AT430" s="72"/>
      <c r="AU430" s="72"/>
      <c r="AV430" s="72"/>
      <c r="AW430" s="72"/>
      <c r="AX430" s="72"/>
      <c r="AY430" s="72"/>
      <c r="AZ430" s="72"/>
      <c r="BA430" s="72"/>
      <c r="BB430" s="72"/>
      <c r="BC430" s="72"/>
      <c r="BD430" s="72"/>
      <c r="BE430" s="72"/>
      <c r="BF430" s="72"/>
    </row>
    <row r="431" spans="3:58">
      <c r="C431" s="452"/>
      <c r="Q431" s="452"/>
      <c r="R431" s="452"/>
      <c r="S431" s="452"/>
      <c r="T431" s="452"/>
      <c r="U431" s="452"/>
      <c r="V431" s="452"/>
      <c r="W431" s="452"/>
      <c r="X431" s="452"/>
      <c r="Y431" s="452"/>
      <c r="Z431" s="452"/>
      <c r="AA431" s="452"/>
      <c r="AB431" s="453"/>
      <c r="AC431" s="453"/>
      <c r="AD431" s="453"/>
      <c r="AE431" s="453"/>
      <c r="AF431" s="452"/>
      <c r="AG431" s="452"/>
      <c r="AH431" s="452"/>
      <c r="AI431" s="452"/>
      <c r="AJ431" s="452"/>
      <c r="AK431" s="452"/>
      <c r="AL431" s="452"/>
      <c r="AM431" s="452"/>
      <c r="AN431" s="452"/>
      <c r="AO431" s="446"/>
      <c r="AP431" s="446"/>
      <c r="AQ431" s="446"/>
      <c r="AR431" s="446"/>
      <c r="AS431" s="446"/>
      <c r="AT431" s="72"/>
      <c r="AU431" s="72"/>
      <c r="AV431" s="72"/>
      <c r="AW431" s="72"/>
      <c r="AX431" s="72"/>
      <c r="AY431" s="72"/>
      <c r="AZ431" s="72"/>
      <c r="BA431" s="72"/>
      <c r="BB431" s="72"/>
      <c r="BC431" s="72"/>
      <c r="BD431" s="72"/>
      <c r="BE431" s="72"/>
      <c r="BF431" s="72"/>
    </row>
    <row r="432" spans="3:58">
      <c r="C432" s="452"/>
      <c r="Q432" s="452"/>
      <c r="R432" s="452"/>
      <c r="S432" s="452"/>
      <c r="T432" s="452"/>
      <c r="U432" s="452"/>
      <c r="V432" s="452"/>
      <c r="W432" s="452"/>
      <c r="X432" s="452"/>
      <c r="Y432" s="452"/>
      <c r="Z432" s="452"/>
      <c r="AA432" s="452"/>
      <c r="AB432" s="453"/>
      <c r="AC432" s="453"/>
      <c r="AD432" s="453"/>
      <c r="AE432" s="453"/>
      <c r="AF432" s="452"/>
      <c r="AG432" s="452"/>
      <c r="AH432" s="452"/>
      <c r="AI432" s="452"/>
      <c r="AJ432" s="452"/>
      <c r="AK432" s="452"/>
      <c r="AL432" s="452"/>
      <c r="AM432" s="452"/>
      <c r="AN432" s="452"/>
      <c r="AO432" s="446"/>
      <c r="AP432" s="446"/>
      <c r="AQ432" s="446"/>
      <c r="AR432" s="446"/>
      <c r="AS432" s="446"/>
      <c r="AT432" s="72"/>
      <c r="AU432" s="72"/>
      <c r="AV432" s="72"/>
      <c r="AW432" s="72"/>
      <c r="AX432" s="72"/>
      <c r="AY432" s="72"/>
      <c r="AZ432" s="72"/>
      <c r="BA432" s="72"/>
      <c r="BB432" s="72"/>
      <c r="BC432" s="72"/>
      <c r="BD432" s="72"/>
      <c r="BE432" s="72"/>
      <c r="BF432" s="72"/>
    </row>
    <row r="433" spans="3:58">
      <c r="C433" s="452"/>
      <c r="Q433" s="452"/>
      <c r="R433" s="452"/>
      <c r="S433" s="452"/>
      <c r="T433" s="452"/>
      <c r="U433" s="452"/>
      <c r="V433" s="452"/>
      <c r="W433" s="452"/>
      <c r="X433" s="452"/>
      <c r="Y433" s="452"/>
      <c r="Z433" s="452"/>
      <c r="AA433" s="452"/>
      <c r="AB433" s="453"/>
      <c r="AC433" s="453"/>
      <c r="AD433" s="453"/>
      <c r="AE433" s="453"/>
      <c r="AF433" s="452"/>
      <c r="AG433" s="452"/>
      <c r="AH433" s="452"/>
      <c r="AI433" s="452"/>
      <c r="AJ433" s="452"/>
      <c r="AK433" s="452"/>
      <c r="AL433" s="452"/>
      <c r="AM433" s="452"/>
      <c r="AN433" s="452"/>
      <c r="AO433" s="446"/>
      <c r="AP433" s="446"/>
      <c r="AQ433" s="446"/>
      <c r="AR433" s="446"/>
      <c r="AS433" s="446"/>
      <c r="AT433" s="72"/>
      <c r="AU433" s="72"/>
      <c r="AV433" s="72"/>
      <c r="AW433" s="72"/>
      <c r="AX433" s="72"/>
      <c r="AY433" s="72"/>
      <c r="AZ433" s="72"/>
      <c r="BA433" s="72"/>
      <c r="BB433" s="72"/>
      <c r="BC433" s="72"/>
      <c r="BD433" s="72"/>
      <c r="BE433" s="72"/>
      <c r="BF433" s="72"/>
    </row>
    <row r="434" spans="3:58">
      <c r="C434" s="452"/>
      <c r="Q434" s="452"/>
      <c r="R434" s="452"/>
      <c r="S434" s="452"/>
      <c r="T434" s="452"/>
      <c r="U434" s="452"/>
      <c r="V434" s="452"/>
      <c r="W434" s="452"/>
      <c r="X434" s="452"/>
      <c r="Y434" s="452"/>
      <c r="Z434" s="452"/>
      <c r="AA434" s="452"/>
      <c r="AB434" s="453"/>
      <c r="AC434" s="453"/>
      <c r="AD434" s="453"/>
      <c r="AE434" s="453"/>
      <c r="AF434" s="452"/>
      <c r="AG434" s="452"/>
      <c r="AH434" s="452"/>
      <c r="AI434" s="452"/>
      <c r="AJ434" s="452"/>
      <c r="AK434" s="452"/>
      <c r="AL434" s="452"/>
      <c r="AM434" s="452"/>
      <c r="AN434" s="452"/>
      <c r="AO434" s="446"/>
      <c r="AP434" s="446"/>
      <c r="AQ434" s="446"/>
      <c r="AR434" s="446"/>
      <c r="AS434" s="446"/>
      <c r="AT434" s="72"/>
      <c r="AU434" s="72"/>
      <c r="AV434" s="72"/>
      <c r="AW434" s="72"/>
      <c r="AX434" s="72"/>
      <c r="AY434" s="72"/>
      <c r="AZ434" s="72"/>
      <c r="BA434" s="72"/>
      <c r="BB434" s="72"/>
      <c r="BC434" s="72"/>
      <c r="BD434" s="72"/>
      <c r="BE434" s="72"/>
      <c r="BF434" s="72"/>
    </row>
    <row r="435" spans="3:58">
      <c r="C435" s="452"/>
      <c r="Q435" s="452"/>
      <c r="R435" s="452"/>
      <c r="S435" s="452"/>
      <c r="T435" s="452"/>
      <c r="U435" s="452"/>
      <c r="V435" s="452"/>
      <c r="W435" s="452"/>
      <c r="X435" s="452"/>
      <c r="Y435" s="452"/>
      <c r="Z435" s="452"/>
      <c r="AA435" s="452"/>
      <c r="AB435" s="453"/>
      <c r="AC435" s="453"/>
      <c r="AD435" s="453"/>
      <c r="AE435" s="453"/>
      <c r="AF435" s="452"/>
      <c r="AG435" s="452"/>
      <c r="AH435" s="452"/>
      <c r="AI435" s="452"/>
      <c r="AJ435" s="452"/>
      <c r="AK435" s="452"/>
      <c r="AL435" s="452"/>
      <c r="AM435" s="452"/>
      <c r="AN435" s="452"/>
      <c r="AO435" s="446"/>
      <c r="AP435" s="446"/>
      <c r="AQ435" s="446"/>
      <c r="AR435" s="446"/>
      <c r="AS435" s="446"/>
      <c r="AT435" s="72"/>
      <c r="AU435" s="72"/>
      <c r="AV435" s="72"/>
      <c r="AW435" s="72"/>
      <c r="AX435" s="72"/>
      <c r="AY435" s="72"/>
      <c r="AZ435" s="72"/>
      <c r="BA435" s="72"/>
      <c r="BB435" s="72"/>
      <c r="BC435" s="72"/>
      <c r="BD435" s="72"/>
      <c r="BE435" s="72"/>
      <c r="BF435" s="72"/>
    </row>
    <row r="436" spans="3:58">
      <c r="C436" s="452"/>
      <c r="Q436" s="452"/>
      <c r="R436" s="452"/>
      <c r="S436" s="452"/>
      <c r="T436" s="452"/>
      <c r="U436" s="452"/>
      <c r="V436" s="452"/>
      <c r="W436" s="452"/>
      <c r="X436" s="452"/>
      <c r="Y436" s="452"/>
      <c r="Z436" s="452"/>
      <c r="AA436" s="452"/>
      <c r="AB436" s="453"/>
      <c r="AC436" s="453"/>
      <c r="AD436" s="453"/>
      <c r="AE436" s="453"/>
      <c r="AF436" s="452"/>
      <c r="AG436" s="452"/>
      <c r="AH436" s="452"/>
      <c r="AI436" s="452"/>
      <c r="AJ436" s="452"/>
      <c r="AK436" s="452"/>
      <c r="AL436" s="452"/>
      <c r="AM436" s="452"/>
      <c r="AN436" s="452"/>
      <c r="AO436" s="446"/>
      <c r="AP436" s="446"/>
      <c r="AQ436" s="446"/>
      <c r="AR436" s="446"/>
      <c r="AS436" s="446"/>
      <c r="AT436" s="72"/>
      <c r="AU436" s="72"/>
      <c r="AV436" s="72"/>
      <c r="AW436" s="72"/>
      <c r="AX436" s="72"/>
      <c r="AY436" s="72"/>
      <c r="AZ436" s="72"/>
      <c r="BA436" s="72"/>
      <c r="BB436" s="72"/>
      <c r="BC436" s="72"/>
      <c r="BD436" s="72"/>
      <c r="BE436" s="72"/>
      <c r="BF436" s="72"/>
    </row>
    <row r="437" spans="3:58">
      <c r="C437" s="452"/>
      <c r="Q437" s="452"/>
      <c r="R437" s="452"/>
      <c r="S437" s="452"/>
      <c r="T437" s="452"/>
      <c r="U437" s="452"/>
      <c r="V437" s="452"/>
      <c r="W437" s="452"/>
      <c r="X437" s="452"/>
      <c r="Y437" s="452"/>
      <c r="Z437" s="452"/>
      <c r="AA437" s="452"/>
      <c r="AB437" s="453"/>
      <c r="AC437" s="453"/>
      <c r="AD437" s="453"/>
      <c r="AE437" s="453"/>
      <c r="AF437" s="452"/>
      <c r="AG437" s="452"/>
      <c r="AH437" s="452"/>
      <c r="AI437" s="452"/>
      <c r="AJ437" s="452"/>
      <c r="AK437" s="452"/>
      <c r="AL437" s="452"/>
      <c r="AM437" s="452"/>
      <c r="AN437" s="452"/>
      <c r="AO437" s="446"/>
      <c r="AP437" s="446"/>
      <c r="AQ437" s="446"/>
      <c r="AR437" s="446"/>
      <c r="AS437" s="446"/>
      <c r="AT437" s="72"/>
      <c r="AU437" s="72"/>
      <c r="AV437" s="72"/>
      <c r="AW437" s="72"/>
      <c r="AX437" s="72"/>
      <c r="AY437" s="72"/>
      <c r="AZ437" s="72"/>
      <c r="BA437" s="72"/>
      <c r="BB437" s="72"/>
      <c r="BC437" s="72"/>
      <c r="BD437" s="72"/>
      <c r="BE437" s="72"/>
      <c r="BF437" s="72"/>
    </row>
    <row r="438" spans="3:58">
      <c r="C438" s="452"/>
      <c r="Q438" s="452"/>
      <c r="R438" s="452"/>
      <c r="S438" s="452"/>
      <c r="T438" s="452"/>
      <c r="U438" s="452"/>
      <c r="V438" s="452"/>
      <c r="W438" s="452"/>
      <c r="X438" s="452"/>
      <c r="Y438" s="452"/>
      <c r="Z438" s="452"/>
      <c r="AA438" s="452"/>
      <c r="AB438" s="453"/>
      <c r="AC438" s="453"/>
      <c r="AD438" s="453"/>
      <c r="AE438" s="453"/>
      <c r="AF438" s="452"/>
      <c r="AG438" s="452"/>
      <c r="AH438" s="452"/>
      <c r="AI438" s="452"/>
      <c r="AJ438" s="452"/>
      <c r="AK438" s="452"/>
      <c r="AL438" s="452"/>
      <c r="AM438" s="452"/>
      <c r="AN438" s="452"/>
      <c r="AO438" s="446"/>
      <c r="AP438" s="446"/>
      <c r="AQ438" s="446"/>
      <c r="AR438" s="446"/>
      <c r="AS438" s="446"/>
      <c r="AT438" s="72"/>
      <c r="AU438" s="72"/>
      <c r="AV438" s="72"/>
      <c r="AW438" s="72"/>
      <c r="AX438" s="72"/>
      <c r="AY438" s="72"/>
      <c r="AZ438" s="72"/>
      <c r="BA438" s="72"/>
      <c r="BB438" s="72"/>
      <c r="BC438" s="72"/>
      <c r="BD438" s="72"/>
      <c r="BE438" s="72"/>
      <c r="BF438" s="72"/>
    </row>
    <row r="439" spans="3:58">
      <c r="C439" s="452"/>
      <c r="Q439" s="452"/>
      <c r="R439" s="452"/>
      <c r="S439" s="452"/>
      <c r="T439" s="452"/>
      <c r="U439" s="452"/>
      <c r="V439" s="452"/>
      <c r="W439" s="452"/>
      <c r="X439" s="452"/>
      <c r="Y439" s="452"/>
      <c r="Z439" s="452"/>
      <c r="AA439" s="452"/>
      <c r="AB439" s="453"/>
      <c r="AC439" s="453"/>
      <c r="AD439" s="453"/>
      <c r="AE439" s="453"/>
      <c r="AF439" s="452"/>
      <c r="AG439" s="452"/>
      <c r="AH439" s="452"/>
      <c r="AI439" s="452"/>
      <c r="AJ439" s="452"/>
      <c r="AK439" s="452"/>
      <c r="AL439" s="452"/>
      <c r="AM439" s="452"/>
      <c r="AN439" s="452"/>
      <c r="AO439" s="446"/>
      <c r="AP439" s="446"/>
      <c r="AQ439" s="446"/>
      <c r="AR439" s="446"/>
      <c r="AS439" s="446"/>
      <c r="AT439" s="72"/>
      <c r="AU439" s="72"/>
      <c r="AV439" s="72"/>
      <c r="AW439" s="72"/>
      <c r="AX439" s="72"/>
      <c r="AY439" s="72"/>
      <c r="AZ439" s="72"/>
      <c r="BA439" s="72"/>
      <c r="BB439" s="72"/>
      <c r="BC439" s="72"/>
      <c r="BD439" s="72"/>
      <c r="BE439" s="72"/>
      <c r="BF439" s="72"/>
    </row>
    <row r="440" spans="3:58">
      <c r="C440" s="452"/>
      <c r="Q440" s="452"/>
      <c r="R440" s="452"/>
      <c r="S440" s="452"/>
      <c r="T440" s="452"/>
      <c r="U440" s="452"/>
      <c r="V440" s="452"/>
      <c r="W440" s="452"/>
      <c r="X440" s="452"/>
      <c r="Y440" s="452"/>
      <c r="Z440" s="452"/>
      <c r="AA440" s="452"/>
      <c r="AB440" s="453"/>
      <c r="AC440" s="453"/>
      <c r="AD440" s="453"/>
      <c r="AE440" s="453"/>
      <c r="AF440" s="452"/>
      <c r="AG440" s="452"/>
      <c r="AH440" s="452"/>
      <c r="AI440" s="452"/>
      <c r="AJ440" s="452"/>
      <c r="AK440" s="452"/>
      <c r="AL440" s="452"/>
      <c r="AM440" s="452"/>
      <c r="AN440" s="452"/>
      <c r="AO440" s="446"/>
      <c r="AP440" s="446"/>
      <c r="AQ440" s="446"/>
      <c r="AR440" s="446"/>
      <c r="AS440" s="446"/>
      <c r="AT440" s="72"/>
      <c r="AU440" s="72"/>
      <c r="AV440" s="72"/>
      <c r="AW440" s="72"/>
      <c r="AX440" s="72"/>
      <c r="AY440" s="72"/>
      <c r="AZ440" s="72"/>
      <c r="BA440" s="72"/>
      <c r="BB440" s="72"/>
      <c r="BC440" s="72"/>
      <c r="BD440" s="72"/>
      <c r="BE440" s="72"/>
      <c r="BF440" s="72"/>
    </row>
    <row r="441" spans="3:58">
      <c r="C441" s="452"/>
      <c r="Q441" s="452"/>
      <c r="R441" s="452"/>
      <c r="S441" s="452"/>
      <c r="T441" s="452"/>
      <c r="U441" s="452"/>
      <c r="V441" s="452"/>
      <c r="W441" s="452"/>
      <c r="X441" s="452"/>
      <c r="Y441" s="452"/>
      <c r="Z441" s="452"/>
      <c r="AA441" s="452"/>
      <c r="AB441" s="453"/>
      <c r="AC441" s="453"/>
      <c r="AD441" s="453"/>
      <c r="AE441" s="453"/>
      <c r="AF441" s="452"/>
      <c r="AG441" s="452"/>
      <c r="AH441" s="452"/>
      <c r="AI441" s="452"/>
      <c r="AJ441" s="452"/>
      <c r="AK441" s="452"/>
      <c r="AL441" s="452"/>
      <c r="AM441" s="452"/>
      <c r="AN441" s="452"/>
      <c r="AO441" s="446"/>
      <c r="AP441" s="446"/>
      <c r="AQ441" s="446"/>
      <c r="AR441" s="446"/>
      <c r="AS441" s="446"/>
      <c r="AT441" s="72"/>
      <c r="AU441" s="72"/>
      <c r="AV441" s="72"/>
      <c r="AW441" s="72"/>
      <c r="AX441" s="72"/>
      <c r="AY441" s="72"/>
      <c r="AZ441" s="72"/>
      <c r="BA441" s="72"/>
      <c r="BB441" s="72"/>
      <c r="BC441" s="72"/>
      <c r="BD441" s="72"/>
      <c r="BE441" s="72"/>
      <c r="BF441" s="72"/>
    </row>
    <row r="442" spans="3:58">
      <c r="C442" s="452"/>
      <c r="Q442" s="452"/>
      <c r="R442" s="452"/>
      <c r="S442" s="452"/>
      <c r="T442" s="452"/>
      <c r="U442" s="452"/>
      <c r="V442" s="452"/>
      <c r="W442" s="452"/>
      <c r="X442" s="452"/>
      <c r="Y442" s="452"/>
      <c r="Z442" s="452"/>
      <c r="AA442" s="452"/>
      <c r="AB442" s="453"/>
      <c r="AC442" s="453"/>
      <c r="AD442" s="453"/>
      <c r="AE442" s="453"/>
      <c r="AF442" s="452"/>
      <c r="AG442" s="452"/>
      <c r="AH442" s="452"/>
      <c r="AI442" s="452"/>
      <c r="AJ442" s="452"/>
      <c r="AK442" s="452"/>
      <c r="AL442" s="452"/>
      <c r="AM442" s="452"/>
      <c r="AN442" s="452"/>
      <c r="AO442" s="446"/>
      <c r="AP442" s="446"/>
      <c r="AQ442" s="446"/>
      <c r="AR442" s="446"/>
      <c r="AS442" s="446"/>
      <c r="AT442" s="72"/>
      <c r="AU442" s="72"/>
      <c r="AV442" s="72"/>
      <c r="AW442" s="72"/>
      <c r="AX442" s="72"/>
      <c r="AY442" s="72"/>
      <c r="AZ442" s="72"/>
      <c r="BA442" s="72"/>
      <c r="BB442" s="72"/>
      <c r="BC442" s="72"/>
      <c r="BD442" s="72"/>
      <c r="BE442" s="72"/>
      <c r="BF442" s="72"/>
    </row>
    <row r="443" spans="3:58">
      <c r="C443" s="452"/>
      <c r="Q443" s="452"/>
      <c r="R443" s="452"/>
      <c r="S443" s="452"/>
      <c r="T443" s="452"/>
      <c r="U443" s="452"/>
      <c r="V443" s="452"/>
      <c r="W443" s="452"/>
      <c r="X443" s="452"/>
      <c r="Y443" s="452"/>
      <c r="Z443" s="452"/>
      <c r="AA443" s="452"/>
      <c r="AB443" s="453"/>
      <c r="AC443" s="453"/>
      <c r="AD443" s="453"/>
      <c r="AE443" s="453"/>
      <c r="AF443" s="452"/>
      <c r="AG443" s="452"/>
      <c r="AH443" s="452"/>
      <c r="AI443" s="452"/>
      <c r="AJ443" s="452"/>
      <c r="AK443" s="452"/>
      <c r="AL443" s="452"/>
      <c r="AM443" s="452"/>
      <c r="AN443" s="452"/>
      <c r="AO443" s="446"/>
      <c r="AP443" s="446"/>
      <c r="AQ443" s="446"/>
      <c r="AR443" s="446"/>
      <c r="AS443" s="446"/>
      <c r="AT443" s="72"/>
      <c r="AU443" s="72"/>
      <c r="AV443" s="72"/>
      <c r="AW443" s="72"/>
      <c r="AX443" s="72"/>
      <c r="AY443" s="72"/>
      <c r="AZ443" s="72"/>
      <c r="BA443" s="72"/>
      <c r="BB443" s="72"/>
      <c r="BC443" s="72"/>
      <c r="BD443" s="72"/>
      <c r="BE443" s="72"/>
      <c r="BF443" s="72"/>
    </row>
    <row r="444" spans="3:58">
      <c r="C444" s="452"/>
      <c r="Q444" s="452"/>
      <c r="R444" s="452"/>
      <c r="S444" s="452"/>
      <c r="T444" s="452"/>
      <c r="U444" s="452"/>
      <c r="V444" s="452"/>
      <c r="W444" s="452"/>
      <c r="X444" s="452"/>
      <c r="Y444" s="452"/>
      <c r="Z444" s="452"/>
      <c r="AA444" s="452"/>
      <c r="AB444" s="453"/>
      <c r="AC444" s="453"/>
      <c r="AD444" s="453"/>
      <c r="AE444" s="453"/>
      <c r="AF444" s="452"/>
      <c r="AG444" s="452"/>
      <c r="AH444" s="452"/>
      <c r="AI444" s="452"/>
      <c r="AJ444" s="452"/>
      <c r="AK444" s="452"/>
      <c r="AL444" s="452"/>
      <c r="AM444" s="452"/>
      <c r="AN444" s="452"/>
      <c r="AO444" s="446"/>
      <c r="AP444" s="446"/>
      <c r="AQ444" s="446"/>
      <c r="AR444" s="446"/>
      <c r="AS444" s="446"/>
      <c r="AT444" s="72"/>
      <c r="AU444" s="72"/>
      <c r="AV444" s="72"/>
      <c r="AW444" s="72"/>
      <c r="AX444" s="72"/>
      <c r="AY444" s="72"/>
      <c r="AZ444" s="72"/>
      <c r="BA444" s="72"/>
      <c r="BB444" s="72"/>
      <c r="BC444" s="72"/>
      <c r="BD444" s="72"/>
      <c r="BE444" s="72"/>
      <c r="BF444" s="72"/>
    </row>
    <row r="445" spans="3:58">
      <c r="C445" s="452"/>
      <c r="Q445" s="452"/>
      <c r="R445" s="452"/>
      <c r="S445" s="452"/>
      <c r="T445" s="452"/>
      <c r="U445" s="452"/>
      <c r="V445" s="452"/>
      <c r="W445" s="452"/>
      <c r="X445" s="452"/>
      <c r="Y445" s="452"/>
      <c r="Z445" s="452"/>
      <c r="AA445" s="452"/>
      <c r="AB445" s="453"/>
      <c r="AC445" s="453"/>
      <c r="AD445" s="453"/>
      <c r="AE445" s="453"/>
      <c r="AF445" s="452"/>
      <c r="AG445" s="452"/>
      <c r="AH445" s="452"/>
      <c r="AI445" s="452"/>
      <c r="AJ445" s="452"/>
      <c r="AK445" s="452"/>
      <c r="AL445" s="452"/>
      <c r="AM445" s="452"/>
      <c r="AN445" s="452"/>
      <c r="AO445" s="446"/>
      <c r="AP445" s="446"/>
      <c r="AQ445" s="446"/>
      <c r="AR445" s="446"/>
      <c r="AS445" s="446"/>
      <c r="AT445" s="72"/>
      <c r="AU445" s="72"/>
      <c r="AV445" s="72"/>
      <c r="AW445" s="72"/>
      <c r="AX445" s="72"/>
      <c r="AY445" s="72"/>
      <c r="AZ445" s="72"/>
      <c r="BA445" s="72"/>
      <c r="BB445" s="72"/>
      <c r="BC445" s="72"/>
      <c r="BD445" s="72"/>
      <c r="BE445" s="72"/>
      <c r="BF445" s="72"/>
    </row>
    <row r="446" spans="3:58">
      <c r="C446" s="452"/>
      <c r="Q446" s="452"/>
      <c r="R446" s="452"/>
      <c r="S446" s="452"/>
      <c r="T446" s="452"/>
      <c r="U446" s="452"/>
      <c r="V446" s="452"/>
      <c r="W446" s="452"/>
      <c r="X446" s="452"/>
      <c r="Y446" s="452"/>
      <c r="Z446" s="452"/>
      <c r="AA446" s="452"/>
      <c r="AB446" s="453"/>
      <c r="AC446" s="453"/>
      <c r="AD446" s="453"/>
      <c r="AE446" s="453"/>
      <c r="AF446" s="452"/>
      <c r="AG446" s="452"/>
      <c r="AH446" s="452"/>
      <c r="AI446" s="452"/>
      <c r="AJ446" s="452"/>
      <c r="AK446" s="452"/>
      <c r="AL446" s="452"/>
      <c r="AM446" s="452"/>
      <c r="AN446" s="452"/>
      <c r="AO446" s="446"/>
      <c r="AP446" s="446"/>
      <c r="AQ446" s="446"/>
      <c r="AR446" s="446"/>
      <c r="AS446" s="446"/>
      <c r="AT446" s="72"/>
      <c r="AU446" s="72"/>
      <c r="AV446" s="72"/>
      <c r="AW446" s="72"/>
      <c r="AX446" s="72"/>
      <c r="AY446" s="72"/>
      <c r="AZ446" s="72"/>
      <c r="BA446" s="72"/>
      <c r="BB446" s="72"/>
      <c r="BC446" s="72"/>
      <c r="BD446" s="72"/>
      <c r="BE446" s="72"/>
      <c r="BF446" s="72"/>
    </row>
    <row r="447" spans="3:58">
      <c r="C447" s="452"/>
      <c r="Q447" s="452"/>
      <c r="R447" s="452"/>
      <c r="S447" s="452"/>
      <c r="T447" s="452"/>
      <c r="U447" s="452"/>
      <c r="V447" s="452"/>
      <c r="W447" s="452"/>
      <c r="X447" s="452"/>
      <c r="Y447" s="452"/>
      <c r="Z447" s="452"/>
      <c r="AA447" s="452"/>
      <c r="AB447" s="453"/>
      <c r="AC447" s="453"/>
      <c r="AD447" s="453"/>
      <c r="AE447" s="453"/>
      <c r="AF447" s="452"/>
      <c r="AG447" s="452"/>
      <c r="AH447" s="452"/>
      <c r="AI447" s="452"/>
      <c r="AJ447" s="452"/>
      <c r="AK447" s="452"/>
      <c r="AL447" s="452"/>
      <c r="AM447" s="452"/>
      <c r="AN447" s="452"/>
      <c r="AO447" s="446"/>
      <c r="AP447" s="446"/>
      <c r="AQ447" s="446"/>
      <c r="AR447" s="446"/>
      <c r="AS447" s="446"/>
      <c r="AT447" s="72"/>
      <c r="AU447" s="72"/>
      <c r="AV447" s="72"/>
      <c r="AW447" s="72"/>
      <c r="AX447" s="72"/>
      <c r="AY447" s="72"/>
      <c r="AZ447" s="72"/>
      <c r="BA447" s="72"/>
      <c r="BB447" s="72"/>
      <c r="BC447" s="72"/>
      <c r="BD447" s="72"/>
      <c r="BE447" s="72"/>
      <c r="BF447" s="72"/>
    </row>
    <row r="448" spans="3:58">
      <c r="C448" s="452"/>
      <c r="Q448" s="452"/>
      <c r="R448" s="452"/>
      <c r="S448" s="452"/>
      <c r="T448" s="452"/>
      <c r="U448" s="452"/>
      <c r="V448" s="452"/>
      <c r="W448" s="452"/>
      <c r="X448" s="452"/>
      <c r="Y448" s="452"/>
      <c r="Z448" s="452"/>
      <c r="AA448" s="452"/>
      <c r="AB448" s="453"/>
      <c r="AC448" s="453"/>
      <c r="AD448" s="453"/>
      <c r="AE448" s="453"/>
      <c r="AF448" s="452"/>
      <c r="AG448" s="452"/>
      <c r="AH448" s="452"/>
      <c r="AI448" s="452"/>
      <c r="AJ448" s="452"/>
      <c r="AK448" s="452"/>
      <c r="AL448" s="452"/>
      <c r="AM448" s="452"/>
      <c r="AN448" s="452"/>
      <c r="AO448" s="446"/>
      <c r="AP448" s="446"/>
      <c r="AQ448" s="446"/>
      <c r="AR448" s="446"/>
      <c r="AS448" s="446"/>
      <c r="AT448" s="72"/>
      <c r="AU448" s="72"/>
      <c r="AV448" s="72"/>
      <c r="AW448" s="72"/>
      <c r="AX448" s="72"/>
      <c r="AY448" s="72"/>
      <c r="AZ448" s="72"/>
      <c r="BA448" s="72"/>
      <c r="BB448" s="72"/>
      <c r="BC448" s="72"/>
      <c r="BD448" s="72"/>
      <c r="BE448" s="72"/>
      <c r="BF448" s="72"/>
    </row>
    <row r="449" spans="3:58">
      <c r="C449" s="452"/>
      <c r="Q449" s="452"/>
      <c r="R449" s="452"/>
      <c r="S449" s="452"/>
      <c r="T449" s="452"/>
      <c r="U449" s="452"/>
      <c r="V449" s="452"/>
      <c r="W449" s="452"/>
      <c r="X449" s="452"/>
      <c r="Y449" s="452"/>
      <c r="Z449" s="452"/>
      <c r="AA449" s="452"/>
      <c r="AB449" s="453"/>
      <c r="AC449" s="453"/>
      <c r="AD449" s="453"/>
      <c r="AE449" s="453"/>
      <c r="AF449" s="452"/>
      <c r="AG449" s="452"/>
      <c r="AH449" s="452"/>
      <c r="AI449" s="452"/>
      <c r="AJ449" s="452"/>
      <c r="AK449" s="452"/>
      <c r="AL449" s="452"/>
      <c r="AM449" s="452"/>
      <c r="AN449" s="452"/>
      <c r="AO449" s="446"/>
      <c r="AP449" s="446"/>
      <c r="AQ449" s="446"/>
      <c r="AR449" s="446"/>
      <c r="AS449" s="446"/>
      <c r="AT449" s="72"/>
      <c r="AU449" s="72"/>
      <c r="AV449" s="72"/>
      <c r="AW449" s="72"/>
      <c r="AX449" s="72"/>
      <c r="AY449" s="72"/>
      <c r="AZ449" s="72"/>
      <c r="BA449" s="72"/>
      <c r="BB449" s="72"/>
      <c r="BC449" s="72"/>
      <c r="BD449" s="72"/>
      <c r="BE449" s="72"/>
      <c r="BF449" s="72"/>
    </row>
    <row r="450" spans="3:58">
      <c r="C450" s="452"/>
      <c r="Q450" s="452"/>
      <c r="R450" s="452"/>
      <c r="S450" s="452"/>
      <c r="T450" s="452"/>
      <c r="U450" s="452"/>
      <c r="V450" s="452"/>
      <c r="W450" s="452"/>
      <c r="X450" s="452"/>
      <c r="Y450" s="452"/>
      <c r="Z450" s="452"/>
      <c r="AA450" s="452"/>
      <c r="AB450" s="453"/>
      <c r="AC450" s="453"/>
      <c r="AD450" s="453"/>
      <c r="AE450" s="453"/>
      <c r="AF450" s="452"/>
      <c r="AG450" s="452"/>
      <c r="AH450" s="452"/>
      <c r="AI450" s="452"/>
      <c r="AJ450" s="452"/>
      <c r="AK450" s="452"/>
      <c r="AL450" s="452"/>
      <c r="AM450" s="452"/>
      <c r="AN450" s="452"/>
      <c r="AO450" s="446"/>
      <c r="AP450" s="446"/>
      <c r="AQ450" s="446"/>
      <c r="AR450" s="446"/>
      <c r="AS450" s="446"/>
      <c r="AT450" s="72"/>
      <c r="AU450" s="72"/>
      <c r="AV450" s="72"/>
      <c r="AW450" s="72"/>
      <c r="AX450" s="72"/>
      <c r="AY450" s="72"/>
      <c r="AZ450" s="72"/>
      <c r="BA450" s="72"/>
      <c r="BB450" s="72"/>
      <c r="BC450" s="72"/>
      <c r="BD450" s="72"/>
      <c r="BE450" s="72"/>
      <c r="BF450" s="72"/>
    </row>
    <row r="451" spans="3:58">
      <c r="C451" s="452"/>
      <c r="Q451" s="452"/>
      <c r="R451" s="452"/>
      <c r="S451" s="452"/>
      <c r="T451" s="452"/>
      <c r="U451" s="452"/>
      <c r="V451" s="452"/>
      <c r="W451" s="452"/>
      <c r="X451" s="452"/>
      <c r="Y451" s="452"/>
      <c r="Z451" s="452"/>
      <c r="AA451" s="452"/>
      <c r="AB451" s="453"/>
      <c r="AC451" s="453"/>
      <c r="AD451" s="453"/>
      <c r="AE451" s="453"/>
      <c r="AF451" s="452"/>
      <c r="AG451" s="452"/>
      <c r="AH451" s="452"/>
      <c r="AI451" s="452"/>
      <c r="AJ451" s="452"/>
      <c r="AK451" s="452"/>
      <c r="AL451" s="452"/>
      <c r="AM451" s="452"/>
      <c r="AN451" s="452"/>
      <c r="AO451" s="446"/>
      <c r="AP451" s="446"/>
      <c r="AQ451" s="446"/>
      <c r="AR451" s="446"/>
      <c r="AS451" s="446"/>
      <c r="AT451" s="72"/>
      <c r="AU451" s="72"/>
      <c r="AV451" s="72"/>
      <c r="AW451" s="72"/>
      <c r="AX451" s="72"/>
      <c r="AY451" s="72"/>
      <c r="AZ451" s="72"/>
      <c r="BA451" s="72"/>
      <c r="BB451" s="72"/>
      <c r="BC451" s="72"/>
      <c r="BD451" s="72"/>
      <c r="BE451" s="72"/>
      <c r="BF451" s="72"/>
    </row>
    <row r="452" spans="3:58">
      <c r="C452" s="452"/>
      <c r="Q452" s="452"/>
      <c r="R452" s="452"/>
      <c r="S452" s="452"/>
      <c r="T452" s="452"/>
      <c r="U452" s="452"/>
      <c r="V452" s="452"/>
      <c r="W452" s="452"/>
      <c r="X452" s="452"/>
      <c r="Y452" s="452"/>
      <c r="Z452" s="452"/>
      <c r="AA452" s="452"/>
      <c r="AB452" s="453"/>
      <c r="AC452" s="453"/>
      <c r="AD452" s="453"/>
      <c r="AE452" s="453"/>
      <c r="AF452" s="452"/>
      <c r="AG452" s="452"/>
      <c r="AH452" s="452"/>
      <c r="AI452" s="452"/>
      <c r="AJ452" s="452"/>
      <c r="AK452" s="452"/>
      <c r="AL452" s="452"/>
      <c r="AM452" s="452"/>
      <c r="AN452" s="452"/>
      <c r="AO452" s="446"/>
      <c r="AP452" s="446"/>
      <c r="AQ452" s="446"/>
      <c r="AR452" s="446"/>
      <c r="AS452" s="446"/>
      <c r="AT452" s="72"/>
      <c r="AU452" s="72"/>
      <c r="AV452" s="72"/>
      <c r="AW452" s="72"/>
      <c r="AX452" s="72"/>
      <c r="AY452" s="72"/>
      <c r="AZ452" s="72"/>
      <c r="BA452" s="72"/>
      <c r="BB452" s="72"/>
      <c r="BC452" s="72"/>
      <c r="BD452" s="72"/>
      <c r="BE452" s="72"/>
      <c r="BF452" s="72"/>
    </row>
    <row r="453" spans="3:58">
      <c r="C453" s="452"/>
      <c r="Q453" s="452"/>
      <c r="R453" s="452"/>
      <c r="S453" s="452"/>
      <c r="T453" s="452"/>
      <c r="U453" s="452"/>
      <c r="V453" s="452"/>
      <c r="W453" s="452"/>
      <c r="X453" s="452"/>
      <c r="Y453" s="452"/>
      <c r="Z453" s="452"/>
      <c r="AA453" s="452"/>
      <c r="AB453" s="453"/>
      <c r="AC453" s="453"/>
      <c r="AD453" s="453"/>
      <c r="AE453" s="453"/>
      <c r="AF453" s="452"/>
      <c r="AG453" s="452"/>
      <c r="AH453" s="452"/>
      <c r="AI453" s="452"/>
      <c r="AJ453" s="452"/>
      <c r="AK453" s="452"/>
      <c r="AL453" s="452"/>
      <c r="AM453" s="452"/>
      <c r="AN453" s="452"/>
      <c r="AO453" s="446"/>
      <c r="AP453" s="446"/>
      <c r="AQ453" s="446"/>
      <c r="AR453" s="446"/>
      <c r="AS453" s="446"/>
      <c r="AT453" s="72"/>
      <c r="AU453" s="72"/>
      <c r="AV453" s="72"/>
      <c r="AW453" s="72"/>
      <c r="AX453" s="72"/>
      <c r="AY453" s="72"/>
      <c r="AZ453" s="72"/>
      <c r="BA453" s="72"/>
      <c r="BB453" s="72"/>
      <c r="BC453" s="72"/>
      <c r="BD453" s="72"/>
      <c r="BE453" s="72"/>
      <c r="BF453" s="72"/>
    </row>
    <row r="454" spans="3:58">
      <c r="C454" s="452"/>
      <c r="Q454" s="452"/>
      <c r="R454" s="452"/>
      <c r="S454" s="452"/>
      <c r="T454" s="452"/>
      <c r="U454" s="452"/>
      <c r="V454" s="452"/>
      <c r="W454" s="452"/>
      <c r="X454" s="452"/>
      <c r="Y454" s="452"/>
      <c r="Z454" s="452"/>
      <c r="AA454" s="452"/>
      <c r="AB454" s="453"/>
      <c r="AC454" s="453"/>
      <c r="AD454" s="453"/>
      <c r="AE454" s="453"/>
      <c r="AF454" s="452"/>
      <c r="AG454" s="452"/>
      <c r="AH454" s="452"/>
      <c r="AI454" s="452"/>
      <c r="AJ454" s="452"/>
      <c r="AK454" s="452"/>
      <c r="AL454" s="452"/>
      <c r="AM454" s="452"/>
      <c r="AN454" s="452"/>
      <c r="AO454" s="446"/>
      <c r="AP454" s="446"/>
      <c r="AQ454" s="446"/>
      <c r="AR454" s="446"/>
      <c r="AS454" s="446"/>
      <c r="AT454" s="72"/>
      <c r="AU454" s="72"/>
      <c r="AV454" s="72"/>
      <c r="AW454" s="72"/>
      <c r="AX454" s="72"/>
      <c r="AY454" s="72"/>
      <c r="AZ454" s="72"/>
      <c r="BA454" s="72"/>
      <c r="BB454" s="72"/>
      <c r="BC454" s="72"/>
      <c r="BD454" s="72"/>
      <c r="BE454" s="72"/>
      <c r="BF454" s="72"/>
    </row>
    <row r="455" spans="3:58">
      <c r="C455" s="452"/>
      <c r="Q455" s="452"/>
      <c r="R455" s="452"/>
      <c r="S455" s="452"/>
      <c r="T455" s="452"/>
      <c r="U455" s="452"/>
      <c r="V455" s="452"/>
      <c r="W455" s="452"/>
      <c r="X455" s="452"/>
      <c r="Y455" s="452"/>
      <c r="Z455" s="452"/>
      <c r="AA455" s="452"/>
      <c r="AB455" s="453"/>
      <c r="AC455" s="453"/>
      <c r="AD455" s="453"/>
      <c r="AE455" s="453"/>
      <c r="AF455" s="452"/>
      <c r="AG455" s="452"/>
      <c r="AH455" s="452"/>
      <c r="AI455" s="452"/>
      <c r="AJ455" s="452"/>
      <c r="AK455" s="452"/>
      <c r="AL455" s="452"/>
      <c r="AM455" s="452"/>
      <c r="AN455" s="452"/>
      <c r="AO455" s="446"/>
      <c r="AP455" s="446"/>
      <c r="AQ455" s="446"/>
      <c r="AR455" s="446"/>
      <c r="AS455" s="446"/>
      <c r="AT455" s="72"/>
      <c r="AU455" s="72"/>
      <c r="AV455" s="72"/>
      <c r="AW455" s="72"/>
      <c r="AX455" s="72"/>
      <c r="AY455" s="72"/>
      <c r="AZ455" s="72"/>
      <c r="BA455" s="72"/>
      <c r="BB455" s="72"/>
      <c r="BC455" s="72"/>
      <c r="BD455" s="72"/>
      <c r="BE455" s="72"/>
      <c r="BF455" s="72"/>
    </row>
    <row r="456" spans="3:58">
      <c r="C456" s="452"/>
      <c r="Q456" s="452"/>
      <c r="R456" s="452"/>
      <c r="S456" s="452"/>
      <c r="T456" s="452"/>
      <c r="U456" s="452"/>
      <c r="V456" s="452"/>
      <c r="W456" s="452"/>
      <c r="X456" s="452"/>
      <c r="Y456" s="452"/>
      <c r="Z456" s="452"/>
      <c r="AA456" s="452"/>
      <c r="AB456" s="453"/>
      <c r="AC456" s="453"/>
      <c r="AD456" s="453"/>
      <c r="AE456" s="453"/>
      <c r="AF456" s="452"/>
      <c r="AG456" s="452"/>
      <c r="AH456" s="452"/>
      <c r="AI456" s="452"/>
      <c r="AJ456" s="452"/>
      <c r="AK456" s="452"/>
      <c r="AL456" s="452"/>
      <c r="AM456" s="452"/>
      <c r="AN456" s="452"/>
      <c r="AO456" s="446"/>
      <c r="AP456" s="446"/>
      <c r="AQ456" s="446"/>
      <c r="AR456" s="446"/>
      <c r="AS456" s="446"/>
      <c r="AT456" s="72"/>
      <c r="AU456" s="72"/>
      <c r="AV456" s="72"/>
      <c r="AW456" s="72"/>
      <c r="AX456" s="72"/>
      <c r="AY456" s="72"/>
      <c r="AZ456" s="72"/>
      <c r="BA456" s="72"/>
      <c r="BB456" s="72"/>
      <c r="BC456" s="72"/>
      <c r="BD456" s="72"/>
      <c r="BE456" s="72"/>
      <c r="BF456" s="72"/>
    </row>
    <row r="457" spans="3:58">
      <c r="C457" s="452"/>
      <c r="Q457" s="452"/>
      <c r="R457" s="452"/>
      <c r="S457" s="452"/>
      <c r="T457" s="452"/>
      <c r="U457" s="452"/>
      <c r="V457" s="452"/>
      <c r="W457" s="452"/>
      <c r="X457" s="452"/>
      <c r="Y457" s="452"/>
      <c r="Z457" s="452"/>
      <c r="AA457" s="452"/>
      <c r="AB457" s="453"/>
      <c r="AC457" s="453"/>
      <c r="AD457" s="453"/>
      <c r="AE457" s="453"/>
      <c r="AF457" s="452"/>
      <c r="AG457" s="452"/>
      <c r="AH457" s="452"/>
      <c r="AI457" s="452"/>
      <c r="AJ457" s="452"/>
      <c r="AK457" s="452"/>
      <c r="AL457" s="452"/>
      <c r="AM457" s="452"/>
      <c r="AN457" s="452"/>
      <c r="AO457" s="446"/>
      <c r="AP457" s="446"/>
      <c r="AQ457" s="446"/>
      <c r="AR457" s="446"/>
      <c r="AS457" s="446"/>
      <c r="AT457" s="72"/>
      <c r="AU457" s="72"/>
      <c r="AV457" s="72"/>
      <c r="AW457" s="72"/>
      <c r="AX457" s="72"/>
      <c r="AY457" s="72"/>
      <c r="AZ457" s="72"/>
      <c r="BA457" s="72"/>
      <c r="BB457" s="72"/>
      <c r="BC457" s="72"/>
      <c r="BD457" s="72"/>
      <c r="BE457" s="72"/>
      <c r="BF457" s="72"/>
    </row>
    <row r="458" spans="3:58">
      <c r="C458" s="452"/>
      <c r="Q458" s="452"/>
      <c r="R458" s="452"/>
      <c r="S458" s="452"/>
      <c r="T458" s="452"/>
      <c r="U458" s="452"/>
      <c r="V458" s="452"/>
      <c r="W458" s="452"/>
      <c r="X458" s="452"/>
      <c r="Y458" s="452"/>
      <c r="Z458" s="452"/>
      <c r="AA458" s="452"/>
      <c r="AB458" s="453"/>
      <c r="AC458" s="453"/>
      <c r="AD458" s="453"/>
      <c r="AE458" s="453"/>
      <c r="AF458" s="452"/>
      <c r="AG458" s="452"/>
      <c r="AH458" s="452"/>
      <c r="AI458" s="452"/>
      <c r="AJ458" s="452"/>
      <c r="AK458" s="452"/>
      <c r="AL458" s="452"/>
      <c r="AM458" s="452"/>
      <c r="AN458" s="452"/>
      <c r="AO458" s="446"/>
      <c r="AP458" s="446"/>
      <c r="AQ458" s="446"/>
      <c r="AR458" s="446"/>
      <c r="AS458" s="446"/>
      <c r="AT458" s="72"/>
      <c r="AU458" s="72"/>
      <c r="AV458" s="72"/>
      <c r="AW458" s="72"/>
      <c r="AX458" s="72"/>
      <c r="AY458" s="72"/>
      <c r="AZ458" s="72"/>
      <c r="BA458" s="72"/>
      <c r="BB458" s="72"/>
      <c r="BC458" s="72"/>
      <c r="BD458" s="72"/>
      <c r="BE458" s="72"/>
      <c r="BF458" s="72"/>
    </row>
    <row r="459" spans="3:58">
      <c r="C459" s="452"/>
      <c r="Q459" s="452"/>
      <c r="R459" s="452"/>
      <c r="S459" s="452"/>
      <c r="T459" s="452"/>
      <c r="U459" s="452"/>
      <c r="V459" s="452"/>
      <c r="W459" s="452"/>
      <c r="X459" s="452"/>
      <c r="Y459" s="452"/>
      <c r="Z459" s="452"/>
      <c r="AA459" s="452"/>
      <c r="AB459" s="453"/>
      <c r="AC459" s="453"/>
      <c r="AD459" s="453"/>
      <c r="AE459" s="453"/>
      <c r="AF459" s="452"/>
      <c r="AG459" s="452"/>
      <c r="AH459" s="452"/>
      <c r="AI459" s="452"/>
      <c r="AJ459" s="452"/>
      <c r="AK459" s="452"/>
      <c r="AL459" s="452"/>
      <c r="AM459" s="452"/>
      <c r="AN459" s="452"/>
      <c r="AO459" s="446"/>
      <c r="AP459" s="446"/>
      <c r="AQ459" s="446"/>
      <c r="AR459" s="446"/>
      <c r="AS459" s="446"/>
      <c r="AT459" s="72"/>
      <c r="AU459" s="72"/>
      <c r="AV459" s="72"/>
      <c r="AW459" s="72"/>
      <c r="AX459" s="72"/>
      <c r="AY459" s="72"/>
      <c r="AZ459" s="72"/>
      <c r="BA459" s="72"/>
      <c r="BB459" s="72"/>
      <c r="BC459" s="72"/>
      <c r="BD459" s="72"/>
      <c r="BE459" s="72"/>
      <c r="BF459" s="72"/>
    </row>
    <row r="460" spans="3:58">
      <c r="C460" s="452"/>
      <c r="Q460" s="452"/>
      <c r="R460" s="452"/>
      <c r="S460" s="452"/>
      <c r="T460" s="452"/>
      <c r="U460" s="452"/>
      <c r="V460" s="452"/>
      <c r="W460" s="452"/>
      <c r="X460" s="452"/>
      <c r="Y460" s="452"/>
      <c r="Z460" s="452"/>
      <c r="AA460" s="452"/>
      <c r="AB460" s="453"/>
      <c r="AC460" s="453"/>
      <c r="AD460" s="453"/>
      <c r="AE460" s="453"/>
      <c r="AF460" s="452"/>
      <c r="AG460" s="452"/>
      <c r="AH460" s="452"/>
      <c r="AI460" s="452"/>
      <c r="AJ460" s="452"/>
      <c r="AK460" s="452"/>
      <c r="AL460" s="452"/>
      <c r="AM460" s="452"/>
      <c r="AN460" s="452"/>
      <c r="AO460" s="446"/>
      <c r="AP460" s="446"/>
      <c r="AQ460" s="446"/>
      <c r="AR460" s="446"/>
      <c r="AS460" s="446"/>
      <c r="AT460" s="72"/>
      <c r="AU460" s="72"/>
      <c r="AV460" s="72"/>
      <c r="AW460" s="72"/>
      <c r="AX460" s="72"/>
      <c r="AY460" s="72"/>
      <c r="AZ460" s="72"/>
      <c r="BA460" s="72"/>
      <c r="BB460" s="72"/>
      <c r="BC460" s="72"/>
      <c r="BD460" s="72"/>
      <c r="BE460" s="72"/>
      <c r="BF460" s="72"/>
    </row>
    <row r="461" spans="3:58">
      <c r="C461" s="452"/>
      <c r="Q461" s="452"/>
      <c r="R461" s="452"/>
      <c r="S461" s="452"/>
      <c r="T461" s="452"/>
      <c r="U461" s="452"/>
      <c r="V461" s="452"/>
      <c r="W461" s="452"/>
      <c r="X461" s="452"/>
      <c r="Y461" s="452"/>
      <c r="Z461" s="452"/>
      <c r="AA461" s="452"/>
      <c r="AB461" s="453"/>
      <c r="AC461" s="453"/>
      <c r="AD461" s="453"/>
      <c r="AE461" s="453"/>
      <c r="AF461" s="452"/>
      <c r="AG461" s="452"/>
      <c r="AH461" s="452"/>
      <c r="AI461" s="452"/>
      <c r="AJ461" s="452"/>
      <c r="AK461" s="452"/>
      <c r="AL461" s="452"/>
      <c r="AM461" s="452"/>
      <c r="AN461" s="452"/>
      <c r="AO461" s="446"/>
      <c r="AP461" s="446"/>
      <c r="AQ461" s="446"/>
      <c r="AR461" s="446"/>
      <c r="AS461" s="446"/>
      <c r="AT461" s="72"/>
      <c r="AU461" s="72"/>
      <c r="AV461" s="72"/>
      <c r="AW461" s="72"/>
      <c r="AX461" s="72"/>
      <c r="AY461" s="72"/>
      <c r="AZ461" s="72"/>
      <c r="BA461" s="72"/>
      <c r="BB461" s="72"/>
      <c r="BC461" s="72"/>
      <c r="BD461" s="72"/>
      <c r="BE461" s="72"/>
      <c r="BF461" s="72"/>
    </row>
    <row r="462" spans="3:58">
      <c r="C462" s="452"/>
      <c r="Q462" s="452"/>
      <c r="R462" s="452"/>
      <c r="S462" s="452"/>
      <c r="T462" s="452"/>
      <c r="U462" s="452"/>
      <c r="V462" s="452"/>
      <c r="W462" s="452"/>
      <c r="X462" s="452"/>
      <c r="Y462" s="452"/>
      <c r="Z462" s="452"/>
      <c r="AA462" s="452"/>
      <c r="AB462" s="453"/>
      <c r="AC462" s="453"/>
      <c r="AD462" s="453"/>
      <c r="AE462" s="453"/>
      <c r="AF462" s="452"/>
      <c r="AG462" s="452"/>
      <c r="AH462" s="452"/>
      <c r="AI462" s="452"/>
      <c r="AJ462" s="452"/>
      <c r="AK462" s="452"/>
      <c r="AL462" s="452"/>
      <c r="AM462" s="452"/>
      <c r="AN462" s="452"/>
      <c r="AO462" s="446"/>
      <c r="AP462" s="446"/>
      <c r="AQ462" s="446"/>
      <c r="AR462" s="446"/>
      <c r="AS462" s="446"/>
      <c r="AT462" s="72"/>
      <c r="AU462" s="72"/>
      <c r="AV462" s="72"/>
      <c r="AW462" s="72"/>
      <c r="AX462" s="72"/>
      <c r="AY462" s="72"/>
      <c r="AZ462" s="72"/>
      <c r="BA462" s="72"/>
      <c r="BB462" s="72"/>
      <c r="BC462" s="72"/>
      <c r="BD462" s="72"/>
      <c r="BE462" s="72"/>
      <c r="BF462" s="72"/>
    </row>
    <row r="463" spans="3:58">
      <c r="C463" s="452"/>
      <c r="Q463" s="452"/>
      <c r="R463" s="452"/>
      <c r="S463" s="452"/>
      <c r="T463" s="452"/>
      <c r="U463" s="452"/>
      <c r="V463" s="452"/>
      <c r="W463" s="452"/>
      <c r="X463" s="452"/>
      <c r="Y463" s="452"/>
      <c r="Z463" s="452"/>
      <c r="AA463" s="452"/>
      <c r="AB463" s="453"/>
      <c r="AC463" s="453"/>
      <c r="AD463" s="453"/>
      <c r="AE463" s="453"/>
      <c r="AF463" s="452"/>
      <c r="AG463" s="452"/>
      <c r="AH463" s="452"/>
      <c r="AI463" s="452"/>
      <c r="AJ463" s="452"/>
      <c r="AK463" s="452"/>
      <c r="AL463" s="452"/>
      <c r="AM463" s="452"/>
      <c r="AN463" s="452"/>
      <c r="AO463" s="446"/>
      <c r="AP463" s="446"/>
      <c r="AQ463" s="446"/>
      <c r="AR463" s="446"/>
      <c r="AS463" s="446"/>
      <c r="AT463" s="72"/>
      <c r="AU463" s="72"/>
      <c r="AV463" s="72"/>
      <c r="AW463" s="72"/>
      <c r="AX463" s="72"/>
      <c r="AY463" s="72"/>
      <c r="AZ463" s="72"/>
      <c r="BA463" s="72"/>
      <c r="BB463" s="72"/>
      <c r="BC463" s="72"/>
      <c r="BD463" s="72"/>
      <c r="BE463" s="72"/>
      <c r="BF463" s="72"/>
    </row>
    <row r="464" spans="3:58">
      <c r="C464" s="452"/>
      <c r="Q464" s="452"/>
      <c r="R464" s="452"/>
      <c r="S464" s="452"/>
      <c r="T464" s="452"/>
      <c r="U464" s="452"/>
      <c r="V464" s="452"/>
      <c r="W464" s="452"/>
      <c r="X464" s="452"/>
      <c r="Y464" s="452"/>
      <c r="Z464" s="452"/>
      <c r="AA464" s="452"/>
      <c r="AB464" s="453"/>
      <c r="AC464" s="453"/>
      <c r="AD464" s="453"/>
      <c r="AE464" s="453"/>
      <c r="AF464" s="452"/>
      <c r="AG464" s="452"/>
      <c r="AH464" s="452"/>
      <c r="AI464" s="452"/>
      <c r="AJ464" s="452"/>
      <c r="AK464" s="452"/>
      <c r="AL464" s="452"/>
      <c r="AM464" s="452"/>
      <c r="AN464" s="452"/>
      <c r="AO464" s="446"/>
      <c r="AP464" s="446"/>
      <c r="AQ464" s="446"/>
      <c r="AR464" s="446"/>
      <c r="AS464" s="446"/>
      <c r="AT464" s="72"/>
      <c r="AU464" s="72"/>
      <c r="AV464" s="72"/>
      <c r="AW464" s="72"/>
      <c r="AX464" s="72"/>
      <c r="AY464" s="72"/>
      <c r="AZ464" s="72"/>
      <c r="BA464" s="72"/>
      <c r="BB464" s="72"/>
      <c r="BC464" s="72"/>
      <c r="BD464" s="72"/>
      <c r="BE464" s="72"/>
      <c r="BF464" s="72"/>
    </row>
    <row r="465" spans="3:58">
      <c r="C465" s="452"/>
      <c r="Q465" s="452"/>
      <c r="R465" s="452"/>
      <c r="S465" s="452"/>
      <c r="T465" s="452"/>
      <c r="U465" s="452"/>
      <c r="V465" s="452"/>
      <c r="W465" s="452"/>
      <c r="X465" s="452"/>
      <c r="Y465" s="452"/>
      <c r="Z465" s="452"/>
      <c r="AA465" s="452"/>
      <c r="AB465" s="453"/>
      <c r="AC465" s="453"/>
      <c r="AD465" s="453"/>
      <c r="AE465" s="453"/>
      <c r="AF465" s="452"/>
      <c r="AG465" s="452"/>
      <c r="AH465" s="452"/>
      <c r="AI465" s="452"/>
      <c r="AJ465" s="452"/>
      <c r="AK465" s="452"/>
      <c r="AL465" s="452"/>
      <c r="AM465" s="452"/>
      <c r="AN465" s="452"/>
      <c r="AO465" s="446"/>
      <c r="AP465" s="446"/>
      <c r="AQ465" s="446"/>
      <c r="AR465" s="446"/>
      <c r="AS465" s="446"/>
      <c r="AT465" s="72"/>
      <c r="AU465" s="72"/>
      <c r="AV465" s="72"/>
      <c r="AW465" s="72"/>
      <c r="AX465" s="72"/>
      <c r="AY465" s="72"/>
      <c r="AZ465" s="72"/>
      <c r="BA465" s="72"/>
      <c r="BB465" s="72"/>
      <c r="BC465" s="72"/>
      <c r="BD465" s="72"/>
      <c r="BE465" s="72"/>
      <c r="BF465" s="72"/>
    </row>
    <row r="466" spans="3:58">
      <c r="C466" s="452"/>
      <c r="Q466" s="452"/>
      <c r="R466" s="452"/>
      <c r="S466" s="452"/>
      <c r="T466" s="452"/>
      <c r="U466" s="452"/>
      <c r="V466" s="452"/>
      <c r="W466" s="452"/>
      <c r="X466" s="452"/>
      <c r="Y466" s="452"/>
      <c r="Z466" s="452"/>
      <c r="AA466" s="452"/>
      <c r="AB466" s="453"/>
      <c r="AC466" s="453"/>
      <c r="AD466" s="453"/>
      <c r="AE466" s="453"/>
      <c r="AF466" s="452"/>
      <c r="AG466" s="452"/>
      <c r="AH466" s="452"/>
      <c r="AI466" s="452"/>
      <c r="AJ466" s="452"/>
      <c r="AK466" s="452"/>
      <c r="AL466" s="452"/>
      <c r="AM466" s="452"/>
      <c r="AN466" s="452"/>
      <c r="AO466" s="446"/>
      <c r="AP466" s="446"/>
      <c r="AQ466" s="446"/>
      <c r="AR466" s="446"/>
      <c r="AS466" s="446"/>
      <c r="AT466" s="72"/>
      <c r="AU466" s="72"/>
      <c r="AV466" s="72"/>
      <c r="AW466" s="72"/>
      <c r="AX466" s="72"/>
      <c r="AY466" s="72"/>
      <c r="AZ466" s="72"/>
      <c r="BA466" s="72"/>
      <c r="BB466" s="72"/>
      <c r="BC466" s="72"/>
      <c r="BD466" s="72"/>
      <c r="BE466" s="72"/>
      <c r="BF466" s="72"/>
    </row>
    <row r="467" spans="3:58">
      <c r="C467" s="452"/>
      <c r="Q467" s="452"/>
      <c r="R467" s="452"/>
      <c r="S467" s="452"/>
      <c r="T467" s="452"/>
      <c r="U467" s="452"/>
      <c r="V467" s="452"/>
      <c r="W467" s="452"/>
      <c r="X467" s="452"/>
      <c r="Y467" s="452"/>
      <c r="Z467" s="452"/>
      <c r="AA467" s="452"/>
      <c r="AB467" s="453"/>
      <c r="AC467" s="453"/>
      <c r="AD467" s="453"/>
      <c r="AE467" s="453"/>
      <c r="AF467" s="452"/>
      <c r="AG467" s="452"/>
      <c r="AH467" s="452"/>
      <c r="AI467" s="452"/>
      <c r="AJ467" s="452"/>
      <c r="AK467" s="452"/>
      <c r="AL467" s="452"/>
      <c r="AM467" s="452"/>
      <c r="AN467" s="452"/>
      <c r="AO467" s="446"/>
      <c r="AP467" s="446"/>
      <c r="AQ467" s="446"/>
      <c r="AR467" s="446"/>
      <c r="AS467" s="446"/>
      <c r="AT467" s="72"/>
      <c r="AU467" s="72"/>
      <c r="AV467" s="72"/>
      <c r="AW467" s="72"/>
      <c r="AX467" s="72"/>
      <c r="AY467" s="72"/>
      <c r="AZ467" s="72"/>
      <c r="BA467" s="72"/>
      <c r="BB467" s="72"/>
      <c r="BC467" s="72"/>
      <c r="BD467" s="72"/>
      <c r="BE467" s="72"/>
      <c r="BF467" s="72"/>
    </row>
    <row r="468" spans="3:58">
      <c r="C468" s="452"/>
      <c r="Q468" s="452"/>
      <c r="R468" s="452"/>
      <c r="S468" s="452"/>
      <c r="T468" s="452"/>
      <c r="U468" s="452"/>
      <c r="V468" s="452"/>
      <c r="W468" s="452"/>
      <c r="X468" s="452"/>
      <c r="Y468" s="452"/>
      <c r="Z468" s="452"/>
      <c r="AA468" s="452"/>
      <c r="AB468" s="453"/>
      <c r="AC468" s="453"/>
      <c r="AD468" s="453"/>
      <c r="AE468" s="453"/>
      <c r="AF468" s="452"/>
      <c r="AG468" s="452"/>
      <c r="AH468" s="452"/>
      <c r="AI468" s="452"/>
      <c r="AJ468" s="452"/>
      <c r="AK468" s="452"/>
      <c r="AL468" s="452"/>
      <c r="AM468" s="452"/>
      <c r="AN468" s="452"/>
      <c r="AO468" s="446"/>
      <c r="AP468" s="446"/>
      <c r="AQ468" s="446"/>
      <c r="AR468" s="446"/>
      <c r="AS468" s="446"/>
      <c r="AT468" s="72"/>
      <c r="AU468" s="72"/>
      <c r="AV468" s="72"/>
      <c r="AW468" s="72"/>
      <c r="AX468" s="72"/>
      <c r="AY468" s="72"/>
      <c r="AZ468" s="72"/>
      <c r="BA468" s="72"/>
      <c r="BB468" s="72"/>
      <c r="BC468" s="72"/>
      <c r="BD468" s="72"/>
      <c r="BE468" s="72"/>
      <c r="BF468" s="72"/>
    </row>
    <row r="469" spans="3:58">
      <c r="C469" s="452"/>
      <c r="Q469" s="452"/>
      <c r="R469" s="452"/>
      <c r="S469" s="452"/>
      <c r="T469" s="452"/>
      <c r="U469" s="452"/>
      <c r="V469" s="452"/>
      <c r="W469" s="452"/>
      <c r="X469" s="452"/>
      <c r="Y469" s="452"/>
      <c r="Z469" s="452"/>
      <c r="AA469" s="452"/>
      <c r="AB469" s="453"/>
      <c r="AC469" s="453"/>
      <c r="AD469" s="453"/>
      <c r="AE469" s="453"/>
      <c r="AF469" s="452"/>
      <c r="AG469" s="452"/>
      <c r="AH469" s="452"/>
      <c r="AI469" s="452"/>
      <c r="AJ469" s="452"/>
      <c r="AK469" s="452"/>
      <c r="AL469" s="452"/>
      <c r="AM469" s="452"/>
      <c r="AN469" s="452"/>
      <c r="AO469" s="446"/>
      <c r="AP469" s="446"/>
      <c r="AQ469" s="446"/>
      <c r="AR469" s="446"/>
      <c r="AS469" s="446"/>
      <c r="AT469" s="72"/>
      <c r="AU469" s="72"/>
      <c r="AV469" s="72"/>
      <c r="AW469" s="72"/>
      <c r="AX469" s="72"/>
      <c r="AY469" s="72"/>
      <c r="AZ469" s="72"/>
      <c r="BA469" s="72"/>
      <c r="BB469" s="72"/>
      <c r="BC469" s="72"/>
      <c r="BD469" s="72"/>
      <c r="BE469" s="72"/>
      <c r="BF469" s="72"/>
    </row>
    <row r="470" spans="3:58">
      <c r="C470" s="452"/>
      <c r="Q470" s="452"/>
      <c r="R470" s="452"/>
      <c r="S470" s="452"/>
      <c r="T470" s="452"/>
      <c r="U470" s="452"/>
      <c r="V470" s="452"/>
      <c r="W470" s="452"/>
      <c r="X470" s="452"/>
      <c r="Y470" s="452"/>
      <c r="Z470" s="452"/>
      <c r="AA470" s="452"/>
      <c r="AB470" s="453"/>
      <c r="AC470" s="453"/>
      <c r="AD470" s="453"/>
      <c r="AE470" s="453"/>
      <c r="AF470" s="452"/>
      <c r="AG470" s="452"/>
      <c r="AH470" s="452"/>
      <c r="AI470" s="452"/>
      <c r="AJ470" s="452"/>
      <c r="AK470" s="452"/>
      <c r="AL470" s="452"/>
      <c r="AM470" s="452"/>
      <c r="AN470" s="452"/>
      <c r="AO470" s="446"/>
      <c r="AP470" s="446"/>
      <c r="AQ470" s="446"/>
      <c r="AR470" s="446"/>
      <c r="AS470" s="446"/>
      <c r="AT470" s="72"/>
      <c r="AU470" s="72"/>
      <c r="AV470" s="72"/>
      <c r="AW470" s="72"/>
      <c r="AX470" s="72"/>
      <c r="AY470" s="72"/>
      <c r="AZ470" s="72"/>
      <c r="BA470" s="72"/>
      <c r="BB470" s="72"/>
      <c r="BC470" s="72"/>
      <c r="BD470" s="72"/>
      <c r="BE470" s="72"/>
      <c r="BF470" s="72"/>
    </row>
    <row r="471" spans="3:58">
      <c r="C471" s="452"/>
      <c r="Q471" s="452"/>
      <c r="R471" s="452"/>
      <c r="S471" s="452"/>
      <c r="T471" s="452"/>
      <c r="U471" s="452"/>
      <c r="V471" s="452"/>
      <c r="W471" s="452"/>
      <c r="X471" s="452"/>
      <c r="Y471" s="452"/>
      <c r="Z471" s="452"/>
      <c r="AA471" s="452"/>
      <c r="AB471" s="453"/>
      <c r="AC471" s="453"/>
      <c r="AD471" s="453"/>
      <c r="AE471" s="453"/>
      <c r="AF471" s="452"/>
      <c r="AG471" s="452"/>
      <c r="AH471" s="452"/>
      <c r="AI471" s="452"/>
      <c r="AJ471" s="452"/>
      <c r="AK471" s="452"/>
      <c r="AL471" s="452"/>
      <c r="AM471" s="452"/>
      <c r="AN471" s="452"/>
      <c r="AO471" s="446"/>
      <c r="AP471" s="446"/>
      <c r="AQ471" s="446"/>
      <c r="AR471" s="446"/>
      <c r="AS471" s="446"/>
      <c r="AT471" s="72"/>
      <c r="AU471" s="72"/>
      <c r="AV471" s="72"/>
      <c r="AW471" s="72"/>
      <c r="AX471" s="72"/>
      <c r="AY471" s="72"/>
      <c r="AZ471" s="72"/>
      <c r="BA471" s="72"/>
      <c r="BB471" s="72"/>
      <c r="BC471" s="72"/>
      <c r="BD471" s="72"/>
      <c r="BE471" s="72"/>
      <c r="BF471" s="72"/>
    </row>
    <row r="472" spans="3:58">
      <c r="C472" s="452"/>
      <c r="Q472" s="452"/>
      <c r="R472" s="452"/>
      <c r="S472" s="452"/>
      <c r="T472" s="452"/>
      <c r="U472" s="452"/>
      <c r="V472" s="452"/>
      <c r="W472" s="452"/>
      <c r="X472" s="452"/>
      <c r="Y472" s="452"/>
      <c r="Z472" s="452"/>
      <c r="AA472" s="452"/>
      <c r="AB472" s="453"/>
      <c r="AC472" s="453"/>
      <c r="AD472" s="453"/>
      <c r="AE472" s="453"/>
      <c r="AF472" s="452"/>
      <c r="AG472" s="452"/>
      <c r="AH472" s="452"/>
      <c r="AI472" s="452"/>
      <c r="AJ472" s="452"/>
      <c r="AK472" s="452"/>
      <c r="AL472" s="452"/>
      <c r="AM472" s="452"/>
      <c r="AN472" s="452"/>
      <c r="AO472" s="446"/>
      <c r="AP472" s="446"/>
      <c r="AQ472" s="446"/>
      <c r="AR472" s="446"/>
      <c r="AS472" s="446"/>
      <c r="AT472" s="72"/>
      <c r="AU472" s="72"/>
      <c r="AV472" s="72"/>
      <c r="AW472" s="72"/>
      <c r="AX472" s="72"/>
      <c r="AY472" s="72"/>
      <c r="AZ472" s="72"/>
      <c r="BA472" s="72"/>
      <c r="BB472" s="72"/>
      <c r="BC472" s="72"/>
      <c r="BD472" s="72"/>
      <c r="BE472" s="72"/>
      <c r="BF472" s="72"/>
    </row>
    <row r="473" spans="3:58">
      <c r="C473" s="452"/>
      <c r="Q473" s="452"/>
      <c r="R473" s="452"/>
      <c r="S473" s="452"/>
      <c r="T473" s="452"/>
      <c r="U473" s="452"/>
      <c r="V473" s="452"/>
      <c r="W473" s="452"/>
      <c r="X473" s="452"/>
      <c r="Y473" s="452"/>
      <c r="Z473" s="452"/>
      <c r="AA473" s="452"/>
      <c r="AB473" s="453"/>
      <c r="AC473" s="453"/>
      <c r="AD473" s="453"/>
      <c r="AE473" s="453"/>
      <c r="AF473" s="452"/>
      <c r="AG473" s="452"/>
      <c r="AH473" s="452"/>
      <c r="AI473" s="452"/>
      <c r="AJ473" s="452"/>
      <c r="AK473" s="452"/>
      <c r="AL473" s="452"/>
      <c r="AM473" s="452"/>
      <c r="AN473" s="452"/>
      <c r="AO473" s="446"/>
      <c r="AP473" s="446"/>
      <c r="AQ473" s="446"/>
      <c r="AR473" s="446"/>
      <c r="AS473" s="446"/>
      <c r="AT473" s="72"/>
      <c r="AU473" s="72"/>
      <c r="AV473" s="72"/>
      <c r="AW473" s="72"/>
      <c r="AX473" s="72"/>
      <c r="AY473" s="72"/>
      <c r="AZ473" s="72"/>
      <c r="BA473" s="72"/>
      <c r="BB473" s="72"/>
      <c r="BC473" s="72"/>
      <c r="BD473" s="72"/>
      <c r="BE473" s="72"/>
      <c r="BF473" s="72"/>
    </row>
    <row r="474" spans="3:58">
      <c r="C474" s="452"/>
      <c r="Q474" s="452"/>
      <c r="R474" s="452"/>
      <c r="S474" s="452"/>
      <c r="T474" s="452"/>
      <c r="U474" s="452"/>
      <c r="V474" s="452"/>
      <c r="W474" s="452"/>
      <c r="X474" s="452"/>
      <c r="Y474" s="452"/>
      <c r="Z474" s="452"/>
      <c r="AA474" s="452"/>
      <c r="AB474" s="453"/>
      <c r="AC474" s="453"/>
      <c r="AD474" s="453"/>
      <c r="AE474" s="453"/>
      <c r="AF474" s="452"/>
      <c r="AG474" s="452"/>
      <c r="AH474" s="452"/>
      <c r="AI474" s="452"/>
      <c r="AJ474" s="452"/>
      <c r="AK474" s="452"/>
      <c r="AL474" s="452"/>
      <c r="AM474" s="452"/>
      <c r="AN474" s="452"/>
      <c r="AO474" s="446"/>
      <c r="AP474" s="446"/>
      <c r="AQ474" s="446"/>
      <c r="AR474" s="446"/>
      <c r="AS474" s="446"/>
      <c r="AT474" s="72"/>
      <c r="AU474" s="72"/>
      <c r="AV474" s="72"/>
      <c r="AW474" s="72"/>
      <c r="AX474" s="72"/>
      <c r="AY474" s="72"/>
      <c r="AZ474" s="72"/>
      <c r="BA474" s="72"/>
      <c r="BB474" s="72"/>
      <c r="BC474" s="72"/>
      <c r="BD474" s="72"/>
      <c r="BE474" s="72"/>
      <c r="BF474" s="72"/>
    </row>
  </sheetData>
  <mergeCells count="1">
    <mergeCell ref="F22:J22"/>
  </mergeCells>
  <pageMargins left="0.7" right="0.7" top="0.75" bottom="0.75" header="0.3" footer="0.3"/>
  <pageSetup orientation="portrait" r:id="rId1"/>
  <headerFooter>
    <oddHeader>&amp;L&amp;"Calibri"&amp;10&amp;K0000FFTRADING PARTNER&amp;1#</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472B5-AFD6-42C0-A642-19B35EF448B2}">
  <sheetPr codeName="Sheet28">
    <tabColor theme="5" tint="0.79998168889431442"/>
  </sheetPr>
  <dimension ref="B1:BF474"/>
  <sheetViews>
    <sheetView workbookViewId="0">
      <selection activeCell="K64" sqref="K64"/>
    </sheetView>
  </sheetViews>
  <sheetFormatPr defaultColWidth="7.5" defaultRowHeight="15"/>
  <cols>
    <col min="1" max="1" width="8.5" style="44" customWidth="1"/>
    <col min="2" max="2" width="20.5" style="68" customWidth="1"/>
    <col min="3" max="3" width="8.5" style="69" customWidth="1"/>
    <col min="4" max="4" width="19" style="44" customWidth="1"/>
    <col min="5" max="5" width="26.5" style="44" customWidth="1"/>
    <col min="6" max="7" width="10" style="44" customWidth="1"/>
    <col min="8" max="9" width="14" style="44" customWidth="1"/>
    <col min="10" max="10" width="19.296875" style="44" customWidth="1"/>
    <col min="11" max="11" width="16.69921875" style="44" customWidth="1"/>
    <col min="12" max="12" width="12" style="44" customWidth="1"/>
    <col min="13" max="13" width="10.796875" style="44" customWidth="1"/>
    <col min="14" max="14" width="10" style="44" customWidth="1"/>
    <col min="15" max="15" width="10.796875" style="44" customWidth="1"/>
    <col min="16" max="16" width="12.296875" style="44" customWidth="1"/>
    <col min="17" max="18" width="10.796875" style="44" customWidth="1"/>
    <col min="19" max="26" width="9.796875" style="44" customWidth="1"/>
    <col min="27" max="27" width="12" style="44" bestFit="1" customWidth="1"/>
    <col min="28" max="28" width="13.5" style="299" customWidth="1"/>
    <col min="29" max="29" width="13" style="299" customWidth="1"/>
    <col min="30" max="31" width="12.296875" style="299" customWidth="1"/>
    <col min="32" max="32" width="8.5" style="44" customWidth="1"/>
    <col min="33" max="33" width="13" style="44" customWidth="1"/>
    <col min="34" max="34" width="9.796875" style="44" customWidth="1"/>
    <col min="35" max="35" width="9.5" style="44" customWidth="1"/>
    <col min="36" max="36" width="11.796875" style="44" customWidth="1"/>
    <col min="37" max="39" width="9.796875" style="44" customWidth="1"/>
    <col min="40" max="40" width="11.296875" style="44" customWidth="1"/>
    <col min="41" max="41" width="7.5" style="44"/>
    <col min="42" max="42" width="8" style="44" bestFit="1" customWidth="1"/>
    <col min="43" max="43" width="7.5" style="44"/>
    <col min="44" max="44" width="10" style="44" bestFit="1" customWidth="1"/>
    <col min="45" max="16384" width="7.5" style="44"/>
  </cols>
  <sheetData>
    <row r="1" spans="2:58">
      <c r="B1" s="68" t="s">
        <v>175</v>
      </c>
      <c r="E1" s="70"/>
      <c r="G1" s="71" t="s">
        <v>33</v>
      </c>
      <c r="H1" s="70"/>
      <c r="J1" s="44" t="s">
        <v>176</v>
      </c>
      <c r="W1" s="72"/>
      <c r="AA1" s="72"/>
      <c r="AB1" s="73"/>
      <c r="AC1" s="73"/>
      <c r="AD1" s="73"/>
      <c r="AE1" s="73"/>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row>
    <row r="2" spans="2:58">
      <c r="C2" s="74"/>
      <c r="D2" s="75" t="s">
        <v>177</v>
      </c>
      <c r="E2" s="417">
        <v>16022315675</v>
      </c>
      <c r="G2" s="76" t="s">
        <v>178</v>
      </c>
      <c r="H2" s="77">
        <f>+E3/E2</f>
        <v>0.10678606409498856</v>
      </c>
      <c r="I2" s="78"/>
      <c r="J2" s="79"/>
      <c r="K2" s="79" t="s">
        <v>179</v>
      </c>
      <c r="L2" s="79" t="s">
        <v>180</v>
      </c>
      <c r="W2" s="72"/>
      <c r="AA2" s="72"/>
      <c r="AB2" s="73"/>
      <c r="AC2" s="73"/>
      <c r="AD2" s="73"/>
      <c r="AE2" s="73"/>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row>
    <row r="3" spans="2:58">
      <c r="C3" s="74"/>
      <c r="D3" s="75" t="s">
        <v>181</v>
      </c>
      <c r="E3" s="397">
        <v>1710960028.6206899</v>
      </c>
      <c r="G3" s="76" t="s">
        <v>182</v>
      </c>
      <c r="H3" s="77">
        <f>+E6/E2</f>
        <v>4.5296403212951926E-2</v>
      </c>
      <c r="I3" s="80"/>
      <c r="J3" s="44">
        <v>105</v>
      </c>
      <c r="K3" s="81">
        <f>IF(((E27*12*600)/1000000)&lt;=F27,((E27*12*600)/1000000),F27)*1000000</f>
        <v>26884322.708734419</v>
      </c>
      <c r="L3" s="81">
        <f>IF(K3/1000000&gt;F27,0,((F27*1000000)-K3))</f>
        <v>0</v>
      </c>
      <c r="W3" s="72"/>
      <c r="AA3" s="72"/>
      <c r="AB3" s="73"/>
      <c r="AC3" s="73"/>
      <c r="AD3" s="73"/>
      <c r="AE3" s="73"/>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row>
    <row r="4" spans="2:58">
      <c r="C4" s="74"/>
      <c r="D4" s="75" t="s">
        <v>183</v>
      </c>
      <c r="E4" s="397">
        <v>22850467.925561026</v>
      </c>
      <c r="G4" s="76" t="s">
        <v>184</v>
      </c>
      <c r="H4" s="409">
        <v>5.7299999999999999E-3</v>
      </c>
      <c r="I4" s="82"/>
      <c r="J4" s="44">
        <v>106</v>
      </c>
      <c r="K4" s="81">
        <f t="shared" ref="K4:K5" si="0">IF(((E28*12*600)/1000000)&lt;=F28,((E28*12*600)/1000000),F28)*1000000</f>
        <v>216616219.15159062</v>
      </c>
      <c r="L4" s="81">
        <f>IF(K4/1000000&gt;F28,0,((F28*1000000)-K4))</f>
        <v>0</v>
      </c>
      <c r="W4" s="72"/>
      <c r="AA4" s="72"/>
      <c r="AB4" s="73"/>
      <c r="AC4" s="73"/>
      <c r="AD4" s="73"/>
      <c r="AE4" s="73"/>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row>
    <row r="5" spans="2:58">
      <c r="C5" s="74"/>
      <c r="D5" s="75" t="s">
        <v>185</v>
      </c>
      <c r="E5" s="83">
        <v>74.876367267156624</v>
      </c>
      <c r="G5" s="84" t="s">
        <v>186</v>
      </c>
      <c r="H5" s="409">
        <v>1.1678000000000001E-2</v>
      </c>
      <c r="I5" s="85"/>
      <c r="J5" s="44">
        <v>107</v>
      </c>
      <c r="K5" s="81">
        <f t="shared" si="0"/>
        <v>27119400</v>
      </c>
      <c r="L5" s="81">
        <f>IF(K5/1000000&gt;F29,0,((F29*1000000)-K5))</f>
        <v>7557899.947510682</v>
      </c>
      <c r="W5" s="72"/>
      <c r="AA5" s="72"/>
      <c r="AB5" s="73"/>
      <c r="AC5" s="73"/>
      <c r="AD5" s="73"/>
      <c r="AE5" s="73"/>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row>
    <row r="6" spans="2:58">
      <c r="C6" s="74"/>
      <c r="D6" s="86" t="s">
        <v>187</v>
      </c>
      <c r="E6" s="397">
        <v>725753271.22000003</v>
      </c>
      <c r="F6" s="87"/>
      <c r="G6" s="76" t="s">
        <v>188</v>
      </c>
      <c r="H6" s="409">
        <v>8.5899999999999987E-5</v>
      </c>
      <c r="I6" s="88"/>
      <c r="J6" s="78"/>
      <c r="K6" s="82">
        <f>SUM(K3:K5)</f>
        <v>270619941.86032504</v>
      </c>
      <c r="L6" s="82"/>
      <c r="W6" s="72"/>
      <c r="AA6" s="72"/>
      <c r="AB6" s="73"/>
      <c r="AC6" s="73"/>
      <c r="AD6" s="73"/>
      <c r="AE6" s="73"/>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row>
    <row r="7" spans="2:58">
      <c r="C7" s="74"/>
      <c r="D7" s="89"/>
      <c r="E7" s="90"/>
      <c r="F7" s="90"/>
      <c r="G7" s="76" t="s">
        <v>189</v>
      </c>
      <c r="H7" s="91">
        <v>1.9821098460390599E-2</v>
      </c>
      <c r="I7" s="92"/>
      <c r="J7" s="78"/>
      <c r="K7" s="82"/>
      <c r="L7" s="82"/>
      <c r="AA7" s="72"/>
      <c r="AB7" s="73"/>
      <c r="AC7" s="73"/>
      <c r="AD7" s="73"/>
      <c r="AE7" s="73"/>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row>
    <row r="8" spans="2:58" ht="15.6" thickBot="1">
      <c r="C8" s="74"/>
      <c r="D8" s="93" t="s">
        <v>190</v>
      </c>
      <c r="E8" s="94" t="s">
        <v>191</v>
      </c>
      <c r="F8" s="95" t="s">
        <v>192</v>
      </c>
      <c r="G8" s="76"/>
      <c r="H8" s="96"/>
      <c r="I8" s="97"/>
      <c r="J8" s="642" t="s">
        <v>537</v>
      </c>
      <c r="K8" s="643"/>
      <c r="L8" s="644"/>
      <c r="M8" s="643"/>
      <c r="W8" s="72"/>
      <c r="AA8" s="72"/>
      <c r="AB8" s="73"/>
      <c r="AC8" s="73"/>
      <c r="AD8" s="73"/>
      <c r="AE8" s="73"/>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row>
    <row r="9" spans="2:58">
      <c r="C9" s="74"/>
      <c r="D9" s="89" t="s">
        <v>193</v>
      </c>
      <c r="E9" s="396">
        <v>5668.5895671135731</v>
      </c>
      <c r="F9" s="395">
        <v>1378874</v>
      </c>
      <c r="G9" s="99"/>
      <c r="H9" s="96"/>
      <c r="I9" s="96"/>
      <c r="J9" s="643"/>
      <c r="K9" s="645" t="s">
        <v>77</v>
      </c>
      <c r="L9" s="642" t="s">
        <v>78</v>
      </c>
      <c r="M9" s="643"/>
      <c r="W9" s="72"/>
      <c r="AA9" s="72"/>
      <c r="AB9" s="73"/>
      <c r="AC9" s="73"/>
      <c r="AD9" s="73"/>
      <c r="AE9" s="73"/>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row>
    <row r="10" spans="2:58">
      <c r="C10" s="74"/>
      <c r="D10" s="89" t="s">
        <v>194</v>
      </c>
      <c r="E10" s="396">
        <v>6861.6496386784274</v>
      </c>
      <c r="F10" s="395">
        <v>125036.15473984106</v>
      </c>
      <c r="G10" s="99"/>
      <c r="H10" s="85"/>
      <c r="I10" s="85"/>
      <c r="J10" s="646" t="s">
        <v>12</v>
      </c>
      <c r="K10" s="648"/>
      <c r="L10" s="649">
        <v>1440923</v>
      </c>
      <c r="M10" s="643"/>
      <c r="W10" s="72"/>
      <c r="AA10" s="72"/>
      <c r="AB10" s="73"/>
      <c r="AC10" s="73"/>
      <c r="AD10" s="73"/>
      <c r="AE10" s="73"/>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row>
    <row r="11" spans="2:58">
      <c r="C11" s="74"/>
      <c r="D11" s="89" t="s">
        <v>195</v>
      </c>
      <c r="E11" s="396">
        <v>1768.754738262515</v>
      </c>
      <c r="F11" s="395">
        <v>583</v>
      </c>
      <c r="G11" s="99"/>
      <c r="H11" s="101"/>
      <c r="I11" s="101"/>
      <c r="J11" s="643" t="s">
        <v>13</v>
      </c>
      <c r="K11" s="648"/>
      <c r="L11" s="649">
        <v>347823</v>
      </c>
      <c r="M11" s="643"/>
      <c r="W11" s="72"/>
      <c r="AA11" s="72"/>
      <c r="AB11" s="73"/>
      <c r="AC11" s="73"/>
      <c r="AD11" s="73"/>
      <c r="AE11" s="73"/>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row>
    <row r="12" spans="2:58">
      <c r="C12" s="74"/>
      <c r="D12" s="89" t="s">
        <v>196</v>
      </c>
      <c r="E12" s="396">
        <v>235.31472663582704</v>
      </c>
      <c r="F12" s="395">
        <v>2174</v>
      </c>
      <c r="G12" s="99"/>
      <c r="H12" s="85">
        <f>+H5*$E$15</f>
        <v>170.38177818593118</v>
      </c>
      <c r="J12" s="647" t="s">
        <v>24</v>
      </c>
      <c r="K12" s="649">
        <v>130503</v>
      </c>
      <c r="L12" s="649">
        <v>0</v>
      </c>
      <c r="M12" s="643"/>
      <c r="W12" s="72"/>
      <c r="AA12" s="72"/>
      <c r="AB12" s="73"/>
      <c r="AC12" s="73"/>
      <c r="AD12" s="73"/>
      <c r="AE12" s="73"/>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row>
    <row r="13" spans="2:58">
      <c r="C13" s="74"/>
      <c r="D13" s="89" t="s">
        <v>197</v>
      </c>
      <c r="E13" s="396">
        <v>36.155253116297253</v>
      </c>
      <c r="F13" s="395">
        <v>2</v>
      </c>
      <c r="G13" s="99"/>
      <c r="H13" s="85">
        <f t="shared" ref="H13:H14" si="1">+H6*$E$15</f>
        <v>1.25327922128545</v>
      </c>
      <c r="I13" s="85"/>
      <c r="J13" s="643"/>
      <c r="K13" s="643"/>
      <c r="L13" s="643"/>
      <c r="M13" s="643"/>
      <c r="W13" s="72"/>
      <c r="AA13" s="72"/>
      <c r="AB13" s="73"/>
      <c r="AC13" s="73"/>
      <c r="AD13" s="73"/>
      <c r="AE13" s="73"/>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row>
    <row r="14" spans="2:58">
      <c r="C14" s="74"/>
      <c r="D14" s="89" t="s">
        <v>198</v>
      </c>
      <c r="E14" s="396">
        <v>19.515369388357588</v>
      </c>
      <c r="F14" s="395">
        <v>1103</v>
      </c>
      <c r="G14" s="99"/>
      <c r="H14" s="85">
        <f t="shared" si="1"/>
        <v>289.18941610547807</v>
      </c>
      <c r="W14" s="72"/>
      <c r="AA14" s="72"/>
      <c r="AB14" s="73"/>
      <c r="AC14" s="73"/>
      <c r="AD14" s="73"/>
      <c r="AE14" s="73"/>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row>
    <row r="15" spans="2:58" ht="15.6" thickBot="1">
      <c r="C15" s="74"/>
      <c r="D15" s="102" t="s">
        <v>199</v>
      </c>
      <c r="E15" s="103">
        <f>SUM(E9:E14)</f>
        <v>14589.979293194996</v>
      </c>
      <c r="F15" s="104">
        <f>SUM(F9:F14)</f>
        <v>1507772.1547398411</v>
      </c>
      <c r="H15" s="105"/>
      <c r="I15" s="105"/>
      <c r="W15" s="72"/>
      <c r="AA15" s="72"/>
      <c r="AB15" s="73"/>
      <c r="AC15" s="73"/>
      <c r="AD15" s="73"/>
      <c r="AE15" s="73"/>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row>
    <row r="16" spans="2:58">
      <c r="C16" s="74"/>
      <c r="D16" s="106" t="s">
        <v>200</v>
      </c>
      <c r="E16" s="107">
        <f>+E12-E17</f>
        <v>218.70575463582705</v>
      </c>
      <c r="F16" s="90"/>
      <c r="H16" s="108"/>
      <c r="I16" s="108"/>
      <c r="W16" s="72"/>
      <c r="AA16" s="72"/>
      <c r="AB16" s="73"/>
      <c r="AC16" s="73"/>
      <c r="AD16" s="73"/>
      <c r="AE16" s="73"/>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row>
    <row r="17" spans="2:58">
      <c r="C17" s="74"/>
      <c r="D17" s="106" t="s">
        <v>201</v>
      </c>
      <c r="E17" s="107">
        <v>16.608971999999998</v>
      </c>
      <c r="F17" s="109">
        <f>+E17+E16</f>
        <v>235.31472663582704</v>
      </c>
      <c r="G17" s="100"/>
      <c r="H17" s="81"/>
      <c r="I17" s="81"/>
      <c r="W17" s="72"/>
      <c r="AA17" s="72"/>
      <c r="AB17" s="73"/>
      <c r="AC17" s="73"/>
      <c r="AD17" s="73"/>
      <c r="AE17" s="73"/>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row>
    <row r="18" spans="2:58">
      <c r="C18" s="74"/>
      <c r="E18" s="110"/>
      <c r="F18" s="110">
        <f>+F17-E12</f>
        <v>0</v>
      </c>
      <c r="G18" s="111"/>
      <c r="H18" s="112"/>
      <c r="I18" s="112"/>
      <c r="W18" s="72"/>
      <c r="AA18" s="72"/>
      <c r="AB18" s="73"/>
      <c r="AC18" s="73"/>
      <c r="AD18" s="73"/>
      <c r="AE18" s="73"/>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row>
    <row r="19" spans="2:58" s="114" customFormat="1" ht="21.6" thickBot="1">
      <c r="B19" s="68"/>
      <c r="C19" s="113"/>
      <c r="E19" s="115"/>
      <c r="F19" s="115"/>
      <c r="G19" s="116"/>
      <c r="H19" s="117"/>
      <c r="I19" s="117"/>
      <c r="P19" s="118" t="s">
        <v>202</v>
      </c>
      <c r="Q19" s="118" t="s">
        <v>203</v>
      </c>
      <c r="R19" s="118" t="s">
        <v>204</v>
      </c>
      <c r="S19" s="118" t="s">
        <v>203</v>
      </c>
      <c r="T19" s="118" t="s">
        <v>204</v>
      </c>
      <c r="U19" s="118" t="s">
        <v>205</v>
      </c>
      <c r="V19" s="118"/>
      <c r="W19" s="119" t="s">
        <v>206</v>
      </c>
      <c r="X19" s="119" t="s">
        <v>207</v>
      </c>
      <c r="Y19" s="119" t="s">
        <v>208</v>
      </c>
      <c r="AA19" s="120"/>
      <c r="AB19" s="121"/>
      <c r="AC19" s="121"/>
      <c r="AD19" s="121"/>
      <c r="AE19" s="121"/>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row>
    <row r="20" spans="2:58">
      <c r="C20" s="122" t="s">
        <v>209</v>
      </c>
      <c r="D20" s="123"/>
      <c r="E20" s="44" t="b">
        <v>1</v>
      </c>
      <c r="H20" s="124"/>
      <c r="I20" s="124"/>
      <c r="J20" s="124"/>
      <c r="K20" s="124"/>
      <c r="L20" s="124"/>
      <c r="M20" s="124"/>
      <c r="N20" s="124"/>
      <c r="O20" s="72" t="s">
        <v>210</v>
      </c>
      <c r="P20" s="125">
        <v>1000000</v>
      </c>
      <c r="Q20" s="73"/>
      <c r="R20" s="73"/>
      <c r="S20" s="73"/>
      <c r="T20" s="73"/>
      <c r="U20" s="73"/>
      <c r="V20" s="73"/>
      <c r="W20" s="73"/>
      <c r="X20" s="73"/>
      <c r="Y20" s="73"/>
      <c r="Z20" s="73"/>
      <c r="AA20" s="72"/>
      <c r="AB20" s="73"/>
      <c r="AC20" s="73"/>
      <c r="AD20" s="73"/>
      <c r="AE20" s="73"/>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row>
    <row r="21" spans="2:58">
      <c r="C21" s="126" t="s">
        <v>211</v>
      </c>
      <c r="D21" s="127" t="str" cm="1">
        <f t="array" aca="1" ref="D21" ca="1">RIGHT(CELL("filename",E2),LEN(CELL("filename",E2))-FIND("]",CELL("filename",E2)))</f>
        <v>2026 Forecast</v>
      </c>
      <c r="H21" s="124"/>
      <c r="I21" s="124"/>
      <c r="J21" s="124"/>
      <c r="K21" s="124"/>
      <c r="L21" s="124"/>
      <c r="M21" s="124"/>
      <c r="N21" s="124"/>
      <c r="O21" s="72" t="s">
        <v>212</v>
      </c>
      <c r="P21" s="72">
        <v>12</v>
      </c>
      <c r="Q21" s="73"/>
      <c r="R21" s="73"/>
      <c r="S21" s="73"/>
      <c r="T21" s="73"/>
      <c r="U21" s="73"/>
      <c r="V21" s="73"/>
      <c r="W21" s="73"/>
      <c r="X21" s="73"/>
      <c r="Y21" s="73"/>
      <c r="Z21" s="73"/>
      <c r="AA21" s="72"/>
      <c r="AB21" s="73"/>
      <c r="AC21" s="73"/>
      <c r="AD21" s="73"/>
      <c r="AE21" s="73"/>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row>
    <row r="22" spans="2:58">
      <c r="C22" s="128"/>
      <c r="D22" s="128"/>
      <c r="E22" s="129"/>
      <c r="F22" s="1611" t="s">
        <v>213</v>
      </c>
      <c r="G22" s="1611"/>
      <c r="H22" s="1611"/>
      <c r="I22" s="1611"/>
      <c r="J22" s="1612"/>
      <c r="K22" s="129"/>
      <c r="L22" s="130" t="s">
        <v>214</v>
      </c>
      <c r="M22" s="131" t="s">
        <v>215</v>
      </c>
      <c r="N22" s="132"/>
      <c r="O22" s="133"/>
      <c r="P22" s="134" t="s">
        <v>216</v>
      </c>
      <c r="Q22" s="135"/>
      <c r="R22" s="135"/>
      <c r="S22" s="135"/>
      <c r="T22" s="135"/>
      <c r="U22" s="135"/>
      <c r="V22" s="135"/>
      <c r="W22" s="135"/>
      <c r="X22" s="135"/>
      <c r="Y22" s="135"/>
      <c r="Z22" s="135"/>
      <c r="AA22" s="136"/>
      <c r="AB22" s="137" t="s">
        <v>217</v>
      </c>
      <c r="AC22" s="138"/>
      <c r="AD22" s="138"/>
      <c r="AE22" s="138"/>
      <c r="AF22" s="136"/>
      <c r="AG22" s="139"/>
      <c r="AH22" s="140"/>
      <c r="AI22" s="140"/>
      <c r="AJ22" s="140" t="s">
        <v>218</v>
      </c>
      <c r="AK22" s="140"/>
      <c r="AL22" s="140" t="s">
        <v>219</v>
      </c>
      <c r="AM22" s="140" t="s">
        <v>219</v>
      </c>
      <c r="AN22" s="141"/>
      <c r="AO22" s="72"/>
      <c r="AP22" s="72"/>
      <c r="AQ22" s="72"/>
      <c r="AR22" s="72"/>
      <c r="AS22" s="72"/>
      <c r="AT22" s="72"/>
      <c r="AU22" s="72"/>
      <c r="AV22" s="72"/>
      <c r="AW22" s="72"/>
      <c r="AX22" s="72"/>
      <c r="AY22" s="72"/>
      <c r="AZ22" s="72"/>
      <c r="BA22" s="72"/>
      <c r="BB22" s="72"/>
      <c r="BC22" s="72"/>
      <c r="BD22" s="72"/>
      <c r="BE22" s="72"/>
      <c r="BF22" s="72"/>
    </row>
    <row r="23" spans="2:58" ht="39.75" customHeight="1" thickBot="1">
      <c r="C23" s="142" t="s">
        <v>220</v>
      </c>
      <c r="D23" s="142" t="s">
        <v>221</v>
      </c>
      <c r="E23" s="143" t="s">
        <v>192</v>
      </c>
      <c r="F23" s="144" t="s">
        <v>222</v>
      </c>
      <c r="G23" s="144" t="s">
        <v>223</v>
      </c>
      <c r="H23" s="144" t="s">
        <v>224</v>
      </c>
      <c r="I23" s="144" t="s">
        <v>225</v>
      </c>
      <c r="J23" s="145" t="s">
        <v>226</v>
      </c>
      <c r="K23" s="145" t="s">
        <v>227</v>
      </c>
      <c r="L23" s="145" t="s">
        <v>228</v>
      </c>
      <c r="M23" s="146" t="s">
        <v>199</v>
      </c>
      <c r="N23" s="144" t="s">
        <v>229</v>
      </c>
      <c r="O23" s="145" t="s">
        <v>230</v>
      </c>
      <c r="P23" s="118" t="s">
        <v>231</v>
      </c>
      <c r="Q23" s="119" t="s">
        <v>232</v>
      </c>
      <c r="R23" s="119" t="s">
        <v>233</v>
      </c>
      <c r="S23" s="119" t="s">
        <v>234</v>
      </c>
      <c r="T23" s="119" t="s">
        <v>235</v>
      </c>
      <c r="U23" s="119" t="s">
        <v>205</v>
      </c>
      <c r="V23" s="147" t="s">
        <v>222</v>
      </c>
      <c r="W23" s="147" t="s">
        <v>236</v>
      </c>
      <c r="X23" s="147" t="s">
        <v>237</v>
      </c>
      <c r="Y23" s="147" t="s">
        <v>238</v>
      </c>
      <c r="Z23" s="147" t="s">
        <v>236</v>
      </c>
      <c r="AA23" s="148" t="s">
        <v>239</v>
      </c>
      <c r="AB23" s="149" t="s">
        <v>240</v>
      </c>
      <c r="AC23" s="150" t="s">
        <v>241</v>
      </c>
      <c r="AD23" s="150" t="s">
        <v>242</v>
      </c>
      <c r="AE23" s="150" t="s">
        <v>243</v>
      </c>
      <c r="AF23" s="148" t="s">
        <v>244</v>
      </c>
      <c r="AG23" s="151" t="s">
        <v>245</v>
      </c>
      <c r="AH23" s="152" t="s">
        <v>246</v>
      </c>
      <c r="AI23" s="152" t="s">
        <v>247</v>
      </c>
      <c r="AJ23" s="153" t="s">
        <v>248</v>
      </c>
      <c r="AK23" s="154" t="s">
        <v>249</v>
      </c>
      <c r="AL23" s="152" t="s">
        <v>250</v>
      </c>
      <c r="AM23" s="152" t="s">
        <v>251</v>
      </c>
      <c r="AN23" s="154" t="s">
        <v>249</v>
      </c>
      <c r="AO23" s="72"/>
      <c r="AP23" s="72"/>
      <c r="AQ23" s="72"/>
      <c r="AR23" s="72"/>
      <c r="AS23" s="72"/>
      <c r="AT23" s="72"/>
      <c r="AU23" s="72"/>
      <c r="AV23" s="72"/>
      <c r="AW23" s="72"/>
      <c r="AX23" s="72"/>
      <c r="AY23" s="72"/>
      <c r="AZ23" s="72"/>
      <c r="BA23" s="72"/>
      <c r="BB23" s="72"/>
      <c r="BC23" s="72"/>
      <c r="BD23" s="72"/>
      <c r="BE23" s="72"/>
      <c r="BF23" s="72"/>
    </row>
    <row r="24" spans="2:58">
      <c r="C24" s="155" t="s">
        <v>252</v>
      </c>
      <c r="D24" s="72"/>
      <c r="E24" s="156"/>
      <c r="F24" s="157"/>
      <c r="G24" s="157"/>
      <c r="H24" s="157"/>
      <c r="I24" s="157"/>
      <c r="J24" s="158"/>
      <c r="K24" s="158"/>
      <c r="L24" s="158"/>
      <c r="M24" s="157"/>
      <c r="N24" s="157"/>
      <c r="O24" s="158"/>
      <c r="P24" s="159"/>
      <c r="Q24" s="160"/>
      <c r="R24" s="160"/>
      <c r="S24" s="160"/>
      <c r="T24" s="160"/>
      <c r="U24" s="160"/>
      <c r="V24" s="161"/>
      <c r="W24" s="160"/>
      <c r="X24" s="160"/>
      <c r="Y24" s="160"/>
      <c r="Z24" s="161"/>
      <c r="AA24" s="162"/>
      <c r="AB24" s="73"/>
      <c r="AC24" s="73"/>
      <c r="AD24" s="73"/>
      <c r="AE24" s="73"/>
      <c r="AF24" s="162"/>
      <c r="AG24" s="163"/>
      <c r="AH24" s="164"/>
      <c r="AI24" s="164"/>
      <c r="AJ24" s="164"/>
      <c r="AK24" s="72"/>
      <c r="AL24" s="164"/>
      <c r="AM24" s="164"/>
      <c r="AN24" s="72"/>
      <c r="AO24" s="72"/>
      <c r="AP24" s="72"/>
      <c r="AQ24" s="72"/>
      <c r="AR24" s="72"/>
      <c r="AS24" s="72"/>
      <c r="AT24" s="72"/>
      <c r="AU24" s="72"/>
      <c r="AV24" s="72"/>
      <c r="AW24" s="72"/>
      <c r="AX24" s="72"/>
      <c r="AY24" s="72"/>
      <c r="AZ24" s="72"/>
      <c r="BA24" s="72"/>
      <c r="BB24" s="72"/>
    </row>
    <row r="25" spans="2:58">
      <c r="B25" s="165" t="s">
        <v>8</v>
      </c>
      <c r="C25" s="74" t="s">
        <v>253</v>
      </c>
      <c r="D25" s="166" t="s">
        <v>254</v>
      </c>
      <c r="E25" s="398">
        <v>1098</v>
      </c>
      <c r="F25" s="399">
        <v>9.731083367794243</v>
      </c>
      <c r="G25" s="169">
        <v>4.8941804937928701</v>
      </c>
      <c r="H25" s="169">
        <v>4.836902874001372</v>
      </c>
      <c r="I25" s="170"/>
      <c r="J25" s="171"/>
      <c r="K25" s="171"/>
      <c r="L25" s="171"/>
      <c r="M25" s="172"/>
      <c r="N25" s="173"/>
      <c r="O25" s="171"/>
      <c r="P25" s="174">
        <v>2.8247999999999999E-2</v>
      </c>
      <c r="Q25" s="175">
        <v>4.1658738000000001E-2</v>
      </c>
      <c r="R25" s="175">
        <v>0.12574524353615832</v>
      </c>
      <c r="S25" s="176"/>
      <c r="T25" s="176"/>
      <c r="U25" s="176"/>
      <c r="V25" s="177">
        <f t="shared" ref="V25:V33" si="2">SUM(Q25:U25)</f>
        <v>0.16740398153615832</v>
      </c>
      <c r="W25" s="178"/>
      <c r="X25" s="179"/>
      <c r="Y25" s="179"/>
      <c r="Z25" s="177">
        <f t="shared" ref="Z25:Z33" si="3">SUM(W25:Y25)</f>
        <v>0</v>
      </c>
      <c r="AA25" s="180">
        <f>+V25+Z25+P25</f>
        <v>0.19565198153615831</v>
      </c>
      <c r="AB25" s="181">
        <f>$H$2*F25</f>
        <v>1.0391440922269533</v>
      </c>
      <c r="AC25" s="181">
        <f>+$H$3*F25</f>
        <v>0.44078307592645821</v>
      </c>
      <c r="AD25" s="181">
        <f t="shared" ref="AD25:AD33" si="4">+$H$4*F25</f>
        <v>5.5759107697461008E-2</v>
      </c>
      <c r="AE25" s="181">
        <f>+$H$5*F25</f>
        <v>0.11363959156910118</v>
      </c>
      <c r="AF25" s="182">
        <f>+$H$6*F25</f>
        <v>8.3590006129352537E-4</v>
      </c>
      <c r="AG25" s="162">
        <f>+AF25+AD25+AC25+AB25+AA25+AE25</f>
        <v>1.8458137490174253</v>
      </c>
      <c r="AH25" s="183">
        <f t="shared" ref="AH25:AJ34" si="5">+AA25/$F25*100</f>
        <v>2.0105878671606425</v>
      </c>
      <c r="AI25" s="183">
        <f t="shared" si="5"/>
        <v>10.678606409498856</v>
      </c>
      <c r="AJ25" s="183">
        <f t="shared" si="5"/>
        <v>4.5296403212951928</v>
      </c>
      <c r="AK25" s="160">
        <f>+AG25/$F25*100</f>
        <v>18.968224597954691</v>
      </c>
      <c r="AL25" s="183">
        <f t="shared" ref="AL25:AN34" si="6">+AE25/$F25*100</f>
        <v>1.1678000000000002</v>
      </c>
      <c r="AM25" s="183">
        <f t="shared" si="6"/>
        <v>8.5899999999999987E-3</v>
      </c>
      <c r="AN25" s="160">
        <f t="shared" si="6"/>
        <v>18.968224597954691</v>
      </c>
      <c r="AO25" s="72"/>
      <c r="AP25" s="72"/>
      <c r="AQ25" s="72"/>
      <c r="AR25" s="72"/>
      <c r="AS25" s="72"/>
      <c r="AT25" s="72"/>
      <c r="AU25" s="72"/>
      <c r="AV25" s="72"/>
      <c r="AW25" s="72"/>
      <c r="AX25" s="72"/>
      <c r="AY25" s="72"/>
      <c r="AZ25" s="72"/>
      <c r="BA25" s="72"/>
      <c r="BB25" s="72"/>
    </row>
    <row r="26" spans="2:58">
      <c r="B26" s="165" t="s">
        <v>8</v>
      </c>
      <c r="C26" s="74" t="s">
        <v>253</v>
      </c>
      <c r="D26" s="166" t="s">
        <v>255</v>
      </c>
      <c r="E26" s="398">
        <v>3279.4166666666665</v>
      </c>
      <c r="F26" s="399">
        <v>7.6487764770606539</v>
      </c>
      <c r="G26" s="169">
        <v>7.542851624227235</v>
      </c>
      <c r="H26" s="169">
        <v>0.10592485283341922</v>
      </c>
      <c r="I26" s="169"/>
      <c r="J26" s="171"/>
      <c r="K26" s="171"/>
      <c r="L26" s="171"/>
      <c r="M26" s="173"/>
      <c r="N26" s="173"/>
      <c r="O26" s="184"/>
      <c r="P26" s="174">
        <v>9.5808000000000004E-2</v>
      </c>
      <c r="Q26" s="175">
        <v>5.9445959490555214E-2</v>
      </c>
      <c r="R26" s="175">
        <v>0</v>
      </c>
      <c r="S26" s="176"/>
      <c r="T26" s="176"/>
      <c r="U26" s="176"/>
      <c r="V26" s="177">
        <f>SUM(Q26:U26)</f>
        <v>5.9445959490555214E-2</v>
      </c>
      <c r="W26" s="179"/>
      <c r="X26" s="179"/>
      <c r="Y26" s="179"/>
      <c r="Z26" s="177">
        <f t="shared" si="3"/>
        <v>0</v>
      </c>
      <c r="AA26" s="180">
        <f t="shared" ref="AA26:AA33" si="7">+V26+Z26+P26</f>
        <v>0.1552539594905552</v>
      </c>
      <c r="AB26" s="181">
        <f>$H$2*F26</f>
        <v>0.81678273512763977</v>
      </c>
      <c r="AC26" s="181">
        <f t="shared" ref="AC26:AC33" si="8">+$H$3*F26</f>
        <v>0.34646206339068131</v>
      </c>
      <c r="AD26" s="181">
        <f t="shared" si="4"/>
        <v>4.3827489213557544E-2</v>
      </c>
      <c r="AE26" s="181">
        <f t="shared" ref="AE26:AE33" si="9">+$H$5*F26</f>
        <v>8.9322411699114326E-2</v>
      </c>
      <c r="AF26" s="182">
        <f t="shared" ref="AF26:AF33" si="10">+$H$6*F26</f>
        <v>6.5702989937951005E-4</v>
      </c>
      <c r="AG26" s="162">
        <f t="shared" ref="AG26:AG33" si="11">+AF26+AD26+AC26+AB26+AA26+AE26</f>
        <v>1.4523056888209276</v>
      </c>
      <c r="AH26" s="183">
        <f t="shared" si="5"/>
        <v>2.0297881622789649</v>
      </c>
      <c r="AI26" s="183">
        <f t="shared" si="5"/>
        <v>10.678606409498856</v>
      </c>
      <c r="AJ26" s="183">
        <f t="shared" si="5"/>
        <v>4.5296403212951928</v>
      </c>
      <c r="AK26" s="160">
        <f t="shared" ref="AK26:AK34" si="12">+AG26/$F26*100</f>
        <v>18.987424893073012</v>
      </c>
      <c r="AL26" s="183">
        <f t="shared" si="6"/>
        <v>1.1678000000000002</v>
      </c>
      <c r="AM26" s="183">
        <f t="shared" si="6"/>
        <v>8.5899999999999987E-3</v>
      </c>
      <c r="AN26" s="160">
        <f t="shared" si="6"/>
        <v>18.987424893073012</v>
      </c>
      <c r="AO26" s="72"/>
      <c r="AP26" s="72"/>
      <c r="AQ26" s="72"/>
      <c r="AR26" s="72"/>
      <c r="AS26" s="72"/>
      <c r="AT26" s="72"/>
      <c r="AU26" s="72"/>
      <c r="AV26" s="72"/>
      <c r="AW26" s="72"/>
      <c r="AX26" s="72"/>
      <c r="AY26" s="72"/>
      <c r="AZ26" s="72"/>
      <c r="BA26" s="72"/>
      <c r="BB26" s="72"/>
    </row>
    <row r="27" spans="2:58">
      <c r="B27" s="165" t="s">
        <v>9</v>
      </c>
      <c r="C27" s="74" t="s">
        <v>253</v>
      </c>
      <c r="D27" s="166" t="s">
        <v>256</v>
      </c>
      <c r="E27" s="398">
        <v>7702.666666666667</v>
      </c>
      <c r="F27" s="399">
        <v>26.88432270873442</v>
      </c>
      <c r="G27" s="169">
        <v>21.667456975671037</v>
      </c>
      <c r="H27" s="169">
        <v>5.2168657330633872</v>
      </c>
      <c r="I27" s="169"/>
      <c r="J27" s="171"/>
      <c r="K27" s="171"/>
      <c r="L27" s="171"/>
      <c r="M27" s="173"/>
      <c r="N27" s="173"/>
      <c r="O27" s="184"/>
      <c r="P27" s="174">
        <v>0</v>
      </c>
      <c r="Q27" s="175">
        <v>0</v>
      </c>
      <c r="R27" s="175">
        <v>0</v>
      </c>
      <c r="S27" s="176"/>
      <c r="T27" s="176"/>
      <c r="U27" s="176"/>
      <c r="V27" s="177">
        <f t="shared" si="2"/>
        <v>0</v>
      </c>
      <c r="W27" s="179"/>
      <c r="X27" s="179"/>
      <c r="Y27" s="179"/>
      <c r="Z27" s="177">
        <f>SUM(W27:Y27)</f>
        <v>0</v>
      </c>
      <c r="AA27" s="180">
        <f>+V27+Z27+P27</f>
        <v>0</v>
      </c>
      <c r="AB27" s="181">
        <f t="shared" ref="AB27:AB30" si="13">$H$2*F27</f>
        <v>2.8708710079252699</v>
      </c>
      <c r="AC27" s="181">
        <f t="shared" si="8"/>
        <v>1.2177631215219542</v>
      </c>
      <c r="AD27" s="181">
        <f t="shared" si="4"/>
        <v>0.15404716912104821</v>
      </c>
      <c r="AE27" s="181">
        <f t="shared" si="9"/>
        <v>0.31395512059260056</v>
      </c>
      <c r="AF27" s="182">
        <f t="shared" si="10"/>
        <v>2.3093633206802862E-3</v>
      </c>
      <c r="AG27" s="162">
        <f t="shared" si="11"/>
        <v>4.5589457824815529</v>
      </c>
      <c r="AH27" s="183">
        <f t="shared" si="5"/>
        <v>0</v>
      </c>
      <c r="AI27" s="183">
        <f t="shared" si="5"/>
        <v>10.678606409498855</v>
      </c>
      <c r="AJ27" s="183">
        <f t="shared" si="5"/>
        <v>4.5296403212951928</v>
      </c>
      <c r="AK27" s="160">
        <f t="shared" si="12"/>
        <v>16.957636730794047</v>
      </c>
      <c r="AL27" s="185">
        <f t="shared" si="6"/>
        <v>1.1678000000000002</v>
      </c>
      <c r="AM27" s="185">
        <f t="shared" si="6"/>
        <v>8.5899999999999987E-3</v>
      </c>
      <c r="AN27" s="186">
        <f t="shared" si="6"/>
        <v>16.957636730794047</v>
      </c>
      <c r="AO27" s="160"/>
      <c r="AP27" s="72"/>
      <c r="AQ27" s="72"/>
      <c r="AR27" s="72"/>
      <c r="AS27" s="72"/>
      <c r="AT27" s="72"/>
      <c r="AU27" s="72"/>
      <c r="AV27" s="72"/>
      <c r="AW27" s="72"/>
      <c r="AX27" s="72"/>
      <c r="AY27" s="72"/>
      <c r="AZ27" s="72"/>
      <c r="BA27" s="72"/>
      <c r="BB27" s="72"/>
    </row>
    <row r="28" spans="2:58">
      <c r="B28" s="165" t="s">
        <v>9</v>
      </c>
      <c r="C28" s="74" t="s">
        <v>253</v>
      </c>
      <c r="D28" s="166" t="s">
        <v>257</v>
      </c>
      <c r="E28" s="398">
        <v>35073.5</v>
      </c>
      <c r="F28" s="399">
        <v>216.61621915159063</v>
      </c>
      <c r="G28" s="169">
        <v>126.84072788818432</v>
      </c>
      <c r="H28" s="169">
        <v>89.775491263406323</v>
      </c>
      <c r="I28" s="169"/>
      <c r="J28" s="171"/>
      <c r="K28" s="171"/>
      <c r="L28" s="171"/>
      <c r="M28" s="173"/>
      <c r="N28" s="173"/>
      <c r="O28" s="184"/>
      <c r="P28" s="174">
        <v>0</v>
      </c>
      <c r="Q28" s="175">
        <v>0</v>
      </c>
      <c r="R28" s="175">
        <v>0</v>
      </c>
      <c r="S28" s="176"/>
      <c r="T28" s="176"/>
      <c r="U28" s="176"/>
      <c r="V28" s="177">
        <f t="shared" si="2"/>
        <v>0</v>
      </c>
      <c r="W28" s="179"/>
      <c r="X28" s="179"/>
      <c r="Y28" s="179"/>
      <c r="Z28" s="177">
        <f t="shared" si="3"/>
        <v>0</v>
      </c>
      <c r="AA28" s="180">
        <f t="shared" si="7"/>
        <v>0</v>
      </c>
      <c r="AB28" s="181">
        <f t="shared" si="13"/>
        <v>23.131593462335847</v>
      </c>
      <c r="AC28" s="181">
        <f t="shared" si="8"/>
        <v>9.8119356051556075</v>
      </c>
      <c r="AD28" s="181">
        <f t="shared" si="4"/>
        <v>1.2412109357386143</v>
      </c>
      <c r="AE28" s="181">
        <f t="shared" si="9"/>
        <v>2.5296442072522756</v>
      </c>
      <c r="AF28" s="182">
        <f t="shared" si="10"/>
        <v>1.8607333225121633E-2</v>
      </c>
      <c r="AG28" s="162">
        <f t="shared" si="11"/>
        <v>36.732991543707463</v>
      </c>
      <c r="AH28" s="183">
        <f t="shared" si="5"/>
        <v>0</v>
      </c>
      <c r="AI28" s="183">
        <f t="shared" si="5"/>
        <v>10.678606409498856</v>
      </c>
      <c r="AJ28" s="183">
        <f t="shared" si="5"/>
        <v>4.5296403212951928</v>
      </c>
      <c r="AK28" s="160">
        <f t="shared" si="12"/>
        <v>16.95763673079405</v>
      </c>
      <c r="AL28" s="185">
        <f t="shared" si="6"/>
        <v>1.1678000000000002</v>
      </c>
      <c r="AM28" s="185">
        <f t="shared" si="6"/>
        <v>8.5899999999999987E-3</v>
      </c>
      <c r="AN28" s="186">
        <f t="shared" si="6"/>
        <v>16.95763673079405</v>
      </c>
      <c r="AO28" s="160"/>
      <c r="AP28" s="72"/>
      <c r="AQ28" s="72"/>
      <c r="AR28" s="72"/>
      <c r="AS28" s="72"/>
      <c r="AT28" s="72"/>
      <c r="AU28" s="72"/>
      <c r="AV28" s="72"/>
      <c r="AW28" s="72"/>
      <c r="AX28" s="72"/>
      <c r="AY28" s="72"/>
      <c r="AZ28" s="72"/>
      <c r="BA28" s="72"/>
      <c r="BB28" s="72"/>
    </row>
    <row r="29" spans="2:58">
      <c r="B29" s="165" t="s">
        <v>9</v>
      </c>
      <c r="C29" s="74" t="s">
        <v>253</v>
      </c>
      <c r="D29" s="166" t="s">
        <v>258</v>
      </c>
      <c r="E29" s="398">
        <v>3766.5833333333335</v>
      </c>
      <c r="F29" s="399">
        <v>34.677299947510683</v>
      </c>
      <c r="G29" s="169">
        <v>15.208235194606523</v>
      </c>
      <c r="H29" s="169">
        <v>19.469064752904167</v>
      </c>
      <c r="I29" s="169"/>
      <c r="J29" s="171"/>
      <c r="K29" s="171"/>
      <c r="L29" s="171"/>
      <c r="M29" s="173"/>
      <c r="N29" s="173"/>
      <c r="O29" s="184"/>
      <c r="P29" s="174">
        <v>0</v>
      </c>
      <c r="Q29" s="175">
        <v>0</v>
      </c>
      <c r="R29" s="175">
        <v>0</v>
      </c>
      <c r="S29" s="176"/>
      <c r="T29" s="176"/>
      <c r="U29" s="176"/>
      <c r="V29" s="177">
        <f t="shared" si="2"/>
        <v>0</v>
      </c>
      <c r="W29" s="179"/>
      <c r="X29" s="179"/>
      <c r="Y29" s="179"/>
      <c r="Z29" s="177">
        <f t="shared" si="3"/>
        <v>0</v>
      </c>
      <c r="AA29" s="180">
        <f t="shared" si="7"/>
        <v>0</v>
      </c>
      <c r="AB29" s="181">
        <f t="shared" si="13"/>
        <v>3.7030523748360191</v>
      </c>
      <c r="AC29" s="181">
        <f t="shared" si="8"/>
        <v>1.5707569607589205</v>
      </c>
      <c r="AD29" s="181">
        <f t="shared" si="4"/>
        <v>0.1987009286992362</v>
      </c>
      <c r="AE29" s="181">
        <f t="shared" si="9"/>
        <v>0.4049615087870298</v>
      </c>
      <c r="AF29" s="182">
        <f t="shared" si="10"/>
        <v>2.9787800654911671E-3</v>
      </c>
      <c r="AG29" s="162">
        <f t="shared" si="11"/>
        <v>5.8804505531466962</v>
      </c>
      <c r="AH29" s="183">
        <f t="shared" si="5"/>
        <v>0</v>
      </c>
      <c r="AI29" s="183">
        <f t="shared" si="5"/>
        <v>10.678606409498856</v>
      </c>
      <c r="AJ29" s="183">
        <f t="shared" si="5"/>
        <v>4.5296403212951928</v>
      </c>
      <c r="AK29" s="160">
        <f t="shared" si="12"/>
        <v>16.957636730794047</v>
      </c>
      <c r="AL29" s="185">
        <f t="shared" si="6"/>
        <v>1.1678000000000002</v>
      </c>
      <c r="AM29" s="185">
        <f t="shared" si="6"/>
        <v>8.5899999999999987E-3</v>
      </c>
      <c r="AN29" s="186">
        <f t="shared" si="6"/>
        <v>16.957636730794047</v>
      </c>
      <c r="AO29" s="160"/>
      <c r="AP29" s="72"/>
      <c r="AQ29" s="72"/>
      <c r="AR29" s="72"/>
      <c r="AS29" s="72"/>
      <c r="AT29" s="72"/>
      <c r="AU29" s="72"/>
      <c r="AV29" s="72"/>
      <c r="AW29" s="72"/>
      <c r="AX29" s="72"/>
      <c r="AY29" s="72"/>
      <c r="AZ29" s="72"/>
      <c r="BA29" s="72"/>
      <c r="BB29" s="72"/>
    </row>
    <row r="30" spans="2:58">
      <c r="B30" s="165" t="s">
        <v>6</v>
      </c>
      <c r="C30" s="74" t="s">
        <v>253</v>
      </c>
      <c r="D30" s="166" t="s">
        <v>259</v>
      </c>
      <c r="E30" s="398">
        <v>99889.5</v>
      </c>
      <c r="F30" s="399">
        <v>214.2907591913127</v>
      </c>
      <c r="G30" s="169">
        <v>214.19531860935152</v>
      </c>
      <c r="H30" s="169">
        <v>9.5440581961190638E-2</v>
      </c>
      <c r="I30" s="169"/>
      <c r="J30" s="171"/>
      <c r="K30" s="171"/>
      <c r="L30" s="171"/>
      <c r="M30" s="173"/>
      <c r="N30" s="173"/>
      <c r="O30" s="184"/>
      <c r="P30" s="174">
        <v>2.811744</v>
      </c>
      <c r="Q30" s="175">
        <v>4.7870878537264767</v>
      </c>
      <c r="R30" s="175">
        <v>0</v>
      </c>
      <c r="S30" s="176"/>
      <c r="T30" s="176"/>
      <c r="U30" s="176"/>
      <c r="V30" s="177">
        <f t="shared" si="2"/>
        <v>4.7870878537264767</v>
      </c>
      <c r="W30" s="179"/>
      <c r="X30" s="179"/>
      <c r="Y30" s="179"/>
      <c r="Z30" s="177">
        <f t="shared" si="3"/>
        <v>0</v>
      </c>
      <c r="AA30" s="180">
        <f t="shared" si="7"/>
        <v>7.5988318537264767</v>
      </c>
      <c r="AB30" s="181">
        <f t="shared" si="13"/>
        <v>22.883266745967276</v>
      </c>
      <c r="AC30" s="181">
        <f t="shared" si="8"/>
        <v>9.7066006331392849</v>
      </c>
      <c r="AD30" s="181">
        <f t="shared" si="4"/>
        <v>1.2278860501662217</v>
      </c>
      <c r="AE30" s="181">
        <f t="shared" si="9"/>
        <v>2.5024874858361499</v>
      </c>
      <c r="AF30" s="182">
        <f t="shared" si="10"/>
        <v>1.8407576214533757E-2</v>
      </c>
      <c r="AG30" s="162">
        <f t="shared" si="11"/>
        <v>43.937480345049941</v>
      </c>
      <c r="AH30" s="183">
        <f t="shared" si="5"/>
        <v>3.5460380477454256</v>
      </c>
      <c r="AI30" s="183">
        <f t="shared" si="5"/>
        <v>10.678606409498856</v>
      </c>
      <c r="AJ30" s="183">
        <f t="shared" si="5"/>
        <v>4.5296403212951937</v>
      </c>
      <c r="AK30" s="160">
        <f t="shared" si="12"/>
        <v>20.503674778539473</v>
      </c>
      <c r="AL30" s="183">
        <f t="shared" si="6"/>
        <v>1.1678000000000002</v>
      </c>
      <c r="AM30" s="183">
        <f t="shared" si="6"/>
        <v>8.5899999999999987E-3</v>
      </c>
      <c r="AN30" s="160">
        <f t="shared" si="6"/>
        <v>20.503674778539473</v>
      </c>
      <c r="AO30" s="72"/>
      <c r="AP30" s="72"/>
      <c r="AQ30" s="72"/>
      <c r="AR30" s="72"/>
      <c r="AS30" s="72"/>
      <c r="AT30" s="72"/>
      <c r="AU30" s="72"/>
      <c r="AV30" s="72"/>
      <c r="AW30" s="72"/>
      <c r="AX30" s="72"/>
      <c r="AY30" s="72"/>
      <c r="AZ30" s="72"/>
      <c r="BA30" s="72"/>
      <c r="BB30" s="72"/>
    </row>
    <row r="31" spans="2:58">
      <c r="B31" s="165" t="s">
        <v>6</v>
      </c>
      <c r="C31" s="74" t="s">
        <v>253</v>
      </c>
      <c r="D31" s="166" t="s">
        <v>260</v>
      </c>
      <c r="E31" s="398">
        <v>37579</v>
      </c>
      <c r="F31" s="399">
        <v>268.84408060927638</v>
      </c>
      <c r="G31" s="169">
        <v>165.74601961564676</v>
      </c>
      <c r="H31" s="169">
        <v>103.09806099362962</v>
      </c>
      <c r="I31" s="169"/>
      <c r="J31" s="171"/>
      <c r="K31" s="171"/>
      <c r="L31" s="171"/>
      <c r="M31" s="173"/>
      <c r="N31" s="173"/>
      <c r="O31" s="184"/>
      <c r="P31" s="174">
        <v>0.94336799999999998</v>
      </c>
      <c r="Q31" s="175">
        <v>4.1175654779999995</v>
      </c>
      <c r="R31" s="175">
        <v>3.0844765054257359</v>
      </c>
      <c r="S31" s="176"/>
      <c r="T31" s="176"/>
      <c r="U31" s="176"/>
      <c r="V31" s="177">
        <f t="shared" si="2"/>
        <v>7.202041983425735</v>
      </c>
      <c r="W31" s="179"/>
      <c r="X31" s="179"/>
      <c r="Y31" s="179"/>
      <c r="Z31" s="177">
        <f>SUM(W31:Y31)</f>
        <v>0</v>
      </c>
      <c r="AA31" s="180">
        <f>+V31+Z31+P31</f>
        <v>8.1454099834257345</v>
      </c>
      <c r="AB31" s="181">
        <f>$H$2*F31</f>
        <v>28.708801223500458</v>
      </c>
      <c r="AC31" s="181">
        <f t="shared" si="8"/>
        <v>12.177669876693132</v>
      </c>
      <c r="AD31" s="181">
        <f t="shared" si="4"/>
        <v>1.5404765818911537</v>
      </c>
      <c r="AE31" s="181">
        <f t="shared" si="9"/>
        <v>3.1395611733551299</v>
      </c>
      <c r="AF31" s="182">
        <f t="shared" si="10"/>
        <v>2.3093706524336836E-2</v>
      </c>
      <c r="AG31" s="162">
        <f t="shared" si="11"/>
        <v>53.735012545389949</v>
      </c>
      <c r="AH31" s="183">
        <f t="shared" si="5"/>
        <v>3.0297895958750298</v>
      </c>
      <c r="AI31" s="183">
        <f t="shared" si="5"/>
        <v>10.678606409498856</v>
      </c>
      <c r="AJ31" s="183">
        <f t="shared" si="5"/>
        <v>4.5296403212951928</v>
      </c>
      <c r="AK31" s="160">
        <f t="shared" si="12"/>
        <v>19.98742632666908</v>
      </c>
      <c r="AL31" s="183">
        <f t="shared" si="6"/>
        <v>1.1678000000000002</v>
      </c>
      <c r="AM31" s="183">
        <f t="shared" si="6"/>
        <v>8.5899999999999987E-3</v>
      </c>
      <c r="AN31" s="160">
        <f t="shared" si="6"/>
        <v>19.98742632666908</v>
      </c>
      <c r="AO31" s="72"/>
      <c r="AP31" s="72"/>
      <c r="AQ31" s="72"/>
      <c r="AR31" s="72"/>
      <c r="AS31" s="72"/>
      <c r="AT31" s="72"/>
      <c r="AU31" s="72"/>
      <c r="AV31" s="72"/>
      <c r="AW31" s="72"/>
      <c r="AX31" s="72"/>
      <c r="AY31" s="72"/>
      <c r="AZ31" s="72"/>
      <c r="BA31" s="72"/>
      <c r="BB31" s="72"/>
    </row>
    <row r="32" spans="2:58">
      <c r="B32" s="165" t="s">
        <v>3</v>
      </c>
      <c r="C32" s="74" t="s">
        <v>253</v>
      </c>
      <c r="D32" s="166" t="s">
        <v>261</v>
      </c>
      <c r="E32" s="398">
        <v>235649.83333333334</v>
      </c>
      <c r="F32" s="399">
        <v>833.19415631304491</v>
      </c>
      <c r="G32" s="169">
        <v>638.33480470592986</v>
      </c>
      <c r="H32" s="169">
        <v>194.85935160711517</v>
      </c>
      <c r="I32" s="169">
        <f>SUM(F32:F33)/12</f>
        <v>483.547061641874</v>
      </c>
      <c r="J32" s="171"/>
      <c r="K32" s="171"/>
      <c r="L32" s="171"/>
      <c r="M32" s="173"/>
      <c r="N32" s="173"/>
      <c r="O32" s="184"/>
      <c r="P32" s="174">
        <v>10.54344</v>
      </c>
      <c r="Q32" s="175">
        <v>15.43510654798931</v>
      </c>
      <c r="R32" s="175">
        <v>0</v>
      </c>
      <c r="S32" s="176"/>
      <c r="T32" s="176"/>
      <c r="U32" s="176"/>
      <c r="V32" s="177">
        <f t="shared" si="2"/>
        <v>15.43510654798931</v>
      </c>
      <c r="W32" s="179"/>
      <c r="X32" s="179"/>
      <c r="Y32" s="179"/>
      <c r="Z32" s="177">
        <f t="shared" si="3"/>
        <v>0</v>
      </c>
      <c r="AA32" s="180">
        <f t="shared" si="7"/>
        <v>25.978546547989311</v>
      </c>
      <c r="AB32" s="181">
        <f t="shared" ref="AB32:AB33" si="14">$H$2*F32</f>
        <v>88.973524579614732</v>
      </c>
      <c r="AC32" s="181">
        <f t="shared" si="8"/>
        <v>37.740698459030973</v>
      </c>
      <c r="AD32" s="181">
        <f t="shared" si="4"/>
        <v>4.7742025156737471</v>
      </c>
      <c r="AE32" s="181">
        <f t="shared" si="9"/>
        <v>9.7300413574237385</v>
      </c>
      <c r="AF32" s="182">
        <f t="shared" si="10"/>
        <v>7.157137802729055E-2</v>
      </c>
      <c r="AG32" s="162">
        <f t="shared" si="11"/>
        <v>167.26858483775979</v>
      </c>
      <c r="AH32" s="183">
        <f t="shared" si="5"/>
        <v>3.1179463215328576</v>
      </c>
      <c r="AI32" s="183">
        <f t="shared" si="5"/>
        <v>10.678606409498856</v>
      </c>
      <c r="AJ32" s="183">
        <f t="shared" si="5"/>
        <v>4.5296403212951919</v>
      </c>
      <c r="AK32" s="160">
        <f t="shared" si="12"/>
        <v>20.075583052326905</v>
      </c>
      <c r="AL32" s="183">
        <f t="shared" si="6"/>
        <v>1.1678000000000002</v>
      </c>
      <c r="AM32" s="183">
        <f t="shared" si="6"/>
        <v>8.5899999999999987E-3</v>
      </c>
      <c r="AN32" s="160">
        <f t="shared" si="6"/>
        <v>20.075583052326905</v>
      </c>
      <c r="AO32" s="72"/>
      <c r="AP32" s="72"/>
      <c r="AQ32" s="72"/>
      <c r="AR32" s="72"/>
      <c r="AS32" s="72"/>
      <c r="AT32" s="72"/>
      <c r="AU32" s="72"/>
      <c r="AV32" s="72"/>
      <c r="AW32" s="72"/>
      <c r="AX32" s="72"/>
      <c r="AY32" s="72"/>
      <c r="AZ32" s="72"/>
      <c r="BA32" s="72"/>
      <c r="BB32" s="72"/>
    </row>
    <row r="33" spans="2:54">
      <c r="B33" s="165" t="s">
        <v>3</v>
      </c>
      <c r="C33" s="74" t="s">
        <v>253</v>
      </c>
      <c r="D33" s="166" t="s">
        <v>262</v>
      </c>
      <c r="E33" s="398">
        <v>962615.83333333337</v>
      </c>
      <c r="F33" s="399">
        <v>4969.3705833894428</v>
      </c>
      <c r="G33" s="169">
        <v>3040.6866772496569</v>
      </c>
      <c r="H33" s="169">
        <v>1928.6839061397859</v>
      </c>
      <c r="I33" s="169"/>
      <c r="J33" s="171"/>
      <c r="K33" s="171"/>
      <c r="L33" s="171"/>
      <c r="M33" s="173"/>
      <c r="N33" s="173"/>
      <c r="O33" s="184"/>
      <c r="P33" s="174">
        <v>45.672528</v>
      </c>
      <c r="Q33" s="175">
        <v>228.33364175780886</v>
      </c>
      <c r="R33" s="175">
        <v>0</v>
      </c>
      <c r="S33" s="176"/>
      <c r="T33" s="176"/>
      <c r="U33" s="179"/>
      <c r="V33" s="177">
        <f t="shared" si="2"/>
        <v>228.33364175780886</v>
      </c>
      <c r="W33" s="179"/>
      <c r="X33" s="179"/>
      <c r="Y33" s="179"/>
      <c r="Z33" s="177">
        <f t="shared" si="3"/>
        <v>0</v>
      </c>
      <c r="AA33" s="180">
        <f t="shared" si="7"/>
        <v>274.00616975780883</v>
      </c>
      <c r="AB33" s="181">
        <f t="shared" si="14"/>
        <v>530.65952562957568</v>
      </c>
      <c r="AC33" s="181">
        <f t="shared" si="8"/>
        <v>225.09461365979035</v>
      </c>
      <c r="AD33" s="181">
        <f t="shared" si="4"/>
        <v>28.474493442821508</v>
      </c>
      <c r="AE33" s="181">
        <f t="shared" si="9"/>
        <v>58.032309672821917</v>
      </c>
      <c r="AF33" s="182">
        <f t="shared" si="10"/>
        <v>0.42686893311315305</v>
      </c>
      <c r="AG33" s="162">
        <f t="shared" si="11"/>
        <v>1116.6939810959313</v>
      </c>
      <c r="AH33" s="183">
        <f t="shared" si="5"/>
        <v>5.513900908773004</v>
      </c>
      <c r="AI33" s="183">
        <f t="shared" si="5"/>
        <v>10.678606409498855</v>
      </c>
      <c r="AJ33" s="183">
        <f t="shared" si="5"/>
        <v>4.5296403212951928</v>
      </c>
      <c r="AK33" s="160">
        <f t="shared" si="12"/>
        <v>22.47153763956705</v>
      </c>
      <c r="AL33" s="183">
        <f t="shared" si="6"/>
        <v>1.1678000000000002</v>
      </c>
      <c r="AM33" s="183">
        <f t="shared" si="6"/>
        <v>8.5899999999999987E-3</v>
      </c>
      <c r="AN33" s="160">
        <f t="shared" si="6"/>
        <v>22.47153763956705</v>
      </c>
      <c r="AO33" s="72"/>
      <c r="AP33" s="72"/>
      <c r="AQ33" s="72"/>
      <c r="AR33" s="72"/>
      <c r="AS33" s="72"/>
      <c r="AT33" s="72"/>
      <c r="AU33" s="72"/>
      <c r="AV33" s="72"/>
      <c r="AW33" s="72"/>
      <c r="AX33" s="72"/>
      <c r="AY33" s="72"/>
      <c r="AZ33" s="72"/>
      <c r="BA33" s="72"/>
      <c r="BB33" s="72"/>
    </row>
    <row r="34" spans="2:54">
      <c r="B34" s="165"/>
      <c r="C34" s="187"/>
      <c r="D34" s="187" t="s">
        <v>222</v>
      </c>
      <c r="E34" s="188">
        <f>SUM(E25:E33)</f>
        <v>1386654.3333333335</v>
      </c>
      <c r="F34" s="189">
        <f>SUM(F24:F33)</f>
        <v>6581.2572811557675</v>
      </c>
      <c r="G34" s="190">
        <f>SUM(G25:G33)</f>
        <v>4235.1162723570669</v>
      </c>
      <c r="H34" s="190">
        <f>SUM(H25:H33)</f>
        <v>2346.1410087987006</v>
      </c>
      <c r="I34" s="190"/>
      <c r="J34" s="191"/>
      <c r="K34" s="191"/>
      <c r="L34" s="191"/>
      <c r="M34" s="192"/>
      <c r="N34" s="192"/>
      <c r="O34" s="193"/>
      <c r="P34" s="194">
        <f t="shared" ref="P34:AG34" si="15">SUM(P25:P33)</f>
        <v>60.095135999999997</v>
      </c>
      <c r="Q34" s="195">
        <f t="shared" si="15"/>
        <v>252.77450633501519</v>
      </c>
      <c r="R34" s="195">
        <f t="shared" si="15"/>
        <v>3.2102217489618941</v>
      </c>
      <c r="S34" s="195">
        <f t="shared" si="15"/>
        <v>0</v>
      </c>
      <c r="T34" s="195">
        <f t="shared" si="15"/>
        <v>0</v>
      </c>
      <c r="U34" s="195">
        <f t="shared" si="15"/>
        <v>0</v>
      </c>
      <c r="V34" s="196">
        <f t="shared" si="15"/>
        <v>255.9847280839771</v>
      </c>
      <c r="W34" s="195">
        <f t="shared" si="15"/>
        <v>0</v>
      </c>
      <c r="X34" s="195">
        <f t="shared" si="15"/>
        <v>0</v>
      </c>
      <c r="Y34" s="195">
        <f t="shared" si="15"/>
        <v>0</v>
      </c>
      <c r="Z34" s="196">
        <f t="shared" si="15"/>
        <v>0</v>
      </c>
      <c r="AA34" s="197">
        <f t="shared" si="15"/>
        <v>316.0798640839771</v>
      </c>
      <c r="AB34" s="198">
        <f t="shared" si="15"/>
        <v>702.78656185110981</v>
      </c>
      <c r="AC34" s="198">
        <f t="shared" si="15"/>
        <v>298.10728345540736</v>
      </c>
      <c r="AD34" s="198">
        <f t="shared" si="15"/>
        <v>37.71060422102255</v>
      </c>
      <c r="AE34" s="198">
        <f t="shared" si="15"/>
        <v>76.85592252933705</v>
      </c>
      <c r="AF34" s="199">
        <f t="shared" si="15"/>
        <v>0.56533000045128035</v>
      </c>
      <c r="AG34" s="200">
        <f t="shared" si="15"/>
        <v>1432.1055661413052</v>
      </c>
      <c r="AH34" s="201">
        <f t="shared" si="5"/>
        <v>4.8027276640439851</v>
      </c>
      <c r="AI34" s="201">
        <f t="shared" si="5"/>
        <v>10.678606409498855</v>
      </c>
      <c r="AJ34" s="201">
        <f t="shared" si="5"/>
        <v>4.5296403212951928</v>
      </c>
      <c r="AK34" s="202">
        <f t="shared" si="12"/>
        <v>21.760364394838032</v>
      </c>
      <c r="AL34" s="201">
        <f t="shared" si="6"/>
        <v>1.1677999999999999</v>
      </c>
      <c r="AM34" s="201">
        <f t="shared" si="6"/>
        <v>8.5899999999999987E-3</v>
      </c>
      <c r="AN34" s="202">
        <f t="shared" si="6"/>
        <v>21.760364394838032</v>
      </c>
      <c r="AO34" s="72"/>
      <c r="AP34" s="203"/>
      <c r="AQ34" s="72"/>
      <c r="AR34" s="72"/>
      <c r="AS34" s="72"/>
      <c r="AT34" s="72"/>
      <c r="AU34" s="72"/>
      <c r="AV34" s="72"/>
      <c r="AW34" s="72"/>
      <c r="AX34" s="72"/>
      <c r="AY34" s="72"/>
      <c r="AZ34" s="72"/>
      <c r="BA34" s="72"/>
      <c r="BB34" s="72"/>
    </row>
    <row r="35" spans="2:54" ht="21" customHeight="1">
      <c r="C35" s="155" t="s">
        <v>263</v>
      </c>
      <c r="D35" s="72"/>
      <c r="E35" s="204"/>
      <c r="F35" s="205"/>
      <c r="G35" s="169"/>
      <c r="H35" s="169"/>
      <c r="I35" s="169"/>
      <c r="J35" s="206"/>
      <c r="K35" s="206"/>
      <c r="L35" s="206"/>
      <c r="M35" s="207"/>
      <c r="N35" s="207"/>
      <c r="O35" s="207"/>
      <c r="P35" s="208"/>
      <c r="Q35" s="176"/>
      <c r="R35" s="176"/>
      <c r="S35" s="176"/>
      <c r="T35" s="176"/>
      <c r="U35" s="176"/>
      <c r="V35" s="209"/>
      <c r="W35" s="210"/>
      <c r="X35" s="210"/>
      <c r="Y35" s="210"/>
      <c r="Z35" s="211"/>
      <c r="AA35" s="176"/>
      <c r="AB35" s="73"/>
      <c r="AC35" s="73"/>
      <c r="AD35" s="73"/>
      <c r="AE35" s="73"/>
      <c r="AF35" s="182"/>
      <c r="AG35" s="162"/>
      <c r="AH35" s="183"/>
      <c r="AI35" s="212"/>
      <c r="AJ35" s="183"/>
      <c r="AK35" s="160"/>
      <c r="AL35" s="183"/>
      <c r="AM35" s="183"/>
      <c r="AN35" s="160"/>
      <c r="AO35" s="72"/>
      <c r="AP35" s="72"/>
      <c r="AQ35" s="72"/>
      <c r="AR35" s="72"/>
      <c r="AS35" s="72"/>
      <c r="AT35" s="72"/>
      <c r="AU35" s="72"/>
      <c r="AV35" s="72"/>
      <c r="AW35" s="72"/>
      <c r="AX35" s="72"/>
      <c r="AY35" s="72"/>
      <c r="AZ35" s="72"/>
      <c r="BA35" s="72"/>
      <c r="BB35" s="72"/>
    </row>
    <row r="36" spans="2:54">
      <c r="B36" s="165" t="s">
        <v>141</v>
      </c>
      <c r="C36" s="74" t="s">
        <v>253</v>
      </c>
      <c r="D36" s="213" t="s">
        <v>141</v>
      </c>
      <c r="E36" s="398">
        <v>1</v>
      </c>
      <c r="F36" s="214">
        <v>1.8000000000000004E-4</v>
      </c>
      <c r="G36" s="169"/>
      <c r="H36" s="169"/>
      <c r="I36" s="169"/>
      <c r="J36" s="206"/>
      <c r="K36" s="400">
        <v>12</v>
      </c>
      <c r="L36" s="215"/>
      <c r="M36" s="207"/>
      <c r="N36" s="207"/>
      <c r="O36" s="207"/>
      <c r="P36" s="208"/>
      <c r="Q36" s="176"/>
      <c r="R36" s="176"/>
      <c r="S36" s="176"/>
      <c r="T36" s="176"/>
      <c r="U36" s="216">
        <v>1.8119999999999999E-5</v>
      </c>
      <c r="V36" s="177">
        <f>SUM(Q36:U36)</f>
        <v>1.8119999999999999E-5</v>
      </c>
      <c r="W36" s="210"/>
      <c r="X36" s="210"/>
      <c r="Y36" s="210"/>
      <c r="Z36" s="217">
        <f t="shared" ref="Z36" si="16">SUM(W36:Y36)</f>
        <v>0</v>
      </c>
      <c r="AA36" s="180">
        <f t="shared" ref="AA36" si="17">+V36+Z36+P36</f>
        <v>1.8119999999999999E-5</v>
      </c>
      <c r="AB36" s="73">
        <f t="shared" ref="AB36:AB44" si="18">$H$2*F36</f>
        <v>1.9221491537097945E-5</v>
      </c>
      <c r="AC36" s="73">
        <f t="shared" ref="AC36:AC44" si="19">+$H$3*F36</f>
        <v>8.1533525783313477E-6</v>
      </c>
      <c r="AD36" s="73">
        <f t="shared" ref="AD36:AD44" si="20">+$H$4*F36</f>
        <v>1.0314000000000002E-6</v>
      </c>
      <c r="AE36" s="73">
        <f t="shared" ref="AE36:AE44" si="21">+$H$5*F36</f>
        <v>2.1020400000000006E-6</v>
      </c>
      <c r="AF36" s="182">
        <f t="shared" ref="AF36:AF44" si="22">+$H$6*F36</f>
        <v>1.5462E-8</v>
      </c>
      <c r="AG36" s="162">
        <f t="shared" ref="AG36:AG44" si="23">+AF36+AD36+AC36+AB36+AA36+AE36</f>
        <v>4.8643746115429288E-5</v>
      </c>
      <c r="AH36" s="183">
        <f t="shared" ref="AH36:AJ45" si="24">+AA36/$F36*100</f>
        <v>10.066666666666665</v>
      </c>
      <c r="AI36" s="183">
        <f t="shared" si="24"/>
        <v>10.678606409498856</v>
      </c>
      <c r="AJ36" s="183">
        <f t="shared" si="24"/>
        <v>4.5296403212951919</v>
      </c>
      <c r="AK36" s="160">
        <f t="shared" ref="AK36:AK45" si="25">+AG36/$F36*100</f>
        <v>27.024303397460709</v>
      </c>
      <c r="AL36" s="183">
        <f t="shared" ref="AL36:AN45" si="26">+AE36/$F36*100</f>
        <v>1.1678000000000002</v>
      </c>
      <c r="AM36" s="183">
        <f t="shared" si="26"/>
        <v>8.5899999999999969E-3</v>
      </c>
      <c r="AN36" s="160">
        <f t="shared" si="26"/>
        <v>27.024303397460709</v>
      </c>
      <c r="AO36" s="72"/>
      <c r="AP36" s="72"/>
      <c r="AQ36" s="72"/>
      <c r="AR36" s="72"/>
      <c r="AS36" s="72"/>
      <c r="AT36" s="72"/>
      <c r="AU36" s="72"/>
      <c r="AV36" s="72"/>
      <c r="AW36" s="72"/>
      <c r="AX36" s="72"/>
      <c r="AY36" s="72"/>
      <c r="AZ36" s="72"/>
      <c r="BA36" s="72"/>
      <c r="BB36" s="72"/>
    </row>
    <row r="37" spans="2:54">
      <c r="B37" s="165" t="s">
        <v>21</v>
      </c>
      <c r="C37" s="74" t="s">
        <v>253</v>
      </c>
      <c r="D37" s="166" t="s">
        <v>264</v>
      </c>
      <c r="E37" s="398">
        <v>10</v>
      </c>
      <c r="F37" s="214">
        <v>4.9200000000000008</v>
      </c>
      <c r="G37" s="169"/>
      <c r="H37" s="169"/>
      <c r="I37" s="169"/>
      <c r="J37" s="206"/>
      <c r="K37" s="218">
        <v>625</v>
      </c>
      <c r="L37" s="215"/>
      <c r="M37" s="207"/>
      <c r="N37" s="207"/>
      <c r="O37" s="207"/>
      <c r="P37" s="174">
        <v>5.9999999999999995E-4</v>
      </c>
      <c r="Q37" s="176"/>
      <c r="R37" s="176"/>
      <c r="S37" s="176"/>
      <c r="T37" s="176"/>
      <c r="U37" s="175">
        <v>0.41569080000000003</v>
      </c>
      <c r="V37" s="177">
        <f>SUM(Q37:U37)</f>
        <v>0.41569080000000003</v>
      </c>
      <c r="W37" s="210"/>
      <c r="X37" s="210"/>
      <c r="Y37" s="210"/>
      <c r="Z37" s="217">
        <f>SUM(W37:Y37)</f>
        <v>0</v>
      </c>
      <c r="AA37" s="180">
        <f>+V37+Z37+P37</f>
        <v>0.41629080000000002</v>
      </c>
      <c r="AB37" s="73">
        <f t="shared" si="18"/>
        <v>0.52538743534734378</v>
      </c>
      <c r="AC37" s="73">
        <f t="shared" si="19"/>
        <v>0.22285830380772351</v>
      </c>
      <c r="AD37" s="73">
        <f t="shared" si="20"/>
        <v>2.8191600000000004E-2</v>
      </c>
      <c r="AE37" s="73">
        <f t="shared" si="21"/>
        <v>5.7455760000000015E-2</v>
      </c>
      <c r="AF37" s="182">
        <f t="shared" si="22"/>
        <v>4.2262800000000003E-4</v>
      </c>
      <c r="AG37" s="162">
        <f t="shared" si="23"/>
        <v>1.2506065271550675</v>
      </c>
      <c r="AH37" s="183">
        <f t="shared" si="24"/>
        <v>8.4611951219512189</v>
      </c>
      <c r="AI37" s="183">
        <f t="shared" si="24"/>
        <v>10.678606409498856</v>
      </c>
      <c r="AJ37" s="183">
        <f t="shared" si="24"/>
        <v>4.5296403212951928</v>
      </c>
      <c r="AK37" s="160">
        <f t="shared" si="25"/>
        <v>25.418831852745271</v>
      </c>
      <c r="AL37" s="183">
        <f t="shared" si="26"/>
        <v>1.1678000000000002</v>
      </c>
      <c r="AM37" s="183">
        <f t="shared" si="26"/>
        <v>8.5899999999999987E-3</v>
      </c>
      <c r="AN37" s="160">
        <f t="shared" si="26"/>
        <v>25.418831852745271</v>
      </c>
      <c r="AO37" s="72"/>
      <c r="AP37" s="72"/>
      <c r="AQ37" s="72"/>
      <c r="AR37" s="72"/>
      <c r="AS37" s="72"/>
      <c r="AT37" s="72"/>
      <c r="AU37" s="72"/>
      <c r="AV37" s="72"/>
      <c r="AW37" s="72"/>
      <c r="AX37" s="72"/>
      <c r="AY37" s="72"/>
      <c r="AZ37" s="72"/>
      <c r="BA37" s="72"/>
      <c r="BB37" s="72"/>
    </row>
    <row r="38" spans="2:54">
      <c r="B38" s="165" t="s">
        <v>21</v>
      </c>
      <c r="C38" s="74" t="s">
        <v>253</v>
      </c>
      <c r="D38" s="166" t="s">
        <v>265</v>
      </c>
      <c r="E38" s="398">
        <v>1</v>
      </c>
      <c r="F38" s="214">
        <v>6.4235519999999982</v>
      </c>
      <c r="G38" s="169"/>
      <c r="H38" s="169"/>
      <c r="I38" s="169"/>
      <c r="J38" s="206"/>
      <c r="K38" s="218">
        <v>816</v>
      </c>
      <c r="L38" s="215"/>
      <c r="M38" s="207"/>
      <c r="N38" s="207"/>
      <c r="O38" s="207"/>
      <c r="P38" s="174">
        <v>6.0000000000000002E-5</v>
      </c>
      <c r="Q38" s="176"/>
      <c r="R38" s="176"/>
      <c r="S38" s="176"/>
      <c r="T38" s="176"/>
      <c r="U38" s="175">
        <v>0.5427259084799998</v>
      </c>
      <c r="V38" s="177">
        <f t="shared" ref="V38:V43" si="27">SUM(Q38:U38)</f>
        <v>0.5427259084799998</v>
      </c>
      <c r="W38" s="210"/>
      <c r="X38" s="210"/>
      <c r="Y38" s="210"/>
      <c r="Z38" s="217">
        <f t="shared" ref="Z38:Z44" si="28">SUM(W38:Y38)</f>
        <v>0</v>
      </c>
      <c r="AA38" s="180">
        <f t="shared" ref="AA38:AA44" si="29">+V38+Z38+P38</f>
        <v>0.54278590847999975</v>
      </c>
      <c r="AB38" s="73">
        <f t="shared" si="18"/>
        <v>0.68594583558949174</v>
      </c>
      <c r="AC38" s="73">
        <f t="shared" si="19"/>
        <v>0.29096380145136369</v>
      </c>
      <c r="AD38" s="73">
        <f t="shared" si="20"/>
        <v>3.6806952959999986E-2</v>
      </c>
      <c r="AE38" s="73">
        <f t="shared" si="21"/>
        <v>7.5014240255999981E-2</v>
      </c>
      <c r="AF38" s="182">
        <f t="shared" si="22"/>
        <v>5.5178311679999971E-4</v>
      </c>
      <c r="AG38" s="162">
        <f t="shared" si="23"/>
        <v>1.632068521853655</v>
      </c>
      <c r="AH38" s="183">
        <f t="shared" si="24"/>
        <v>8.449934062649449</v>
      </c>
      <c r="AI38" s="183">
        <f t="shared" si="24"/>
        <v>10.678606409498856</v>
      </c>
      <c r="AJ38" s="183">
        <f t="shared" si="24"/>
        <v>4.5296403212951928</v>
      </c>
      <c r="AK38" s="160">
        <f t="shared" si="25"/>
        <v>25.407570793443497</v>
      </c>
      <c r="AL38" s="183">
        <f t="shared" si="26"/>
        <v>1.1678000000000002</v>
      </c>
      <c r="AM38" s="183">
        <f t="shared" si="26"/>
        <v>8.5899999999999969E-3</v>
      </c>
      <c r="AN38" s="160">
        <f t="shared" si="26"/>
        <v>25.407570793443497</v>
      </c>
      <c r="AO38" s="72"/>
      <c r="AP38" s="72"/>
      <c r="AQ38" s="72"/>
      <c r="AR38" s="72"/>
      <c r="AS38" s="72"/>
      <c r="AT38" s="72"/>
      <c r="AU38" s="72"/>
      <c r="AV38" s="72"/>
      <c r="AW38" s="72"/>
      <c r="AX38" s="72"/>
      <c r="AY38" s="72"/>
      <c r="AZ38" s="72"/>
      <c r="BA38" s="72"/>
      <c r="BB38" s="72"/>
    </row>
    <row r="39" spans="2:54">
      <c r="B39" s="165" t="s">
        <v>21</v>
      </c>
      <c r="C39" s="74" t="s">
        <v>253</v>
      </c>
      <c r="D39" s="166" t="s">
        <v>266</v>
      </c>
      <c r="E39" s="398">
        <v>37</v>
      </c>
      <c r="F39" s="214">
        <v>5.11158</v>
      </c>
      <c r="G39" s="169"/>
      <c r="H39" s="169"/>
      <c r="I39" s="169"/>
      <c r="J39" s="206"/>
      <c r="K39" s="218">
        <v>1024</v>
      </c>
      <c r="L39" s="215"/>
      <c r="M39" s="207"/>
      <c r="N39" s="207"/>
      <c r="O39" s="207"/>
      <c r="P39" s="174">
        <v>2.2200000000000002E-3</v>
      </c>
      <c r="Q39" s="176"/>
      <c r="R39" s="176"/>
      <c r="S39" s="176"/>
      <c r="T39" s="176"/>
      <c r="U39" s="175">
        <v>0.43187739419999999</v>
      </c>
      <c r="V39" s="177">
        <f t="shared" si="27"/>
        <v>0.43187739419999999</v>
      </c>
      <c r="W39" s="210"/>
      <c r="X39" s="210"/>
      <c r="Y39" s="210"/>
      <c r="Z39" s="217">
        <f t="shared" si="28"/>
        <v>0</v>
      </c>
      <c r="AA39" s="180">
        <f t="shared" si="29"/>
        <v>0.43409739419999999</v>
      </c>
      <c r="AB39" s="73">
        <f t="shared" si="18"/>
        <v>0.54584550950666166</v>
      </c>
      <c r="AC39" s="73">
        <f t="shared" si="19"/>
        <v>0.2315361887352608</v>
      </c>
      <c r="AD39" s="73">
        <f t="shared" si="20"/>
        <v>2.9289353399999999E-2</v>
      </c>
      <c r="AE39" s="73">
        <f t="shared" si="21"/>
        <v>5.9693031240000007E-2</v>
      </c>
      <c r="AF39" s="182">
        <f t="shared" si="22"/>
        <v>4.3908472199999995E-4</v>
      </c>
      <c r="AG39" s="162">
        <f t="shared" si="23"/>
        <v>1.3009005618039224</v>
      </c>
      <c r="AH39" s="183">
        <f t="shared" si="24"/>
        <v>8.4924307983050245</v>
      </c>
      <c r="AI39" s="183">
        <f t="shared" si="24"/>
        <v>10.678606409498856</v>
      </c>
      <c r="AJ39" s="183">
        <f t="shared" si="24"/>
        <v>4.5296403212951928</v>
      </c>
      <c r="AK39" s="160">
        <f t="shared" si="25"/>
        <v>25.450067529099073</v>
      </c>
      <c r="AL39" s="183">
        <f t="shared" si="26"/>
        <v>1.1678000000000002</v>
      </c>
      <c r="AM39" s="183">
        <f t="shared" si="26"/>
        <v>8.5899999999999987E-3</v>
      </c>
      <c r="AN39" s="160">
        <f t="shared" si="26"/>
        <v>25.450067529099073</v>
      </c>
      <c r="AO39" s="72"/>
      <c r="AP39" s="72"/>
      <c r="AQ39" s="72"/>
      <c r="AR39" s="72"/>
      <c r="AS39" s="72"/>
      <c r="AT39" s="72"/>
      <c r="AU39" s="72"/>
      <c r="AV39" s="72"/>
      <c r="AW39" s="72"/>
      <c r="AX39" s="72"/>
      <c r="AY39" s="72"/>
      <c r="AZ39" s="72"/>
      <c r="BA39" s="72"/>
      <c r="BB39" s="72"/>
    </row>
    <row r="40" spans="2:54">
      <c r="B40" s="165" t="s">
        <v>22</v>
      </c>
      <c r="C40" s="74" t="s">
        <v>253</v>
      </c>
      <c r="D40" s="166" t="s">
        <v>267</v>
      </c>
      <c r="E40" s="398">
        <v>693</v>
      </c>
      <c r="F40" s="214">
        <v>0.15366000000000002</v>
      </c>
      <c r="G40" s="169"/>
      <c r="H40" s="169"/>
      <c r="I40" s="169"/>
      <c r="J40" s="206"/>
      <c r="K40" s="218">
        <v>923</v>
      </c>
      <c r="L40" s="215"/>
      <c r="M40" s="207"/>
      <c r="N40" s="207"/>
      <c r="O40" s="207"/>
      <c r="P40" s="174">
        <v>1.2309599999999999E-2</v>
      </c>
      <c r="Q40" s="176"/>
      <c r="R40" s="176"/>
      <c r="S40" s="176"/>
      <c r="T40" s="176"/>
      <c r="U40" s="175">
        <v>1.2982733400000002E-2</v>
      </c>
      <c r="V40" s="177">
        <f t="shared" si="27"/>
        <v>1.2982733400000002E-2</v>
      </c>
      <c r="W40" s="210"/>
      <c r="X40" s="210"/>
      <c r="Y40" s="210"/>
      <c r="Z40" s="217">
        <f t="shared" si="28"/>
        <v>0</v>
      </c>
      <c r="AA40" s="180">
        <f t="shared" si="29"/>
        <v>2.5292333399999999E-2</v>
      </c>
      <c r="AB40" s="73">
        <f t="shared" si="18"/>
        <v>1.6408746608835945E-2</v>
      </c>
      <c r="AC40" s="73">
        <f t="shared" si="19"/>
        <v>6.9602453177021939E-3</v>
      </c>
      <c r="AD40" s="73">
        <f t="shared" si="20"/>
        <v>8.8047180000000013E-4</v>
      </c>
      <c r="AE40" s="73">
        <f t="shared" si="21"/>
        <v>1.7944414800000004E-3</v>
      </c>
      <c r="AF40" s="182">
        <f t="shared" si="22"/>
        <v>1.3199394E-5</v>
      </c>
      <c r="AG40" s="162">
        <f t="shared" si="23"/>
        <v>5.1349438000538136E-2</v>
      </c>
      <c r="AH40" s="183">
        <f t="shared" si="24"/>
        <v>16.459933229207337</v>
      </c>
      <c r="AI40" s="183">
        <f t="shared" si="24"/>
        <v>10.678606409498856</v>
      </c>
      <c r="AJ40" s="183">
        <f t="shared" si="24"/>
        <v>4.5296403212951928</v>
      </c>
      <c r="AK40" s="160">
        <f t="shared" si="25"/>
        <v>33.417569960001387</v>
      </c>
      <c r="AL40" s="183">
        <f t="shared" si="26"/>
        <v>1.1678000000000002</v>
      </c>
      <c r="AM40" s="183">
        <f t="shared" si="26"/>
        <v>8.5899999999999987E-3</v>
      </c>
      <c r="AN40" s="160">
        <f>+AG40/$F40*100</f>
        <v>33.417569960001387</v>
      </c>
      <c r="AO40" s="72"/>
      <c r="AP40" s="72"/>
      <c r="AQ40" s="72"/>
      <c r="AR40" s="72"/>
      <c r="AS40" s="72"/>
      <c r="AT40" s="72"/>
      <c r="AU40" s="72"/>
      <c r="AV40" s="72"/>
      <c r="AW40" s="72"/>
      <c r="AX40" s="72"/>
      <c r="AY40" s="72"/>
      <c r="AZ40" s="72"/>
      <c r="BA40" s="72"/>
      <c r="BB40" s="72"/>
    </row>
    <row r="41" spans="2:54">
      <c r="B41" s="165" t="s">
        <v>10</v>
      </c>
      <c r="C41" s="74" t="s">
        <v>253</v>
      </c>
      <c r="D41" s="166" t="s">
        <v>268</v>
      </c>
      <c r="E41" s="398">
        <v>113344.41666666667</v>
      </c>
      <c r="F41" s="205">
        <v>2237.1731773805627</v>
      </c>
      <c r="G41" s="169"/>
      <c r="H41" s="169"/>
      <c r="I41" s="169"/>
      <c r="J41" s="206"/>
      <c r="K41" s="215"/>
      <c r="L41" s="215"/>
      <c r="M41" s="207"/>
      <c r="N41" s="207"/>
      <c r="O41" s="207"/>
      <c r="P41" s="174">
        <v>6.82944</v>
      </c>
      <c r="Q41" s="176"/>
      <c r="R41" s="176"/>
      <c r="S41" s="176"/>
      <c r="T41" s="176"/>
      <c r="U41" s="175">
        <v>189.01876175688375</v>
      </c>
      <c r="V41" s="177">
        <f t="shared" si="27"/>
        <v>189.01876175688375</v>
      </c>
      <c r="W41" s="210"/>
      <c r="X41" s="210"/>
      <c r="Y41" s="210"/>
      <c r="Z41" s="217">
        <f t="shared" si="28"/>
        <v>0</v>
      </c>
      <c r="AA41" s="180">
        <f t="shared" si="29"/>
        <v>195.84820175688375</v>
      </c>
      <c r="AB41" s="73">
        <f t="shared" si="18"/>
        <v>238.89891831134997</v>
      </c>
      <c r="AC41" s="73">
        <f t="shared" si="19"/>
        <v>101.33589829983079</v>
      </c>
      <c r="AD41" s="73">
        <f t="shared" si="20"/>
        <v>12.819002306390624</v>
      </c>
      <c r="AE41" s="73">
        <f t="shared" si="21"/>
        <v>26.125708365450212</v>
      </c>
      <c r="AF41" s="182">
        <f t="shared" si="22"/>
        <v>0.19217317593699032</v>
      </c>
      <c r="AG41" s="162">
        <f t="shared" si="23"/>
        <v>575.21990221584235</v>
      </c>
      <c r="AH41" s="183">
        <f t="shared" si="24"/>
        <v>8.7542709584153151</v>
      </c>
      <c r="AI41" s="183">
        <f t="shared" si="24"/>
        <v>10.678606409498856</v>
      </c>
      <c r="AJ41" s="183">
        <f t="shared" si="24"/>
        <v>4.5296403212951928</v>
      </c>
      <c r="AK41" s="160">
        <f t="shared" si="25"/>
        <v>25.711907689209362</v>
      </c>
      <c r="AL41" s="183">
        <f t="shared" si="26"/>
        <v>1.1678000000000002</v>
      </c>
      <c r="AM41" s="183">
        <f t="shared" si="26"/>
        <v>8.5899999999999987E-3</v>
      </c>
      <c r="AN41" s="160">
        <f t="shared" si="26"/>
        <v>25.711907689209362</v>
      </c>
      <c r="AO41" s="72"/>
      <c r="AP41" s="72"/>
      <c r="AQ41" s="72"/>
      <c r="AR41" s="72"/>
      <c r="AS41" s="72"/>
      <c r="AT41" s="72"/>
      <c r="AU41" s="72"/>
      <c r="AV41" s="72"/>
      <c r="AW41" s="72"/>
      <c r="AX41" s="72"/>
      <c r="AY41" s="72"/>
      <c r="AZ41" s="72"/>
      <c r="BA41" s="72"/>
      <c r="BB41" s="72"/>
    </row>
    <row r="42" spans="2:54">
      <c r="B42" s="165" t="s">
        <v>12</v>
      </c>
      <c r="C42" s="74" t="s">
        <v>269</v>
      </c>
      <c r="D42" s="166" t="s">
        <v>270</v>
      </c>
      <c r="E42" s="398">
        <v>10587.5</v>
      </c>
      <c r="F42" s="205">
        <v>3695.2588557477102</v>
      </c>
      <c r="G42" s="169">
        <v>3695.2588557477102</v>
      </c>
      <c r="H42" s="169"/>
      <c r="I42" s="169"/>
      <c r="J42" s="206"/>
      <c r="K42" s="206"/>
      <c r="L42" s="400">
        <v>13351584</v>
      </c>
      <c r="M42" s="207">
        <v>13924740</v>
      </c>
      <c r="N42" s="207"/>
      <c r="O42" s="207"/>
      <c r="P42" s="174">
        <v>25.3248</v>
      </c>
      <c r="Q42" s="175">
        <v>162.15313539632518</v>
      </c>
      <c r="R42" s="175">
        <v>0</v>
      </c>
      <c r="S42" s="176"/>
      <c r="T42" s="176"/>
      <c r="U42" s="176"/>
      <c r="V42" s="177">
        <f t="shared" si="27"/>
        <v>162.15313539632518</v>
      </c>
      <c r="W42" s="175">
        <v>112.79039400000001</v>
      </c>
      <c r="X42" s="210"/>
      <c r="Y42" s="210"/>
      <c r="Z42" s="217">
        <f t="shared" si="28"/>
        <v>112.79039400000001</v>
      </c>
      <c r="AA42" s="180">
        <f t="shared" si="29"/>
        <v>300.26832939632516</v>
      </c>
      <c r="AB42" s="73">
        <f t="shared" si="18"/>
        <v>394.60214901744905</v>
      </c>
      <c r="AC42" s="73">
        <f t="shared" si="19"/>
        <v>167.38193510617964</v>
      </c>
      <c r="AD42" s="73">
        <f t="shared" si="20"/>
        <v>21.17383324343438</v>
      </c>
      <c r="AE42" s="73">
        <f t="shared" si="21"/>
        <v>43.153232917421761</v>
      </c>
      <c r="AF42" s="182">
        <f t="shared" si="22"/>
        <v>0.31742273570872825</v>
      </c>
      <c r="AG42" s="162">
        <f t="shared" si="23"/>
        <v>926.89690241651874</v>
      </c>
      <c r="AH42" s="183">
        <f t="shared" si="24"/>
        <v>8.1257725403804741</v>
      </c>
      <c r="AI42" s="183">
        <f t="shared" si="24"/>
        <v>10.678606409498856</v>
      </c>
      <c r="AJ42" s="183">
        <f t="shared" si="24"/>
        <v>4.5296403212951928</v>
      </c>
      <c r="AK42" s="160">
        <f t="shared" si="25"/>
        <v>25.083409271174524</v>
      </c>
      <c r="AL42" s="183">
        <f t="shared" si="26"/>
        <v>1.1678000000000002</v>
      </c>
      <c r="AM42" s="183">
        <f t="shared" si="26"/>
        <v>8.5899999999999987E-3</v>
      </c>
      <c r="AN42" s="160">
        <f t="shared" si="26"/>
        <v>25.083409271174524</v>
      </c>
      <c r="AO42" s="72"/>
      <c r="AP42" s="72">
        <f>+AN42/100</f>
        <v>0.25083409271174523</v>
      </c>
      <c r="AQ42" s="72"/>
      <c r="AR42" s="72"/>
      <c r="AS42" s="72"/>
      <c r="AT42" s="72"/>
      <c r="AU42" s="72"/>
      <c r="AV42" s="72"/>
      <c r="AW42" s="72"/>
      <c r="AX42" s="72"/>
      <c r="AY42" s="72"/>
      <c r="AZ42" s="72"/>
      <c r="BA42" s="72"/>
      <c r="BB42" s="72"/>
    </row>
    <row r="43" spans="2:54">
      <c r="B43" s="165" t="s">
        <v>13</v>
      </c>
      <c r="C43" s="74" t="s">
        <v>271</v>
      </c>
      <c r="D43" s="166" t="s">
        <v>272</v>
      </c>
      <c r="E43" s="398">
        <v>399.83333333333331</v>
      </c>
      <c r="F43" s="205">
        <v>1679.3258089021394</v>
      </c>
      <c r="G43" s="169">
        <v>1354.5647999999999</v>
      </c>
      <c r="H43" s="169">
        <v>324.76100890213991</v>
      </c>
      <c r="I43" s="169"/>
      <c r="J43" s="206"/>
      <c r="K43" s="206"/>
      <c r="L43" s="400">
        <v>4515216</v>
      </c>
      <c r="M43" s="207">
        <v>4122612</v>
      </c>
      <c r="N43" s="207"/>
      <c r="O43" s="207"/>
      <c r="P43" s="174">
        <v>2.0897999999999999</v>
      </c>
      <c r="Q43" s="175">
        <v>37.547276688000004</v>
      </c>
      <c r="R43" s="175">
        <v>17.607038771168881</v>
      </c>
      <c r="S43" s="176"/>
      <c r="T43" s="176"/>
      <c r="U43" s="176"/>
      <c r="V43" s="177">
        <f t="shared" si="27"/>
        <v>55.154315459168885</v>
      </c>
      <c r="W43" s="175">
        <v>31.744112400000002</v>
      </c>
      <c r="X43" s="210"/>
      <c r="Y43" s="210"/>
      <c r="Z43" s="217">
        <f t="shared" si="28"/>
        <v>31.744112400000002</v>
      </c>
      <c r="AA43" s="180">
        <f t="shared" si="29"/>
        <v>88.988227859168887</v>
      </c>
      <c r="AB43" s="73">
        <f t="shared" si="18"/>
        <v>179.32859346579238</v>
      </c>
      <c r="AC43" s="73">
        <f t="shared" si="19"/>
        <v>76.067418965947965</v>
      </c>
      <c r="AD43" s="73">
        <f t="shared" si="20"/>
        <v>9.622536885009259</v>
      </c>
      <c r="AE43" s="73">
        <f t="shared" si="21"/>
        <v>19.611166796359186</v>
      </c>
      <c r="AF43" s="182">
        <f t="shared" si="22"/>
        <v>0.14425408698469375</v>
      </c>
      <c r="AG43" s="162">
        <f t="shared" si="23"/>
        <v>373.76219805926235</v>
      </c>
      <c r="AH43" s="183">
        <f t="shared" si="24"/>
        <v>5.2990448540384794</v>
      </c>
      <c r="AI43" s="183">
        <f t="shared" si="24"/>
        <v>10.678606409498856</v>
      </c>
      <c r="AJ43" s="183">
        <f t="shared" si="24"/>
        <v>4.5296403212951928</v>
      </c>
      <c r="AK43" s="160">
        <f t="shared" si="25"/>
        <v>22.256681584832528</v>
      </c>
      <c r="AL43" s="183">
        <f t="shared" si="26"/>
        <v>1.1678000000000002</v>
      </c>
      <c r="AM43" s="183">
        <f t="shared" si="26"/>
        <v>8.5899999999999987E-3</v>
      </c>
      <c r="AN43" s="160">
        <f t="shared" si="26"/>
        <v>22.256681584832528</v>
      </c>
      <c r="AO43" s="72"/>
      <c r="AP43" s="72">
        <f>SUM(AG41:AG42)/SUM(F41:F42)</f>
        <v>0.25320421645695101</v>
      </c>
      <c r="AQ43" s="72"/>
      <c r="AR43" s="72"/>
      <c r="AS43" s="72"/>
      <c r="AT43" s="72"/>
      <c r="AU43" s="72"/>
      <c r="AV43" s="72"/>
      <c r="AW43" s="72"/>
      <c r="AX43" s="72"/>
      <c r="AY43" s="72"/>
      <c r="AZ43" s="72"/>
      <c r="BA43" s="72"/>
      <c r="BB43" s="72"/>
    </row>
    <row r="44" spans="2:54">
      <c r="B44" s="165" t="s">
        <v>14</v>
      </c>
      <c r="C44" s="74" t="s">
        <v>269</v>
      </c>
      <c r="D44" s="166" t="s">
        <v>273</v>
      </c>
      <c r="E44" s="398">
        <v>1</v>
      </c>
      <c r="F44" s="205">
        <v>6.058689152868368</v>
      </c>
      <c r="G44" s="219"/>
      <c r="H44" s="219"/>
      <c r="I44" s="219">
        <v>2.8007927132038137</v>
      </c>
      <c r="J44" s="220">
        <v>3.2578964396645538</v>
      </c>
      <c r="K44" s="220"/>
      <c r="L44" s="221"/>
      <c r="M44" s="207"/>
      <c r="N44" s="207">
        <v>19824</v>
      </c>
      <c r="O44" s="207">
        <v>18996</v>
      </c>
      <c r="P44" s="174">
        <v>2.3999999999999998E-3</v>
      </c>
      <c r="S44" s="175">
        <v>0.14187245371763313</v>
      </c>
      <c r="T44" s="175">
        <v>6.0362250696661082E-2</v>
      </c>
      <c r="U44" s="222"/>
      <c r="V44" s="177">
        <f>SUM(Q44:U44)</f>
        <v>0.2022347044142942</v>
      </c>
      <c r="W44" s="210"/>
      <c r="X44" s="175">
        <v>0.16057440000000001</v>
      </c>
      <c r="Y44" s="175">
        <v>2.0895600000000004E-2</v>
      </c>
      <c r="Z44" s="217">
        <f t="shared" si="28"/>
        <v>0.18147000000000002</v>
      </c>
      <c r="AA44" s="180">
        <f t="shared" si="29"/>
        <v>0.38610470441429423</v>
      </c>
      <c r="AB44" s="73">
        <f t="shared" si="18"/>
        <v>0.64698356820981351</v>
      </c>
      <c r="AC44" s="73">
        <f t="shared" si="19"/>
        <v>0.27443682681026371</v>
      </c>
      <c r="AD44" s="73">
        <f t="shared" si="20"/>
        <v>3.471628884593575E-2</v>
      </c>
      <c r="AE44" s="73">
        <f t="shared" si="21"/>
        <v>7.0753371927196801E-2</v>
      </c>
      <c r="AF44" s="182">
        <f t="shared" si="22"/>
        <v>5.204413982313927E-4</v>
      </c>
      <c r="AG44" s="162">
        <f t="shared" si="23"/>
        <v>1.4135152016057355</v>
      </c>
      <c r="AH44" s="183">
        <f t="shared" si="24"/>
        <v>6.3727432563775039</v>
      </c>
      <c r="AI44" s="183">
        <f t="shared" si="24"/>
        <v>10.678606409498856</v>
      </c>
      <c r="AJ44" s="183">
        <f t="shared" si="24"/>
        <v>4.5296403212951928</v>
      </c>
      <c r="AK44" s="160">
        <f t="shared" si="25"/>
        <v>23.330379987171554</v>
      </c>
      <c r="AL44" s="183">
        <f t="shared" si="26"/>
        <v>1.1677999999999999</v>
      </c>
      <c r="AM44" s="183">
        <f t="shared" si="26"/>
        <v>8.5899999999999987E-3</v>
      </c>
      <c r="AN44" s="160">
        <f t="shared" si="26"/>
        <v>23.330379987171554</v>
      </c>
      <c r="AO44" s="72"/>
      <c r="AP44" s="72"/>
      <c r="AQ44" s="72"/>
      <c r="AR44" s="72"/>
      <c r="AS44" s="72"/>
      <c r="AT44" s="72"/>
      <c r="AU44" s="72"/>
      <c r="AV44" s="72"/>
      <c r="AW44" s="72"/>
      <c r="AX44" s="72"/>
      <c r="AY44" s="72"/>
      <c r="AZ44" s="72"/>
      <c r="BA44" s="72"/>
      <c r="BB44" s="72"/>
    </row>
    <row r="45" spans="2:54">
      <c r="B45" s="165"/>
      <c r="C45" s="187"/>
      <c r="D45" s="187" t="s">
        <v>222</v>
      </c>
      <c r="E45" s="188">
        <f>SUM(E36:E44)</f>
        <v>125074.75</v>
      </c>
      <c r="F45" s="189">
        <f t="shared" ref="F45:J45" si="30">SUM(F36:F44)</f>
        <v>7634.4255031832799</v>
      </c>
      <c r="G45" s="190">
        <f t="shared" si="30"/>
        <v>5049.8236557477103</v>
      </c>
      <c r="H45" s="190">
        <f t="shared" si="30"/>
        <v>324.76100890213991</v>
      </c>
      <c r="I45" s="190">
        <f t="shared" si="30"/>
        <v>2.8007927132038137</v>
      </c>
      <c r="J45" s="191">
        <f t="shared" si="30"/>
        <v>3.2578964396645538</v>
      </c>
      <c r="K45" s="191"/>
      <c r="L45" s="191"/>
      <c r="M45" s="223">
        <f>SUM(M36:M44)</f>
        <v>18047352</v>
      </c>
      <c r="N45" s="223">
        <f>SUM(N36:N44)</f>
        <v>19824</v>
      </c>
      <c r="O45" s="224">
        <f>SUM(O36:O44)</f>
        <v>18996</v>
      </c>
      <c r="P45" s="194">
        <f>SUM(P36:P44)</f>
        <v>34.261629599999999</v>
      </c>
      <c r="Q45" s="195">
        <f t="shared" ref="Q45:AG45" si="31">SUM(Q36:Q44)</f>
        <v>199.70041208432519</v>
      </c>
      <c r="R45" s="195">
        <f t="shared" si="31"/>
        <v>17.607038771168881</v>
      </c>
      <c r="S45" s="195">
        <f t="shared" si="31"/>
        <v>0.14187245371763313</v>
      </c>
      <c r="T45" s="195">
        <f t="shared" si="31"/>
        <v>6.0362250696661082E-2</v>
      </c>
      <c r="U45" s="195">
        <f t="shared" si="31"/>
        <v>190.42205671296375</v>
      </c>
      <c r="V45" s="196">
        <f>SUM(V36:V44)</f>
        <v>407.93174227287216</v>
      </c>
      <c r="W45" s="225">
        <f t="shared" si="31"/>
        <v>144.5345064</v>
      </c>
      <c r="X45" s="226">
        <f t="shared" si="31"/>
        <v>0.16057440000000001</v>
      </c>
      <c r="Y45" s="226">
        <f t="shared" si="31"/>
        <v>2.0895600000000004E-2</v>
      </c>
      <c r="Z45" s="227">
        <f t="shared" si="31"/>
        <v>144.71597639999999</v>
      </c>
      <c r="AA45" s="197">
        <f t="shared" si="31"/>
        <v>586.90934827287208</v>
      </c>
      <c r="AB45" s="198">
        <f t="shared" si="31"/>
        <v>815.25025111134505</v>
      </c>
      <c r="AC45" s="198">
        <f t="shared" si="31"/>
        <v>345.81201589143325</v>
      </c>
      <c r="AD45" s="198">
        <f t="shared" si="31"/>
        <v>43.745258133240199</v>
      </c>
      <c r="AE45" s="198">
        <f t="shared" si="31"/>
        <v>89.154821026174346</v>
      </c>
      <c r="AF45" s="199">
        <f t="shared" si="31"/>
        <v>0.65579715072344369</v>
      </c>
      <c r="AG45" s="200">
        <f t="shared" si="31"/>
        <v>1881.5274915857885</v>
      </c>
      <c r="AH45" s="201">
        <f t="shared" si="24"/>
        <v>7.6876688105496873</v>
      </c>
      <c r="AI45" s="201">
        <f t="shared" si="24"/>
        <v>10.678606409498856</v>
      </c>
      <c r="AJ45" s="201">
        <f t="shared" si="24"/>
        <v>4.5296403212951928</v>
      </c>
      <c r="AK45" s="202">
        <f t="shared" si="25"/>
        <v>24.645305541343738</v>
      </c>
      <c r="AL45" s="201">
        <f t="shared" si="26"/>
        <v>1.1678000000000002</v>
      </c>
      <c r="AM45" s="201">
        <f t="shared" si="26"/>
        <v>8.5899999999999987E-3</v>
      </c>
      <c r="AN45" s="202">
        <f t="shared" si="26"/>
        <v>24.645305541343738</v>
      </c>
      <c r="AO45" s="72"/>
      <c r="AP45" s="72">
        <f>+AN45/100</f>
        <v>0.24645305541343737</v>
      </c>
      <c r="AQ45" s="72"/>
      <c r="AR45" s="72"/>
      <c r="AS45" s="72"/>
      <c r="AT45" s="72"/>
      <c r="AU45" s="72"/>
      <c r="AV45" s="72"/>
      <c r="AW45" s="72"/>
      <c r="AX45" s="72"/>
      <c r="AY45" s="72"/>
      <c r="AZ45" s="72"/>
      <c r="BA45" s="72"/>
      <c r="BB45" s="72"/>
    </row>
    <row r="46" spans="2:54" ht="24.75" customHeight="1">
      <c r="C46" s="155" t="s">
        <v>274</v>
      </c>
      <c r="D46" s="72"/>
      <c r="E46" s="156"/>
      <c r="F46" s="157"/>
      <c r="G46" s="169"/>
      <c r="H46" s="169"/>
      <c r="I46" s="169"/>
      <c r="J46" s="228"/>
      <c r="K46" s="228"/>
      <c r="L46" s="228"/>
      <c r="M46" s="169"/>
      <c r="N46" s="169"/>
      <c r="O46" s="169"/>
      <c r="P46" s="208"/>
      <c r="Q46" s="176"/>
      <c r="R46" s="176"/>
      <c r="S46" s="176"/>
      <c r="T46" s="176"/>
      <c r="U46" s="176"/>
      <c r="V46" s="209"/>
      <c r="W46" s="179"/>
      <c r="X46" s="179"/>
      <c r="Y46" s="179"/>
      <c r="Z46" s="209"/>
      <c r="AA46" s="182"/>
      <c r="AB46" s="73"/>
      <c r="AC46" s="73"/>
      <c r="AD46" s="73"/>
      <c r="AE46" s="73"/>
      <c r="AF46" s="182"/>
      <c r="AG46" s="162"/>
      <c r="AH46" s="183"/>
      <c r="AI46" s="212">
        <f>AI45/100*$E$10</f>
        <v>732.72855811326963</v>
      </c>
      <c r="AJ46" s="183"/>
      <c r="AK46" s="160"/>
      <c r="AL46" s="183"/>
      <c r="AM46" s="183"/>
      <c r="AN46" s="160"/>
      <c r="AO46" s="72"/>
      <c r="AP46" s="72">
        <f>+AN101/100</f>
        <v>0.227483635713496</v>
      </c>
      <c r="AQ46" s="72"/>
      <c r="AR46" s="72"/>
      <c r="AS46" s="72"/>
      <c r="AT46" s="72"/>
      <c r="AU46" s="72"/>
      <c r="AV46" s="72"/>
      <c r="AW46" s="72"/>
      <c r="AX46" s="72"/>
      <c r="AY46" s="72"/>
      <c r="AZ46" s="72"/>
      <c r="BA46" s="72"/>
      <c r="BB46" s="72"/>
    </row>
    <row r="47" spans="2:54">
      <c r="B47" s="165" t="s">
        <v>10</v>
      </c>
      <c r="C47" s="74" t="s">
        <v>253</v>
      </c>
      <c r="D47" s="166" t="s">
        <v>275</v>
      </c>
      <c r="E47" s="398">
        <v>113</v>
      </c>
      <c r="F47" s="205">
        <v>3.6278302895549395</v>
      </c>
      <c r="G47" s="169"/>
      <c r="H47" s="169"/>
      <c r="I47" s="169"/>
      <c r="J47" s="171"/>
      <c r="K47" s="171"/>
      <c r="L47" s="171"/>
      <c r="M47" s="229"/>
      <c r="N47" s="169"/>
      <c r="O47" s="169"/>
      <c r="P47" s="174">
        <v>6.7799999999999996E-3</v>
      </c>
      <c r="Q47" s="176"/>
      <c r="R47" s="176"/>
      <c r="S47" s="176"/>
      <c r="T47" s="176"/>
      <c r="U47" s="175">
        <v>0.31449282258176003</v>
      </c>
      <c r="V47" s="177">
        <f>SUM(Q47:U47)</f>
        <v>0.31449282258176003</v>
      </c>
      <c r="W47" s="179"/>
      <c r="X47" s="179"/>
      <c r="Y47" s="179"/>
      <c r="Z47" s="177">
        <f>SUM(W47:Y47)</f>
        <v>0</v>
      </c>
      <c r="AA47" s="180">
        <f>+V47+Z47+P47</f>
        <v>0.32127282258176004</v>
      </c>
      <c r="AB47" s="73">
        <f t="shared" ref="AB47:AB53" si="32">$H$2*F47</f>
        <v>0.38740171782615468</v>
      </c>
      <c r="AC47" s="73">
        <f t="shared" ref="AC47:AC53" si="33">+$H$3*F47</f>
        <v>0.16432766358384068</v>
      </c>
      <c r="AD47" s="73">
        <f t="shared" ref="AD47:AD53" si="34">+$H$4*F47</f>
        <v>2.0787467559149803E-2</v>
      </c>
      <c r="AE47" s="73">
        <f t="shared" ref="AE47:AE53" si="35">+$H$5*F47</f>
        <v>4.2365802121422588E-2</v>
      </c>
      <c r="AF47" s="182">
        <f t="shared" ref="AF47:AF53" si="36">+$H$6*F47</f>
        <v>3.1163062187276923E-4</v>
      </c>
      <c r="AG47" s="162">
        <f t="shared" ref="AG47:AG53" si="37">+AF47+AD47+AC47+AB47+AA47+AE47</f>
        <v>0.93646710429420055</v>
      </c>
      <c r="AH47" s="183">
        <f t="shared" ref="AH47:AJ94" si="38">+AA47/$F47*100</f>
        <v>8.8557842274692966</v>
      </c>
      <c r="AI47" s="183">
        <f t="shared" si="38"/>
        <v>10.678606409498856</v>
      </c>
      <c r="AJ47" s="183">
        <f t="shared" si="38"/>
        <v>4.5296403212951928</v>
      </c>
      <c r="AK47" s="160">
        <f t="shared" ref="AK47:AK54" si="39">+AG47/$F47*100</f>
        <v>25.813420958263343</v>
      </c>
      <c r="AL47" s="183">
        <f t="shared" ref="AL47:AN54" si="40">+AE47/$F47*100</f>
        <v>1.1678000000000002</v>
      </c>
      <c r="AM47" s="183">
        <f t="shared" si="40"/>
        <v>8.5899999999999987E-3</v>
      </c>
      <c r="AN47" s="160">
        <f t="shared" si="40"/>
        <v>25.813420958263343</v>
      </c>
      <c r="AO47" s="72"/>
      <c r="AP47" s="72">
        <f>+AN95/100</f>
        <v>0.3864339568930098</v>
      </c>
      <c r="AQ47" s="72"/>
      <c r="AR47" s="72"/>
      <c r="AS47" s="72"/>
      <c r="AT47" s="72"/>
      <c r="AU47" s="72"/>
      <c r="AV47" s="72"/>
      <c r="AW47" s="72"/>
      <c r="AX47" s="72"/>
      <c r="AY47" s="72"/>
      <c r="AZ47" s="72"/>
      <c r="BA47" s="72"/>
      <c r="BB47" s="72"/>
    </row>
    <row r="48" spans="2:54">
      <c r="B48" s="165" t="s">
        <v>12</v>
      </c>
      <c r="C48" s="74" t="s">
        <v>269</v>
      </c>
      <c r="D48" s="166" t="s">
        <v>276</v>
      </c>
      <c r="E48" s="398">
        <v>231</v>
      </c>
      <c r="F48" s="205">
        <v>108.62744704606504</v>
      </c>
      <c r="G48" s="169">
        <v>105.46500702642919</v>
      </c>
      <c r="H48" s="169">
        <v>3.1624400196358522</v>
      </c>
      <c r="I48" s="169"/>
      <c r="J48" s="171"/>
      <c r="K48" s="171"/>
      <c r="L48" s="400">
        <v>363516</v>
      </c>
      <c r="M48" s="401">
        <v>447036</v>
      </c>
      <c r="N48" s="169"/>
      <c r="O48" s="169"/>
      <c r="P48" s="174">
        <v>0.57120000000000004</v>
      </c>
      <c r="Q48" s="175">
        <v>4.9368317616366975</v>
      </c>
      <c r="R48" s="175">
        <v>0</v>
      </c>
      <c r="S48" s="176"/>
      <c r="T48" s="176"/>
      <c r="U48" s="176"/>
      <c r="V48" s="177">
        <f t="shared" ref="V48:V53" si="41">SUM(Q48:U48)</f>
        <v>4.9368317616366975</v>
      </c>
      <c r="W48" s="175">
        <v>3.7258626239999999</v>
      </c>
      <c r="X48" s="179"/>
      <c r="Y48" s="179"/>
      <c r="Z48" s="177">
        <f t="shared" ref="Z48:Z53" si="42">SUM(W48:Y48)</f>
        <v>3.7258626239999999</v>
      </c>
      <c r="AA48" s="180">
        <f t="shared" ref="AA48:AA53" si="43">+V48+Z48+P48</f>
        <v>9.2338943856366971</v>
      </c>
      <c r="AB48" s="73">
        <f t="shared" si="32"/>
        <v>11.599897522736077</v>
      </c>
      <c r="AC48" s="73">
        <f t="shared" si="33"/>
        <v>4.9204326413921455</v>
      </c>
      <c r="AD48" s="73">
        <f t="shared" si="34"/>
        <v>0.62243527157395273</v>
      </c>
      <c r="AE48" s="73">
        <f t="shared" si="35"/>
        <v>1.2685513266039476</v>
      </c>
      <c r="AF48" s="182">
        <f t="shared" si="36"/>
        <v>9.3310977012569865E-3</v>
      </c>
      <c r="AG48" s="162">
        <f t="shared" si="37"/>
        <v>27.654542245644073</v>
      </c>
      <c r="AH48" s="183">
        <f t="shared" si="38"/>
        <v>8.5005168000688904</v>
      </c>
      <c r="AI48" s="183">
        <f t="shared" si="38"/>
        <v>10.678606409498856</v>
      </c>
      <c r="AJ48" s="183">
        <f t="shared" si="38"/>
        <v>4.5296403212951928</v>
      </c>
      <c r="AK48" s="160">
        <f t="shared" si="39"/>
        <v>25.458153530862937</v>
      </c>
      <c r="AL48" s="183">
        <f t="shared" si="40"/>
        <v>1.1678000000000002</v>
      </c>
      <c r="AM48" s="183">
        <f t="shared" si="40"/>
        <v>8.5899999999999987E-3</v>
      </c>
      <c r="AN48" s="160">
        <f t="shared" si="40"/>
        <v>25.458153530862937</v>
      </c>
      <c r="AO48" s="72"/>
      <c r="AQ48" s="72"/>
      <c r="AR48" s="72"/>
      <c r="AS48" s="72"/>
      <c r="AT48" s="72"/>
      <c r="AU48" s="72"/>
      <c r="AV48" s="72"/>
      <c r="AW48" s="72"/>
      <c r="AX48" s="72"/>
      <c r="AY48" s="72"/>
      <c r="AZ48" s="72"/>
      <c r="BA48" s="72"/>
      <c r="BB48" s="72"/>
    </row>
    <row r="49" spans="2:54">
      <c r="B49" s="165" t="s">
        <v>13</v>
      </c>
      <c r="C49" s="74" t="s">
        <v>271</v>
      </c>
      <c r="D49" s="166" t="s">
        <v>277</v>
      </c>
      <c r="E49" s="398">
        <v>216.25</v>
      </c>
      <c r="F49" s="205">
        <v>969.04059549796705</v>
      </c>
      <c r="G49" s="169">
        <v>824.55119999999977</v>
      </c>
      <c r="H49" s="169">
        <v>144.48939549796737</v>
      </c>
      <c r="I49" s="169"/>
      <c r="J49" s="171"/>
      <c r="K49" s="171"/>
      <c r="L49" s="400">
        <v>2748504</v>
      </c>
      <c r="M49" s="401">
        <v>2856084</v>
      </c>
      <c r="N49" s="169"/>
      <c r="O49" s="169"/>
      <c r="P49" s="174">
        <v>1.1448</v>
      </c>
      <c r="Q49" s="175">
        <v>28.688572512</v>
      </c>
      <c r="R49" s="175">
        <v>10.916851443476927</v>
      </c>
      <c r="S49" s="176"/>
      <c r="T49" s="176"/>
      <c r="U49" s="176"/>
      <c r="V49" s="177">
        <f t="shared" si="41"/>
        <v>39.60542395547693</v>
      </c>
      <c r="W49" s="175">
        <v>22.227358692000003</v>
      </c>
      <c r="X49" s="179"/>
      <c r="Y49" s="179"/>
      <c r="Z49" s="177">
        <f t="shared" si="42"/>
        <v>22.227358692000003</v>
      </c>
      <c r="AA49" s="180">
        <f t="shared" si="43"/>
        <v>62.977582647476936</v>
      </c>
      <c r="AB49" s="73">
        <f t="shared" si="32"/>
        <v>103.48003114149179</v>
      </c>
      <c r="AC49" s="73">
        <f t="shared" si="33"/>
        <v>43.894053543394961</v>
      </c>
      <c r="AD49" s="73">
        <f t="shared" si="34"/>
        <v>5.5526026122033514</v>
      </c>
      <c r="AE49" s="73">
        <f t="shared" si="35"/>
        <v>11.316456074225259</v>
      </c>
      <c r="AF49" s="182">
        <f t="shared" si="36"/>
        <v>8.3240587153275356E-2</v>
      </c>
      <c r="AG49" s="162">
        <f t="shared" si="37"/>
        <v>227.30396660594559</v>
      </c>
      <c r="AH49" s="183">
        <f t="shared" si="38"/>
        <v>6.4989622663965116</v>
      </c>
      <c r="AI49" s="183">
        <f t="shared" si="38"/>
        <v>10.678606409498856</v>
      </c>
      <c r="AJ49" s="183">
        <f t="shared" si="38"/>
        <v>4.5296403212951928</v>
      </c>
      <c r="AK49" s="160">
        <f t="shared" si="39"/>
        <v>23.456598997190561</v>
      </c>
      <c r="AL49" s="183">
        <f t="shared" si="40"/>
        <v>1.1678000000000002</v>
      </c>
      <c r="AM49" s="183">
        <f t="shared" si="40"/>
        <v>8.5899999999999987E-3</v>
      </c>
      <c r="AN49" s="160">
        <f t="shared" si="40"/>
        <v>23.456598997190561</v>
      </c>
      <c r="AO49" s="72"/>
      <c r="AQ49" s="72"/>
      <c r="AR49" s="72"/>
      <c r="AS49" s="72"/>
      <c r="AT49" s="72"/>
      <c r="AU49" s="72"/>
      <c r="AV49" s="72"/>
      <c r="AW49" s="72"/>
      <c r="AX49" s="72"/>
      <c r="AY49" s="72"/>
      <c r="AZ49" s="72"/>
      <c r="BA49" s="72"/>
      <c r="BB49" s="72"/>
    </row>
    <row r="50" spans="2:54">
      <c r="B50" s="165" t="s">
        <v>17</v>
      </c>
      <c r="C50" s="74" t="s">
        <v>271</v>
      </c>
      <c r="D50" s="166" t="s">
        <v>278</v>
      </c>
      <c r="E50" s="398">
        <v>1</v>
      </c>
      <c r="F50" s="205">
        <v>64.792428988055747</v>
      </c>
      <c r="G50" s="169">
        <v>64.792428988055747</v>
      </c>
      <c r="H50" s="169">
        <v>0</v>
      </c>
      <c r="I50" s="169"/>
      <c r="J50" s="171"/>
      <c r="K50" s="171"/>
      <c r="L50" s="400">
        <v>181068</v>
      </c>
      <c r="M50" s="401">
        <v>182244</v>
      </c>
      <c r="N50" s="169"/>
      <c r="O50" s="169"/>
      <c r="P50" s="174">
        <v>5.4000000000000003E-3</v>
      </c>
      <c r="Q50" s="176"/>
      <c r="R50" s="176"/>
      <c r="S50" s="176"/>
      <c r="T50" s="176"/>
      <c r="U50" s="175">
        <v>0</v>
      </c>
      <c r="V50" s="177">
        <f t="shared" si="41"/>
        <v>0</v>
      </c>
      <c r="W50" s="175">
        <v>1.151586</v>
      </c>
      <c r="X50" s="179"/>
      <c r="Y50" s="179"/>
      <c r="Z50" s="177">
        <f t="shared" si="42"/>
        <v>1.151586</v>
      </c>
      <c r="AA50" s="180">
        <f>+V50+Z50+P50</f>
        <v>1.1569860000000001</v>
      </c>
      <c r="AB50" s="73">
        <f t="shared" si="32"/>
        <v>6.9189284747885154</v>
      </c>
      <c r="AC50" s="73">
        <f t="shared" si="33"/>
        <v>2.934863988589528</v>
      </c>
      <c r="AD50" s="73">
        <f t="shared" si="34"/>
        <v>0.37126061810155941</v>
      </c>
      <c r="AE50" s="73">
        <f t="shared" si="35"/>
        <v>0.75664598572251507</v>
      </c>
      <c r="AF50" s="182">
        <f t="shared" si="36"/>
        <v>5.5656696500739882E-3</v>
      </c>
      <c r="AG50" s="162">
        <f t="shared" si="37"/>
        <v>12.144250736852193</v>
      </c>
      <c r="AH50" s="183">
        <f t="shared" si="38"/>
        <v>1.7856808551093002</v>
      </c>
      <c r="AI50" s="183">
        <f t="shared" si="38"/>
        <v>10.678606409498856</v>
      </c>
      <c r="AJ50" s="183">
        <f t="shared" si="38"/>
        <v>4.5296403212951928</v>
      </c>
      <c r="AK50" s="160">
        <f t="shared" si="39"/>
        <v>18.743317585903352</v>
      </c>
      <c r="AL50" s="183">
        <f t="shared" si="40"/>
        <v>1.1678000000000002</v>
      </c>
      <c r="AM50" s="183">
        <f t="shared" si="40"/>
        <v>8.5899999999999987E-3</v>
      </c>
      <c r="AN50" s="160">
        <f t="shared" si="40"/>
        <v>18.743317585903352</v>
      </c>
      <c r="AO50" s="72"/>
      <c r="AP50" s="72"/>
      <c r="AQ50" s="72"/>
      <c r="AR50" s="72"/>
      <c r="AS50" s="72"/>
      <c r="AT50" s="72"/>
      <c r="AU50" s="72"/>
      <c r="AV50" s="72"/>
      <c r="AW50" s="72"/>
      <c r="AX50" s="72"/>
      <c r="AY50" s="72"/>
      <c r="AZ50" s="72"/>
      <c r="BA50" s="72"/>
      <c r="BB50" s="72"/>
    </row>
    <row r="51" spans="2:54">
      <c r="B51" s="165" t="s">
        <v>24</v>
      </c>
      <c r="C51" s="74" t="s">
        <v>271</v>
      </c>
      <c r="D51" s="166" t="s">
        <v>279</v>
      </c>
      <c r="E51" s="398">
        <v>2</v>
      </c>
      <c r="F51" s="205">
        <v>4.4336741250730203</v>
      </c>
      <c r="G51" s="169"/>
      <c r="H51" s="169"/>
      <c r="I51" s="169"/>
      <c r="J51" s="171"/>
      <c r="K51" s="171"/>
      <c r="L51" s="171"/>
      <c r="M51" s="229"/>
      <c r="N51" s="169"/>
      <c r="O51" s="169"/>
      <c r="P51" s="174">
        <v>1.252032E-2</v>
      </c>
      <c r="Q51" s="176"/>
      <c r="R51" s="176"/>
      <c r="S51" s="176"/>
      <c r="T51" s="176"/>
      <c r="U51" s="175">
        <v>1.9627582868829912E-2</v>
      </c>
      <c r="V51" s="177">
        <f t="shared" si="41"/>
        <v>1.9627582868829912E-2</v>
      </c>
      <c r="W51" s="175">
        <v>0</v>
      </c>
      <c r="X51" s="179"/>
      <c r="Y51" s="179"/>
      <c r="Z51" s="177">
        <f t="shared" si="42"/>
        <v>0</v>
      </c>
      <c r="AA51" s="180">
        <f t="shared" si="43"/>
        <v>3.214790286882991E-2</v>
      </c>
      <c r="AB51" s="73">
        <f t="shared" si="32"/>
        <v>0.47345460929633987</v>
      </c>
      <c r="AC51" s="73">
        <f t="shared" si="33"/>
        <v>0.20082949088413937</v>
      </c>
      <c r="AD51" s="73">
        <f t="shared" si="34"/>
        <v>2.5404952736668405E-2</v>
      </c>
      <c r="AE51" s="73">
        <f t="shared" si="35"/>
        <v>5.1776446432602735E-2</v>
      </c>
      <c r="AF51" s="182">
        <f t="shared" si="36"/>
        <v>3.8085260734377238E-4</v>
      </c>
      <c r="AG51" s="162">
        <f t="shared" si="37"/>
        <v>0.78399425482592411</v>
      </c>
      <c r="AH51" s="183">
        <f t="shared" si="38"/>
        <v>0.72508492870572561</v>
      </c>
      <c r="AI51" s="183">
        <f t="shared" si="38"/>
        <v>10.678606409498856</v>
      </c>
      <c r="AJ51" s="183">
        <f t="shared" si="38"/>
        <v>4.5296403212951928</v>
      </c>
      <c r="AK51" s="160">
        <f t="shared" si="39"/>
        <v>17.682721659499776</v>
      </c>
      <c r="AL51" s="183">
        <f t="shared" si="40"/>
        <v>1.1678000000000002</v>
      </c>
      <c r="AM51" s="183">
        <f t="shared" si="40"/>
        <v>8.5899999999999987E-3</v>
      </c>
      <c r="AN51" s="160">
        <f t="shared" si="40"/>
        <v>17.682721659499776</v>
      </c>
      <c r="AO51" s="72"/>
      <c r="AP51" s="72"/>
      <c r="AQ51" s="72"/>
      <c r="AR51" s="72"/>
      <c r="AS51" s="72"/>
      <c r="AT51" s="72"/>
      <c r="AU51" s="72"/>
      <c r="AV51" s="72"/>
      <c r="AW51" s="72"/>
      <c r="AX51" s="72"/>
      <c r="AY51" s="72"/>
      <c r="AZ51" s="72"/>
      <c r="BA51" s="72"/>
      <c r="BB51" s="72"/>
    </row>
    <row r="52" spans="2:54">
      <c r="B52" s="165" t="s">
        <v>16</v>
      </c>
      <c r="C52" s="74" t="s">
        <v>271</v>
      </c>
      <c r="D52" s="166" t="s">
        <v>280</v>
      </c>
      <c r="E52" s="398">
        <v>14</v>
      </c>
      <c r="F52" s="205">
        <v>297.05609140832462</v>
      </c>
      <c r="G52" s="169"/>
      <c r="H52" s="169"/>
      <c r="I52" s="169">
        <v>112.56584322094488</v>
      </c>
      <c r="J52" s="402">
        <v>184.49024818737979</v>
      </c>
      <c r="K52" s="171"/>
      <c r="L52" s="171"/>
      <c r="M52" s="169"/>
      <c r="N52" s="169">
        <v>911880</v>
      </c>
      <c r="O52" s="169">
        <v>910380</v>
      </c>
      <c r="P52" s="174">
        <v>8.1000000000000003E-2</v>
      </c>
      <c r="Q52" s="176"/>
      <c r="R52" s="176"/>
      <c r="S52" s="175">
        <v>7.6735808435984492</v>
      </c>
      <c r="T52" s="175">
        <v>4.7522462480687215</v>
      </c>
      <c r="U52" s="176"/>
      <c r="V52" s="177">
        <f t="shared" si="41"/>
        <v>12.42582709166717</v>
      </c>
      <c r="W52" s="179"/>
      <c r="X52" s="175">
        <v>0.638127259</v>
      </c>
      <c r="Y52" s="175">
        <v>8.2686670000000004E-2</v>
      </c>
      <c r="Z52" s="177">
        <f t="shared" si="42"/>
        <v>0.72081392899999996</v>
      </c>
      <c r="AA52" s="180">
        <f>+V52+Z52+P52</f>
        <v>13.22764102066717</v>
      </c>
      <c r="AB52" s="73">
        <f t="shared" si="32"/>
        <v>31.721450816936134</v>
      </c>
      <c r="AC52" s="73">
        <f t="shared" si="33"/>
        <v>13.455572493294977</v>
      </c>
      <c r="AD52" s="73">
        <f t="shared" si="34"/>
        <v>1.7021314037697</v>
      </c>
      <c r="AE52" s="73">
        <f t="shared" si="35"/>
        <v>3.4690210354664153</v>
      </c>
      <c r="AF52" s="182">
        <f t="shared" si="36"/>
        <v>2.5517118251975082E-2</v>
      </c>
      <c r="AG52" s="162">
        <f t="shared" si="37"/>
        <v>63.601333888386378</v>
      </c>
      <c r="AH52" s="183">
        <f t="shared" si="38"/>
        <v>4.4529102089628045</v>
      </c>
      <c r="AI52" s="183">
        <f t="shared" si="38"/>
        <v>10.678606409498856</v>
      </c>
      <c r="AJ52" s="183">
        <f t="shared" si="38"/>
        <v>4.5296403212951928</v>
      </c>
      <c r="AK52" s="160">
        <f t="shared" si="39"/>
        <v>21.410546939756859</v>
      </c>
      <c r="AL52" s="183">
        <f t="shared" si="40"/>
        <v>1.1678000000000002</v>
      </c>
      <c r="AM52" s="183">
        <f t="shared" si="40"/>
        <v>8.5899999999999987E-3</v>
      </c>
      <c r="AN52" s="160">
        <f t="shared" si="40"/>
        <v>21.410546939756859</v>
      </c>
      <c r="AO52" s="72"/>
      <c r="AP52" s="72"/>
      <c r="AQ52" s="72"/>
      <c r="AR52" s="72"/>
      <c r="AS52" s="72"/>
      <c r="AT52" s="72"/>
      <c r="AU52" s="72"/>
      <c r="AV52" s="72"/>
      <c r="AW52" s="72"/>
      <c r="AX52" s="72"/>
      <c r="AY52" s="72"/>
      <c r="AZ52" s="72"/>
      <c r="BA52" s="72"/>
      <c r="BB52" s="72"/>
    </row>
    <row r="53" spans="2:54">
      <c r="B53" s="165" t="s">
        <v>16</v>
      </c>
      <c r="C53" s="74" t="s">
        <v>271</v>
      </c>
      <c r="D53" s="166" t="s">
        <v>281</v>
      </c>
      <c r="E53" s="398">
        <v>2</v>
      </c>
      <c r="F53" s="205">
        <v>11.614126004174347</v>
      </c>
      <c r="G53" s="219"/>
      <c r="H53" s="219"/>
      <c r="I53" s="219">
        <v>4.4284708025468582</v>
      </c>
      <c r="J53" s="403">
        <v>7.1856552016274886</v>
      </c>
      <c r="K53" s="230"/>
      <c r="L53" s="171"/>
      <c r="M53" s="169"/>
      <c r="N53" s="169">
        <v>44640</v>
      </c>
      <c r="O53" s="169">
        <v>44304</v>
      </c>
      <c r="P53" s="174">
        <v>1.0800000000000001E-2</v>
      </c>
      <c r="Q53" s="176"/>
      <c r="R53" s="176"/>
      <c r="S53" s="175">
        <v>0.49255150998860753</v>
      </c>
      <c r="T53" s="175">
        <v>0.2540865018220273</v>
      </c>
      <c r="U53" s="222"/>
      <c r="V53" s="177">
        <f t="shared" si="41"/>
        <v>0.74663801181063483</v>
      </c>
      <c r="W53" s="179"/>
      <c r="X53" s="175">
        <v>3.4067341000000001E-2</v>
      </c>
      <c r="Y53" s="175">
        <v>4.1920799999999999E-3</v>
      </c>
      <c r="Z53" s="177">
        <f t="shared" si="42"/>
        <v>3.8259421000000002E-2</v>
      </c>
      <c r="AA53" s="180">
        <f t="shared" si="43"/>
        <v>0.79569743281063487</v>
      </c>
      <c r="AB53" s="73">
        <f t="shared" si="32"/>
        <v>1.2402268038890352</v>
      </c>
      <c r="AC53" s="73">
        <f t="shared" si="33"/>
        <v>0.5260781344511114</v>
      </c>
      <c r="AD53" s="73">
        <f t="shared" si="34"/>
        <v>6.6548942003919004E-2</v>
      </c>
      <c r="AE53" s="73">
        <f t="shared" si="35"/>
        <v>0.13562976347674804</v>
      </c>
      <c r="AF53" s="182">
        <f t="shared" si="36"/>
        <v>9.9765342375857623E-4</v>
      </c>
      <c r="AG53" s="162">
        <f t="shared" si="37"/>
        <v>2.7651787300552071</v>
      </c>
      <c r="AH53" s="183">
        <f t="shared" si="38"/>
        <v>6.8511176176721822</v>
      </c>
      <c r="AI53" s="183">
        <f t="shared" si="38"/>
        <v>10.678606409498856</v>
      </c>
      <c r="AJ53" s="183">
        <f t="shared" si="38"/>
        <v>4.5296403212951928</v>
      </c>
      <c r="AK53" s="160">
        <f t="shared" si="39"/>
        <v>23.808754348466231</v>
      </c>
      <c r="AL53" s="183">
        <f t="shared" si="40"/>
        <v>1.1678000000000002</v>
      </c>
      <c r="AM53" s="183">
        <f t="shared" si="40"/>
        <v>8.5899999999999987E-3</v>
      </c>
      <c r="AN53" s="160">
        <f t="shared" si="40"/>
        <v>23.808754348466231</v>
      </c>
      <c r="AO53" s="72"/>
      <c r="AP53" s="72"/>
      <c r="AQ53" s="72"/>
      <c r="AR53" s="72"/>
      <c r="AS53" s="72"/>
      <c r="AT53" s="72"/>
      <c r="AU53" s="72"/>
      <c r="AV53" s="72"/>
      <c r="AW53" s="72"/>
      <c r="AX53" s="72"/>
      <c r="AY53" s="72"/>
      <c r="AZ53" s="72"/>
      <c r="BA53" s="72"/>
      <c r="BB53" s="72"/>
    </row>
    <row r="54" spans="2:54">
      <c r="B54" s="165"/>
      <c r="C54" s="187"/>
      <c r="D54" s="187" t="s">
        <v>222</v>
      </c>
      <c r="E54" s="188">
        <f t="shared" ref="E54:J54" si="44">SUM(E47:E53)</f>
        <v>579.25</v>
      </c>
      <c r="F54" s="189">
        <f t="shared" si="44"/>
        <v>1459.1921933592146</v>
      </c>
      <c r="G54" s="190">
        <f t="shared" si="44"/>
        <v>994.80863601448459</v>
      </c>
      <c r="H54" s="190">
        <f t="shared" si="44"/>
        <v>147.65183551760322</v>
      </c>
      <c r="I54" s="190">
        <f t="shared" si="44"/>
        <v>116.99431402349174</v>
      </c>
      <c r="J54" s="191">
        <f t="shared" si="44"/>
        <v>191.67590338900729</v>
      </c>
      <c r="K54" s="191"/>
      <c r="L54" s="191"/>
      <c r="M54" s="192">
        <f t="shared" ref="M54:AD54" si="45">SUM(M47:M53)</f>
        <v>3485364</v>
      </c>
      <c r="N54" s="192">
        <f t="shared" si="45"/>
        <v>956520</v>
      </c>
      <c r="O54" s="193">
        <f t="shared" si="45"/>
        <v>954684</v>
      </c>
      <c r="P54" s="194">
        <f t="shared" si="45"/>
        <v>1.8325003200000001</v>
      </c>
      <c r="Q54" s="195">
        <f t="shared" si="45"/>
        <v>33.625404273636697</v>
      </c>
      <c r="R54" s="195">
        <f t="shared" si="45"/>
        <v>10.916851443476927</v>
      </c>
      <c r="S54" s="195">
        <f t="shared" si="45"/>
        <v>8.1661323535870558</v>
      </c>
      <c r="T54" s="195">
        <f t="shared" si="45"/>
        <v>5.0063327498907491</v>
      </c>
      <c r="U54" s="195">
        <f t="shared" si="45"/>
        <v>0.33412040545058996</v>
      </c>
      <c r="V54" s="196">
        <f>SUM(V47:V53)</f>
        <v>58.048841226042015</v>
      </c>
      <c r="W54" s="231">
        <f t="shared" si="45"/>
        <v>27.104807316000006</v>
      </c>
      <c r="X54" s="195">
        <f t="shared" si="45"/>
        <v>0.67219459999999998</v>
      </c>
      <c r="Y54" s="195">
        <f t="shared" si="45"/>
        <v>8.6878750000000005E-2</v>
      </c>
      <c r="Z54" s="196">
        <f t="shared" si="45"/>
        <v>27.863880666000004</v>
      </c>
      <c r="AA54" s="197">
        <f t="shared" si="45"/>
        <v>87.745222212042023</v>
      </c>
      <c r="AB54" s="198">
        <f t="shared" si="45"/>
        <v>155.82139108696407</v>
      </c>
      <c r="AC54" s="198">
        <f t="shared" si="45"/>
        <v>66.096157955590698</v>
      </c>
      <c r="AD54" s="198">
        <f t="shared" si="45"/>
        <v>8.3611712679483006</v>
      </c>
      <c r="AE54" s="198">
        <f>SUM(AE46:AE53)</f>
        <v>17.04044643404891</v>
      </c>
      <c r="AF54" s="199">
        <f>SUM(AF47:AF53)</f>
        <v>0.12534460940955652</v>
      </c>
      <c r="AG54" s="200">
        <f>SUM(AG47:AG53)</f>
        <v>335.18973356600355</v>
      </c>
      <c r="AH54" s="201">
        <f t="shared" si="38"/>
        <v>6.0132738244742976</v>
      </c>
      <c r="AI54" s="201">
        <f t="shared" si="38"/>
        <v>10.678606409498858</v>
      </c>
      <c r="AJ54" s="201">
        <f t="shared" si="38"/>
        <v>4.5296403212951928</v>
      </c>
      <c r="AK54" s="202">
        <f t="shared" si="39"/>
        <v>22.970910555268347</v>
      </c>
      <c r="AL54" s="201">
        <f t="shared" si="40"/>
        <v>1.1678000000000002</v>
      </c>
      <c r="AM54" s="201">
        <f t="shared" si="40"/>
        <v>8.5900000000000004E-3</v>
      </c>
      <c r="AN54" s="202">
        <f t="shared" si="40"/>
        <v>22.970910555268347</v>
      </c>
      <c r="AO54" s="72"/>
      <c r="AP54" s="203"/>
      <c r="AQ54" s="72"/>
      <c r="AR54" s="72"/>
      <c r="AS54" s="72"/>
      <c r="AT54" s="72"/>
      <c r="AU54" s="72"/>
      <c r="AV54" s="72"/>
      <c r="AW54" s="72"/>
      <c r="AX54" s="72"/>
      <c r="AY54" s="72"/>
      <c r="AZ54" s="72"/>
      <c r="BA54" s="72"/>
      <c r="BB54" s="72"/>
    </row>
    <row r="55" spans="2:54" ht="21.75" customHeight="1">
      <c r="C55" s="155" t="s">
        <v>282</v>
      </c>
      <c r="D55" s="72"/>
      <c r="E55" s="167"/>
      <c r="F55" s="168"/>
      <c r="G55" s="169"/>
      <c r="H55" s="169"/>
      <c r="I55" s="169"/>
      <c r="J55" s="171"/>
      <c r="K55" s="171"/>
      <c r="L55" s="171"/>
      <c r="M55" s="173"/>
      <c r="N55" s="173"/>
      <c r="O55" s="184"/>
      <c r="P55" s="208"/>
      <c r="Q55" s="176"/>
      <c r="R55" s="176"/>
      <c r="S55" s="176"/>
      <c r="T55" s="176"/>
      <c r="U55" s="176"/>
      <c r="V55" s="209"/>
      <c r="W55" s="179"/>
      <c r="X55" s="179"/>
      <c r="Y55" s="179"/>
      <c r="Z55" s="209"/>
      <c r="AA55" s="182"/>
      <c r="AB55" s="73"/>
      <c r="AC55" s="73"/>
      <c r="AD55" s="73"/>
      <c r="AE55" s="73"/>
      <c r="AF55" s="182"/>
      <c r="AG55" s="162"/>
      <c r="AH55" s="183"/>
      <c r="AI55" s="212"/>
      <c r="AJ55" s="183"/>
      <c r="AK55" s="160"/>
      <c r="AL55" s="183"/>
      <c r="AM55" s="183"/>
      <c r="AN55" s="160"/>
      <c r="AO55" s="72"/>
      <c r="AP55" s="72"/>
      <c r="AQ55" s="72"/>
      <c r="AR55" s="72"/>
      <c r="AS55" s="72"/>
      <c r="AT55" s="72"/>
      <c r="AU55" s="72"/>
      <c r="AV55" s="72"/>
      <c r="AW55" s="72"/>
      <c r="AX55" s="72"/>
      <c r="AY55" s="72"/>
      <c r="AZ55" s="72"/>
      <c r="BA55" s="72"/>
      <c r="BB55" s="72"/>
    </row>
    <row r="56" spans="2:54">
      <c r="B56" s="165" t="str">
        <f>D56</f>
        <v>PLGUM 001</v>
      </c>
      <c r="C56" s="155"/>
      <c r="D56" s="232" t="s">
        <v>74</v>
      </c>
      <c r="E56" s="167"/>
      <c r="F56" s="404">
        <v>2.3910223598225008E-3</v>
      </c>
      <c r="G56" s="169"/>
      <c r="H56" s="169"/>
      <c r="I56" s="169"/>
      <c r="J56" s="171"/>
      <c r="K56" s="400">
        <v>11</v>
      </c>
      <c r="L56" s="215"/>
      <c r="M56" s="173"/>
      <c r="N56" s="173"/>
      <c r="O56" s="184"/>
      <c r="P56" s="208"/>
      <c r="Q56" s="176"/>
      <c r="R56" s="176"/>
      <c r="S56" s="176"/>
      <c r="T56" s="176"/>
      <c r="U56" s="216">
        <v>7.7880000000000007E-4</v>
      </c>
      <c r="V56" s="177">
        <f>SUM(Q56:U56)</f>
        <v>7.7880000000000007E-4</v>
      </c>
      <c r="W56" s="179"/>
      <c r="X56" s="179"/>
      <c r="Y56" s="179"/>
      <c r="Z56" s="177">
        <f>SUM(W56:Y56)</f>
        <v>0</v>
      </c>
      <c r="AA56" s="180">
        <f>+V56+Z56+P56</f>
        <v>7.7880000000000007E-4</v>
      </c>
      <c r="AB56" s="73">
        <f t="shared" ref="AB56:AB77" si="46">$H$2*F56</f>
        <v>2.5532786696855637E-4</v>
      </c>
      <c r="AC56" s="73">
        <f t="shared" ref="AC56:AC77" si="47">+$H$3*F56</f>
        <v>1.0830471290170383E-4</v>
      </c>
      <c r="AD56" s="73">
        <f t="shared" ref="AD56:AD77" si="48">+$H$4*F56</f>
        <v>1.370055812178293E-5</v>
      </c>
      <c r="AE56" s="73">
        <f t="shared" ref="AE56:AE77" si="49">+$H$5*F56</f>
        <v>2.7922359118007167E-5</v>
      </c>
      <c r="AF56" s="182">
        <f t="shared" ref="AF56:AF77" si="50">+$H$6*F56</f>
        <v>2.053888207087528E-7</v>
      </c>
      <c r="AG56" s="162">
        <f t="shared" ref="AG56:AG77" si="51">+AF56+AD56+AC56+AB56+AA56+AE56</f>
        <v>1.1842608859307592E-3</v>
      </c>
      <c r="AH56" s="183">
        <f t="shared" si="38"/>
        <v>32.571840944967775</v>
      </c>
      <c r="AI56" s="183">
        <f t="shared" si="38"/>
        <v>10.678606409498856</v>
      </c>
      <c r="AJ56" s="183">
        <f t="shared" si="38"/>
        <v>4.5296403212951928</v>
      </c>
      <c r="AK56" s="160">
        <f t="shared" ref="AK56:AK95" si="52">+AG56/$F56*100</f>
        <v>49.529477675761832</v>
      </c>
      <c r="AL56" s="183">
        <f t="shared" ref="AL56:AN77" si="53">+AE56/$F56*100</f>
        <v>1.1678000000000002</v>
      </c>
      <c r="AM56" s="183">
        <f t="shared" si="53"/>
        <v>8.5899999999999987E-3</v>
      </c>
      <c r="AN56" s="160">
        <f t="shared" si="53"/>
        <v>49.529477675761832</v>
      </c>
      <c r="AO56" s="72"/>
      <c r="AP56" s="72"/>
      <c r="AQ56" s="72"/>
      <c r="AR56" s="72"/>
      <c r="AS56" s="72"/>
      <c r="AT56" s="72"/>
      <c r="AU56" s="72"/>
      <c r="AV56" s="72"/>
      <c r="AW56" s="72"/>
      <c r="AX56" s="72"/>
      <c r="AY56" s="72"/>
      <c r="AZ56" s="72"/>
      <c r="BA56" s="72"/>
      <c r="BB56" s="72"/>
    </row>
    <row r="57" spans="2:54">
      <c r="B57" s="165" t="str">
        <f t="shared" ref="B57:B77" si="54">D57</f>
        <v>PLGUM 002</v>
      </c>
      <c r="C57" s="155"/>
      <c r="D57" s="232" t="s">
        <v>79</v>
      </c>
      <c r="E57" s="167"/>
      <c r="F57" s="399">
        <v>3.0597219113238148</v>
      </c>
      <c r="G57" s="169"/>
      <c r="H57" s="169"/>
      <c r="I57" s="169"/>
      <c r="J57" s="171"/>
      <c r="K57" s="400">
        <v>10011</v>
      </c>
      <c r="L57" s="215"/>
      <c r="M57" s="173"/>
      <c r="N57" s="173"/>
      <c r="O57" s="184"/>
      <c r="P57" s="208"/>
      <c r="Q57" s="176"/>
      <c r="R57" s="176"/>
      <c r="S57" s="176"/>
      <c r="T57" s="176"/>
      <c r="U57" s="216">
        <v>0.80815104000000004</v>
      </c>
      <c r="V57" s="177">
        <f t="shared" ref="V57:V77" si="55">SUM(Q57:U57)</f>
        <v>0.80815104000000004</v>
      </c>
      <c r="W57" s="179"/>
      <c r="X57" s="179"/>
      <c r="Y57" s="179"/>
      <c r="Z57" s="177">
        <f t="shared" ref="Z57:Z77" si="56">SUM(W57:Y57)</f>
        <v>0</v>
      </c>
      <c r="AA57" s="180">
        <f t="shared" ref="AA57:AA77" si="57">+V57+Z57+P57</f>
        <v>0.80815104000000004</v>
      </c>
      <c r="AB57" s="73">
        <f t="shared" si="46"/>
        <v>0.32673566013546579</v>
      </c>
      <c r="AC57" s="73">
        <f t="shared" si="47"/>
        <v>0.13859439741482746</v>
      </c>
      <c r="AD57" s="73">
        <f t="shared" si="48"/>
        <v>1.7532206551885459E-2</v>
      </c>
      <c r="AE57" s="73">
        <f t="shared" si="49"/>
        <v>3.5731432480439515E-2</v>
      </c>
      <c r="AF57" s="182">
        <f t="shared" si="50"/>
        <v>2.6283011218271567E-4</v>
      </c>
      <c r="AG57" s="162">
        <f t="shared" si="51"/>
        <v>1.3270075666948009</v>
      </c>
      <c r="AH57" s="183">
        <f t="shared" si="38"/>
        <v>26.412565044198626</v>
      </c>
      <c r="AI57" s="183">
        <f t="shared" si="38"/>
        <v>10.678606409498856</v>
      </c>
      <c r="AJ57" s="183">
        <f t="shared" si="38"/>
        <v>4.5296403212951928</v>
      </c>
      <c r="AK57" s="160">
        <f t="shared" si="52"/>
        <v>43.370201774992672</v>
      </c>
      <c r="AL57" s="183">
        <f t="shared" si="53"/>
        <v>1.1678000000000002</v>
      </c>
      <c r="AM57" s="183">
        <f t="shared" si="53"/>
        <v>8.5900000000000004E-3</v>
      </c>
      <c r="AN57" s="160">
        <f t="shared" si="53"/>
        <v>43.370201774992672</v>
      </c>
      <c r="AO57" s="72"/>
      <c r="AP57" s="72"/>
      <c r="AQ57" s="72"/>
      <c r="AR57" s="72"/>
      <c r="AS57" s="72"/>
      <c r="AT57" s="72"/>
      <c r="AU57" s="72"/>
      <c r="AV57" s="72"/>
      <c r="AW57" s="72"/>
      <c r="AX57" s="72"/>
      <c r="AY57" s="72"/>
      <c r="AZ57" s="72"/>
      <c r="BA57" s="72"/>
      <c r="BB57" s="72"/>
    </row>
    <row r="58" spans="2:54">
      <c r="B58" s="165" t="str">
        <f t="shared" si="54"/>
        <v>PLGUM 003</v>
      </c>
      <c r="C58" s="155"/>
      <c r="D58" s="232" t="s">
        <v>82</v>
      </c>
      <c r="E58" s="167"/>
      <c r="F58" s="399">
        <v>31.916672859683249</v>
      </c>
      <c r="G58" s="169"/>
      <c r="H58" s="169"/>
      <c r="I58" s="169"/>
      <c r="J58" s="171"/>
      <c r="K58" s="400">
        <v>74170</v>
      </c>
      <c r="L58" s="215"/>
      <c r="M58" s="173"/>
      <c r="N58" s="173"/>
      <c r="O58" s="184"/>
      <c r="P58" s="208"/>
      <c r="Q58" s="176"/>
      <c r="R58" s="176"/>
      <c r="S58" s="176"/>
      <c r="T58" s="176"/>
      <c r="U58" s="216">
        <v>6.2918712000000001</v>
      </c>
      <c r="V58" s="177">
        <f t="shared" si="55"/>
        <v>6.2918712000000001</v>
      </c>
      <c r="W58" s="179"/>
      <c r="X58" s="179"/>
      <c r="Y58" s="179"/>
      <c r="Z58" s="177">
        <f t="shared" si="56"/>
        <v>0</v>
      </c>
      <c r="AA58" s="180">
        <f t="shared" si="57"/>
        <v>6.2918712000000001</v>
      </c>
      <c r="AB58" s="73">
        <f t="shared" si="46"/>
        <v>3.4082558736929172</v>
      </c>
      <c r="AC58" s="73">
        <f t="shared" si="47"/>
        <v>1.4457104830680918</v>
      </c>
      <c r="AD58" s="73">
        <f t="shared" si="48"/>
        <v>0.18288253548598501</v>
      </c>
      <c r="AE58" s="73">
        <f t="shared" si="49"/>
        <v>0.37272290565538102</v>
      </c>
      <c r="AF58" s="182">
        <f t="shared" si="50"/>
        <v>2.7416421986467907E-3</v>
      </c>
      <c r="AG58" s="162">
        <f t="shared" si="51"/>
        <v>11.704184640101021</v>
      </c>
      <c r="AH58" s="183">
        <f t="shared" si="38"/>
        <v>19.7134307440542</v>
      </c>
      <c r="AI58" s="183">
        <f t="shared" si="38"/>
        <v>10.678606409498856</v>
      </c>
      <c r="AJ58" s="183">
        <f t="shared" si="38"/>
        <v>4.5296403212951928</v>
      </c>
      <c r="AK58" s="160">
        <f t="shared" si="52"/>
        <v>36.671067474848243</v>
      </c>
      <c r="AL58" s="183">
        <f t="shared" si="53"/>
        <v>1.1678000000000002</v>
      </c>
      <c r="AM58" s="183">
        <f t="shared" si="53"/>
        <v>8.5899999999999987E-3</v>
      </c>
      <c r="AN58" s="160">
        <f t="shared" si="53"/>
        <v>36.671067474848243</v>
      </c>
      <c r="AO58" s="72"/>
      <c r="AP58" s="72"/>
      <c r="AQ58" s="72"/>
      <c r="AR58" s="72"/>
      <c r="AS58" s="72"/>
      <c r="AT58" s="72"/>
      <c r="AU58" s="72"/>
      <c r="AV58" s="72"/>
      <c r="AW58" s="72"/>
      <c r="AX58" s="72"/>
      <c r="AY58" s="72"/>
      <c r="AZ58" s="72"/>
      <c r="BA58" s="72"/>
      <c r="BB58" s="72"/>
    </row>
    <row r="59" spans="2:54">
      <c r="B59" s="165" t="str">
        <f t="shared" si="54"/>
        <v>PLGUM 004</v>
      </c>
      <c r="C59" s="155"/>
      <c r="D59" s="232" t="s">
        <v>84</v>
      </c>
      <c r="E59" s="167"/>
      <c r="F59" s="399">
        <v>0.38364488902181981</v>
      </c>
      <c r="G59" s="169"/>
      <c r="H59" s="169"/>
      <c r="I59" s="169"/>
      <c r="J59" s="171"/>
      <c r="K59" s="400">
        <v>610</v>
      </c>
      <c r="L59" s="215"/>
      <c r="M59" s="173"/>
      <c r="N59" s="173"/>
      <c r="O59" s="184"/>
      <c r="P59" s="208"/>
      <c r="Q59" s="176"/>
      <c r="R59" s="176"/>
      <c r="S59" s="176"/>
      <c r="T59" s="176"/>
      <c r="U59" s="216">
        <v>5.7754799999999995E-2</v>
      </c>
      <c r="V59" s="177">
        <f t="shared" si="55"/>
        <v>5.7754799999999995E-2</v>
      </c>
      <c r="W59" s="179"/>
      <c r="X59" s="179"/>
      <c r="Y59" s="179"/>
      <c r="Z59" s="177">
        <f t="shared" si="56"/>
        <v>0</v>
      </c>
      <c r="AA59" s="180">
        <f t="shared" si="57"/>
        <v>5.7754799999999995E-2</v>
      </c>
      <c r="AB59" s="73">
        <f t="shared" si="46"/>
        <v>4.0967927708798826E-2</v>
      </c>
      <c r="AC59" s="73">
        <f t="shared" si="47"/>
        <v>1.7377733583720543E-2</v>
      </c>
      <c r="AD59" s="73">
        <f t="shared" si="48"/>
        <v>2.1982852140950276E-3</v>
      </c>
      <c r="AE59" s="73">
        <f t="shared" si="49"/>
        <v>4.4802050139968125E-3</v>
      </c>
      <c r="AF59" s="182">
        <f t="shared" si="50"/>
        <v>3.2955095966974316E-5</v>
      </c>
      <c r="AG59" s="162">
        <f t="shared" si="51"/>
        <v>0.12281190661657819</v>
      </c>
      <c r="AH59" s="183">
        <f t="shared" si="38"/>
        <v>15.054234176625558</v>
      </c>
      <c r="AI59" s="183">
        <f t="shared" si="38"/>
        <v>10.678606409498856</v>
      </c>
      <c r="AJ59" s="183">
        <f t="shared" si="38"/>
        <v>4.5296403212951928</v>
      </c>
      <c r="AK59" s="160">
        <f t="shared" si="52"/>
        <v>32.011870907419606</v>
      </c>
      <c r="AL59" s="183">
        <f t="shared" si="53"/>
        <v>1.1678000000000002</v>
      </c>
      <c r="AM59" s="183">
        <f t="shared" si="53"/>
        <v>8.5899999999999987E-3</v>
      </c>
      <c r="AN59" s="160">
        <f t="shared" si="53"/>
        <v>32.011870907419606</v>
      </c>
      <c r="AO59" s="72"/>
      <c r="AP59" s="72"/>
      <c r="AQ59" s="72"/>
      <c r="AR59" s="72"/>
      <c r="AS59" s="72"/>
      <c r="AT59" s="72"/>
      <c r="AU59" s="72"/>
      <c r="AV59" s="72"/>
      <c r="AW59" s="72"/>
      <c r="AX59" s="72"/>
      <c r="AY59" s="72"/>
      <c r="AZ59" s="72"/>
      <c r="BA59" s="72"/>
      <c r="BB59" s="72"/>
    </row>
    <row r="60" spans="2:54">
      <c r="B60" s="165" t="str">
        <f t="shared" si="54"/>
        <v>PLGUM 005</v>
      </c>
      <c r="C60" s="155"/>
      <c r="D60" s="232" t="s">
        <v>86</v>
      </c>
      <c r="E60" s="167"/>
      <c r="F60" s="399">
        <v>17.240800497656974</v>
      </c>
      <c r="G60" s="169"/>
      <c r="H60" s="169"/>
      <c r="I60" s="169"/>
      <c r="J60" s="171"/>
      <c r="K60" s="400">
        <v>18448</v>
      </c>
      <c r="L60" s="215"/>
      <c r="M60" s="173"/>
      <c r="N60" s="173"/>
      <c r="O60" s="184"/>
      <c r="P60" s="208"/>
      <c r="Q60" s="176"/>
      <c r="R60" s="176"/>
      <c r="S60" s="176"/>
      <c r="T60" s="176"/>
      <c r="U60" s="216">
        <v>2.69572608</v>
      </c>
      <c r="V60" s="177">
        <f t="shared" si="55"/>
        <v>2.69572608</v>
      </c>
      <c r="W60" s="179"/>
      <c r="X60" s="179"/>
      <c r="Y60" s="179"/>
      <c r="Z60" s="177">
        <f t="shared" si="56"/>
        <v>0</v>
      </c>
      <c r="AA60" s="180">
        <f t="shared" si="57"/>
        <v>2.69572608</v>
      </c>
      <c r="AB60" s="73">
        <f t="shared" si="46"/>
        <v>1.8410772269917082</v>
      </c>
      <c r="AC60" s="73">
        <f t="shared" si="47"/>
        <v>0.78094625105593252</v>
      </c>
      <c r="AD60" s="73">
        <f t="shared" si="48"/>
        <v>9.8789786851574454E-2</v>
      </c>
      <c r="AE60" s="73">
        <f t="shared" si="49"/>
        <v>0.20133806821163816</v>
      </c>
      <c r="AF60" s="182">
        <f t="shared" si="50"/>
        <v>1.4809847627487338E-3</v>
      </c>
      <c r="AG60" s="162">
        <f t="shared" si="51"/>
        <v>5.6193583978736017</v>
      </c>
      <c r="AH60" s="183">
        <f t="shared" si="38"/>
        <v>15.635736173423906</v>
      </c>
      <c r="AI60" s="183">
        <f t="shared" si="38"/>
        <v>10.678606409498856</v>
      </c>
      <c r="AJ60" s="183">
        <f t="shared" si="38"/>
        <v>4.5296403212951928</v>
      </c>
      <c r="AK60" s="160">
        <f t="shared" si="52"/>
        <v>32.593372904217951</v>
      </c>
      <c r="AL60" s="183">
        <f t="shared" si="53"/>
        <v>1.1678000000000002</v>
      </c>
      <c r="AM60" s="183">
        <f t="shared" si="53"/>
        <v>8.5899999999999987E-3</v>
      </c>
      <c r="AN60" s="160">
        <f t="shared" si="53"/>
        <v>32.593372904217951</v>
      </c>
      <c r="AO60" s="72"/>
      <c r="AP60" s="72"/>
      <c r="AQ60" s="72"/>
      <c r="AR60" s="72"/>
      <c r="AS60" s="72"/>
      <c r="AT60" s="72"/>
      <c r="AU60" s="72"/>
      <c r="AV60" s="72"/>
      <c r="AW60" s="72"/>
      <c r="AX60" s="72"/>
      <c r="AY60" s="72"/>
      <c r="AZ60" s="72"/>
      <c r="BA60" s="72"/>
      <c r="BB60" s="72"/>
    </row>
    <row r="61" spans="2:54">
      <c r="B61" s="165" t="str">
        <f t="shared" si="54"/>
        <v>PLGUM 006</v>
      </c>
      <c r="C61" s="155"/>
      <c r="D61" s="232" t="s">
        <v>90</v>
      </c>
      <c r="E61" s="167"/>
      <c r="F61" s="399">
        <v>0.86427679485415998</v>
      </c>
      <c r="G61" s="169"/>
      <c r="H61" s="169"/>
      <c r="I61" s="169"/>
      <c r="J61" s="171"/>
      <c r="K61" s="400">
        <v>746</v>
      </c>
      <c r="L61" s="215"/>
      <c r="M61" s="173"/>
      <c r="N61" s="173"/>
      <c r="O61" s="184"/>
      <c r="P61" s="208"/>
      <c r="Q61" s="176"/>
      <c r="R61" s="176"/>
      <c r="S61" s="176"/>
      <c r="T61" s="176"/>
      <c r="U61" s="216">
        <v>0.11924063999999999</v>
      </c>
      <c r="V61" s="177">
        <f t="shared" si="55"/>
        <v>0.11924063999999999</v>
      </c>
      <c r="W61" s="179"/>
      <c r="X61" s="179"/>
      <c r="Y61" s="179"/>
      <c r="Z61" s="177">
        <f t="shared" si="56"/>
        <v>0</v>
      </c>
      <c r="AA61" s="180">
        <f t="shared" si="57"/>
        <v>0.11924063999999999</v>
      </c>
      <c r="AB61" s="73">
        <f t="shared" si="46"/>
        <v>9.22927172111076E-2</v>
      </c>
      <c r="AC61" s="73">
        <f t="shared" si="47"/>
        <v>3.9148630187311767E-2</v>
      </c>
      <c r="AD61" s="73">
        <f t="shared" si="48"/>
        <v>4.9523060345143368E-3</v>
      </c>
      <c r="AE61" s="73">
        <f t="shared" si="49"/>
        <v>1.0093024410306881E-2</v>
      </c>
      <c r="AF61" s="182">
        <f t="shared" si="50"/>
        <v>7.4241376677972325E-5</v>
      </c>
      <c r="AG61" s="162">
        <f t="shared" si="51"/>
        <v>0.2658015592199186</v>
      </c>
      <c r="AH61" s="183">
        <f t="shared" si="38"/>
        <v>13.796580066704317</v>
      </c>
      <c r="AI61" s="183">
        <f t="shared" si="38"/>
        <v>10.678606409498856</v>
      </c>
      <c r="AJ61" s="183">
        <f t="shared" si="38"/>
        <v>4.5296403212951928</v>
      </c>
      <c r="AK61" s="160">
        <f t="shared" si="52"/>
        <v>30.754216797498369</v>
      </c>
      <c r="AL61" s="183">
        <f t="shared" si="53"/>
        <v>1.1678000000000002</v>
      </c>
      <c r="AM61" s="183">
        <f t="shared" si="53"/>
        <v>8.5899999999999969E-3</v>
      </c>
      <c r="AN61" s="160">
        <f t="shared" si="53"/>
        <v>30.754216797498369</v>
      </c>
      <c r="AO61" s="72"/>
      <c r="AP61" s="72"/>
      <c r="AQ61" s="72"/>
      <c r="AR61" s="72"/>
      <c r="AS61" s="72"/>
      <c r="AT61" s="72"/>
      <c r="AU61" s="72"/>
      <c r="AV61" s="72"/>
      <c r="AW61" s="72"/>
      <c r="AX61" s="72"/>
      <c r="AY61" s="72"/>
      <c r="AZ61" s="72"/>
      <c r="BA61" s="72"/>
      <c r="BB61" s="72"/>
    </row>
    <row r="62" spans="2:54">
      <c r="B62" s="165" t="str">
        <f t="shared" si="54"/>
        <v>PLGUM 007</v>
      </c>
      <c r="C62" s="155"/>
      <c r="D62" s="232" t="s">
        <v>92</v>
      </c>
      <c r="E62" s="167"/>
      <c r="F62" s="399">
        <v>2.0268101822917717</v>
      </c>
      <c r="G62" s="169"/>
      <c r="H62" s="169"/>
      <c r="I62" s="169"/>
      <c r="J62" s="171"/>
      <c r="K62" s="400">
        <v>1136</v>
      </c>
      <c r="L62" s="215"/>
      <c r="M62" s="173"/>
      <c r="N62" s="173"/>
      <c r="O62" s="184"/>
      <c r="P62" s="208"/>
      <c r="Q62" s="176"/>
      <c r="R62" s="176"/>
      <c r="S62" s="176"/>
      <c r="T62" s="176"/>
      <c r="U62" s="216">
        <v>0.24755711999999999</v>
      </c>
      <c r="V62" s="177">
        <f t="shared" si="55"/>
        <v>0.24755711999999999</v>
      </c>
      <c r="W62" s="179"/>
      <c r="X62" s="179"/>
      <c r="Y62" s="179"/>
      <c r="Z62" s="177">
        <f t="shared" si="56"/>
        <v>0</v>
      </c>
      <c r="AA62" s="180">
        <f t="shared" si="57"/>
        <v>0.24755711999999999</v>
      </c>
      <c r="AB62" s="73">
        <f t="shared" si="46"/>
        <v>0.21643508203458459</v>
      </c>
      <c r="AC62" s="73">
        <f t="shared" si="47"/>
        <v>9.1807211253204679E-2</v>
      </c>
      <c r="AD62" s="73">
        <f t="shared" si="48"/>
        <v>1.1613622344531851E-2</v>
      </c>
      <c r="AE62" s="73">
        <f t="shared" si="49"/>
        <v>2.366908930880331E-2</v>
      </c>
      <c r="AF62" s="182">
        <f t="shared" si="50"/>
        <v>1.7410299465886315E-4</v>
      </c>
      <c r="AG62" s="162">
        <f t="shared" si="51"/>
        <v>0.59125622793578325</v>
      </c>
      <c r="AH62" s="183">
        <f t="shared" si="38"/>
        <v>12.21412454717788</v>
      </c>
      <c r="AI62" s="183">
        <f t="shared" si="38"/>
        <v>10.678606409498856</v>
      </c>
      <c r="AJ62" s="183">
        <f t="shared" si="38"/>
        <v>4.5296403212951928</v>
      </c>
      <c r="AK62" s="160">
        <f t="shared" si="52"/>
        <v>29.171761277971925</v>
      </c>
      <c r="AL62" s="183">
        <f t="shared" si="53"/>
        <v>1.1678000000000002</v>
      </c>
      <c r="AM62" s="183">
        <f t="shared" si="53"/>
        <v>8.5899999999999987E-3</v>
      </c>
      <c r="AN62" s="160">
        <f t="shared" si="53"/>
        <v>29.171761277971925</v>
      </c>
      <c r="AO62" s="72"/>
      <c r="AP62" s="72"/>
      <c r="AQ62" s="72"/>
      <c r="AR62" s="72"/>
      <c r="AS62" s="72"/>
      <c r="AT62" s="72"/>
      <c r="AU62" s="72"/>
      <c r="AV62" s="72"/>
      <c r="AW62" s="72"/>
      <c r="AX62" s="72"/>
      <c r="AY62" s="72"/>
      <c r="AZ62" s="72"/>
      <c r="BA62" s="72"/>
      <c r="BB62" s="72"/>
    </row>
    <row r="63" spans="2:54">
      <c r="B63" s="165" t="str">
        <f t="shared" si="54"/>
        <v>PLGUM 010</v>
      </c>
      <c r="C63" s="155"/>
      <c r="D63" s="232" t="s">
        <v>96</v>
      </c>
      <c r="E63" s="167"/>
      <c r="F63" s="399">
        <v>7.6077984176170484E-3</v>
      </c>
      <c r="G63" s="169"/>
      <c r="H63" s="169"/>
      <c r="I63" s="169"/>
      <c r="J63" s="171"/>
      <c r="K63" s="400">
        <v>35</v>
      </c>
      <c r="L63" s="215"/>
      <c r="M63" s="173"/>
      <c r="N63" s="173"/>
      <c r="O63" s="184"/>
      <c r="P63" s="208"/>
      <c r="Q63" s="176"/>
      <c r="R63" s="176"/>
      <c r="S63" s="176"/>
      <c r="T63" s="176"/>
      <c r="U63" s="216">
        <v>3.7589999999999998E-3</v>
      </c>
      <c r="V63" s="177">
        <f t="shared" si="55"/>
        <v>3.7589999999999998E-3</v>
      </c>
      <c r="W63" s="179"/>
      <c r="X63" s="179"/>
      <c r="Y63" s="179"/>
      <c r="Z63" s="177">
        <f t="shared" si="56"/>
        <v>0</v>
      </c>
      <c r="AA63" s="180">
        <f t="shared" si="57"/>
        <v>3.7589999999999998E-3</v>
      </c>
      <c r="AB63" s="73">
        <f t="shared" si="46"/>
        <v>8.124068494454067E-4</v>
      </c>
      <c r="AC63" s="73">
        <f t="shared" si="47"/>
        <v>3.4460590468723945E-4</v>
      </c>
      <c r="AD63" s="73">
        <f t="shared" si="48"/>
        <v>4.3592684932945686E-5</v>
      </c>
      <c r="AE63" s="73">
        <f t="shared" si="49"/>
        <v>8.8843869920931896E-5</v>
      </c>
      <c r="AF63" s="182">
        <f t="shared" si="50"/>
        <v>6.5350988407330438E-7</v>
      </c>
      <c r="AG63" s="162">
        <f t="shared" si="51"/>
        <v>5.049102818870597E-3</v>
      </c>
      <c r="AH63" s="183">
        <f t="shared" si="38"/>
        <v>49.409826518213819</v>
      </c>
      <c r="AI63" s="183">
        <f t="shared" si="38"/>
        <v>10.678606409498856</v>
      </c>
      <c r="AJ63" s="183">
        <f t="shared" si="38"/>
        <v>4.5296403212951928</v>
      </c>
      <c r="AK63" s="160">
        <f t="shared" si="52"/>
        <v>66.367463249007869</v>
      </c>
      <c r="AL63" s="183">
        <f t="shared" si="53"/>
        <v>1.1678000000000002</v>
      </c>
      <c r="AM63" s="183">
        <f t="shared" si="53"/>
        <v>8.5899999999999987E-3</v>
      </c>
      <c r="AN63" s="160">
        <f t="shared" si="53"/>
        <v>66.367463249007869</v>
      </c>
      <c r="AO63" s="72"/>
      <c r="AP63" s="72"/>
      <c r="AQ63" s="72"/>
      <c r="AR63" s="72"/>
      <c r="AS63" s="72"/>
      <c r="AT63" s="72"/>
      <c r="AU63" s="72"/>
      <c r="AV63" s="72"/>
      <c r="AW63" s="72"/>
      <c r="AX63" s="72"/>
      <c r="AY63" s="72"/>
      <c r="AZ63" s="72"/>
      <c r="BA63" s="72"/>
      <c r="BB63" s="72"/>
    </row>
    <row r="64" spans="2:54">
      <c r="B64" s="165" t="str">
        <f t="shared" si="54"/>
        <v>PLGUM 011</v>
      </c>
      <c r="C64" s="155"/>
      <c r="D64" s="232" t="s">
        <v>99</v>
      </c>
      <c r="E64" s="167"/>
      <c r="F64" s="399">
        <v>17.51019159141471</v>
      </c>
      <c r="G64" s="169"/>
      <c r="H64" s="169"/>
      <c r="I64" s="169"/>
      <c r="J64" s="171"/>
      <c r="K64" s="650">
        <v>48238</v>
      </c>
      <c r="L64" s="215"/>
      <c r="M64" s="173"/>
      <c r="N64" s="173"/>
      <c r="O64" s="184"/>
      <c r="P64" s="208"/>
      <c r="Q64" s="176"/>
      <c r="R64" s="176"/>
      <c r="S64" s="176"/>
      <c r="T64" s="176"/>
      <c r="U64" s="216">
        <v>6.5133379199999997</v>
      </c>
      <c r="V64" s="177">
        <f t="shared" si="55"/>
        <v>6.5133379199999997</v>
      </c>
      <c r="W64" s="179"/>
      <c r="X64" s="179"/>
      <c r="Y64" s="179"/>
      <c r="Z64" s="177">
        <f t="shared" si="56"/>
        <v>0</v>
      </c>
      <c r="AA64" s="180">
        <f t="shared" si="57"/>
        <v>6.5133379199999997</v>
      </c>
      <c r="AB64" s="73">
        <f t="shared" si="46"/>
        <v>1.8698444415963409</v>
      </c>
      <c r="AC64" s="73">
        <f t="shared" si="47"/>
        <v>0.7931486986607611</v>
      </c>
      <c r="AD64" s="73">
        <f t="shared" si="48"/>
        <v>0.10033339781880629</v>
      </c>
      <c r="AE64" s="73">
        <f t="shared" si="49"/>
        <v>0.204484017404541</v>
      </c>
      <c r="AF64" s="182">
        <f t="shared" si="50"/>
        <v>1.5041254577025233E-3</v>
      </c>
      <c r="AG64" s="162">
        <f t="shared" si="51"/>
        <v>9.4826526009381507</v>
      </c>
      <c r="AH64" s="183">
        <f t="shared" si="38"/>
        <v>37.197410924923894</v>
      </c>
      <c r="AI64" s="183">
        <f t="shared" si="38"/>
        <v>10.678606409498856</v>
      </c>
      <c r="AJ64" s="183">
        <f t="shared" si="38"/>
        <v>4.5296403212951928</v>
      </c>
      <c r="AK64" s="160">
        <f t="shared" si="52"/>
        <v>54.155047655717937</v>
      </c>
      <c r="AL64" s="183">
        <f t="shared" si="53"/>
        <v>1.1678000000000002</v>
      </c>
      <c r="AM64" s="183">
        <f t="shared" si="53"/>
        <v>8.5899999999999987E-3</v>
      </c>
      <c r="AN64" s="160">
        <f t="shared" si="53"/>
        <v>54.155047655717937</v>
      </c>
      <c r="AO64" s="72"/>
      <c r="AP64" s="72"/>
      <c r="AQ64" s="72"/>
      <c r="AR64" s="72"/>
      <c r="AS64" s="72"/>
      <c r="AT64" s="72"/>
      <c r="AU64" s="72"/>
      <c r="AV64" s="72"/>
      <c r="AW64" s="72"/>
      <c r="AX64" s="72"/>
      <c r="AY64" s="72"/>
      <c r="AZ64" s="72"/>
      <c r="BA64" s="72"/>
      <c r="BB64" s="72"/>
    </row>
    <row r="65" spans="2:55">
      <c r="B65" s="165" t="str">
        <f t="shared" si="54"/>
        <v>PLGUM 012</v>
      </c>
      <c r="C65" s="155"/>
      <c r="D65" s="232" t="s">
        <v>100</v>
      </c>
      <c r="E65" s="167"/>
      <c r="F65" s="399">
        <v>112.78716178871106</v>
      </c>
      <c r="G65" s="169"/>
      <c r="H65" s="169"/>
      <c r="I65" s="169"/>
      <c r="J65" s="171"/>
      <c r="K65" s="650">
        <v>239243</v>
      </c>
      <c r="L65" s="215"/>
      <c r="M65" s="173"/>
      <c r="N65" s="173"/>
      <c r="O65" s="184"/>
      <c r="P65" s="208"/>
      <c r="Q65" s="176"/>
      <c r="R65" s="176"/>
      <c r="S65" s="176"/>
      <c r="T65" s="176"/>
      <c r="U65" s="216">
        <v>32.632251599999996</v>
      </c>
      <c r="V65" s="177">
        <f t="shared" si="55"/>
        <v>32.632251599999996</v>
      </c>
      <c r="W65" s="179"/>
      <c r="X65" s="179"/>
      <c r="Y65" s="179"/>
      <c r="Z65" s="177">
        <f t="shared" si="56"/>
        <v>0</v>
      </c>
      <c r="AA65" s="180">
        <f t="shared" si="57"/>
        <v>32.632251599999996</v>
      </c>
      <c r="AB65" s="73">
        <f t="shared" si="46"/>
        <v>12.044097087861143</v>
      </c>
      <c r="AC65" s="73">
        <f t="shared" si="47"/>
        <v>5.1088527576259004</v>
      </c>
      <c r="AD65" s="73">
        <f t="shared" si="48"/>
        <v>0.64627043704931431</v>
      </c>
      <c r="AE65" s="73">
        <f t="shared" si="49"/>
        <v>1.3171284753685679</v>
      </c>
      <c r="AF65" s="182">
        <f t="shared" si="50"/>
        <v>9.6884171976502793E-3</v>
      </c>
      <c r="AG65" s="162">
        <f t="shared" si="51"/>
        <v>51.758288775102578</v>
      </c>
      <c r="AH65" s="183">
        <f t="shared" si="38"/>
        <v>28.932593996053708</v>
      </c>
      <c r="AI65" s="183">
        <f t="shared" si="38"/>
        <v>10.678606409498856</v>
      </c>
      <c r="AJ65" s="183">
        <f t="shared" si="38"/>
        <v>4.5296403212951928</v>
      </c>
      <c r="AK65" s="160">
        <f t="shared" si="52"/>
        <v>45.890230726847761</v>
      </c>
      <c r="AL65" s="183">
        <f t="shared" si="53"/>
        <v>1.1678000000000002</v>
      </c>
      <c r="AM65" s="183">
        <f t="shared" si="53"/>
        <v>8.5899999999999987E-3</v>
      </c>
      <c r="AN65" s="160">
        <f t="shared" si="53"/>
        <v>45.890230726847761</v>
      </c>
      <c r="AO65" s="72"/>
      <c r="AP65" s="72"/>
      <c r="AQ65" s="72"/>
      <c r="AR65" s="72"/>
      <c r="AS65" s="72"/>
      <c r="AT65" s="72"/>
      <c r="AU65" s="72"/>
      <c r="AV65" s="72"/>
      <c r="AW65" s="72"/>
      <c r="AX65" s="72"/>
      <c r="AY65" s="72"/>
      <c r="AZ65" s="72"/>
      <c r="BA65" s="72"/>
      <c r="BB65" s="72"/>
    </row>
    <row r="66" spans="2:55">
      <c r="B66" s="165" t="str">
        <f t="shared" si="54"/>
        <v>PLGUM 013</v>
      </c>
      <c r="C66" s="155"/>
      <c r="D66" s="232" t="s">
        <v>101</v>
      </c>
      <c r="E66" s="167"/>
      <c r="F66" s="399">
        <v>0.46288957101649075</v>
      </c>
      <c r="G66" s="169"/>
      <c r="H66" s="169"/>
      <c r="I66" s="169"/>
      <c r="J66" s="171"/>
      <c r="K66" s="400">
        <v>736</v>
      </c>
      <c r="L66" s="215"/>
      <c r="M66" s="173"/>
      <c r="N66" s="173"/>
      <c r="O66" s="184"/>
      <c r="P66" s="208"/>
      <c r="Q66" s="176"/>
      <c r="R66" s="176"/>
      <c r="S66" s="176"/>
      <c r="T66" s="176"/>
      <c r="U66" s="216">
        <v>9.6180480000000013E-2</v>
      </c>
      <c r="V66" s="177">
        <f t="shared" si="55"/>
        <v>9.6180480000000013E-2</v>
      </c>
      <c r="W66" s="179"/>
      <c r="X66" s="179"/>
      <c r="Y66" s="179"/>
      <c r="Z66" s="177">
        <f t="shared" si="56"/>
        <v>0</v>
      </c>
      <c r="AA66" s="180">
        <f t="shared" si="57"/>
        <v>9.6180480000000013E-2</v>
      </c>
      <c r="AB66" s="73">
        <f t="shared" si="46"/>
        <v>4.9430155399468739E-2</v>
      </c>
      <c r="AC66" s="73">
        <f t="shared" si="47"/>
        <v>2.0967232651833312E-2</v>
      </c>
      <c r="AD66" s="73">
        <f t="shared" si="48"/>
        <v>2.6523572419244919E-3</v>
      </c>
      <c r="AE66" s="73">
        <f t="shared" si="49"/>
        <v>5.4056244103305798E-3</v>
      </c>
      <c r="AF66" s="182">
        <f t="shared" si="50"/>
        <v>3.9762214150316549E-5</v>
      </c>
      <c r="AG66" s="162">
        <f t="shared" si="51"/>
        <v>0.17467561191770745</v>
      </c>
      <c r="AH66" s="183">
        <f t="shared" si="38"/>
        <v>20.778277589791177</v>
      </c>
      <c r="AI66" s="183">
        <f t="shared" si="38"/>
        <v>10.678606409498856</v>
      </c>
      <c r="AJ66" s="183">
        <f t="shared" si="38"/>
        <v>4.5296403212951928</v>
      </c>
      <c r="AK66" s="160">
        <f t="shared" si="52"/>
        <v>37.735914320585223</v>
      </c>
      <c r="AL66" s="183">
        <f t="shared" si="53"/>
        <v>1.1678000000000002</v>
      </c>
      <c r="AM66" s="183">
        <f t="shared" si="53"/>
        <v>8.5899999999999987E-3</v>
      </c>
      <c r="AN66" s="160">
        <f t="shared" si="53"/>
        <v>37.735914320585223</v>
      </c>
      <c r="AO66" s="72"/>
      <c r="AP66" s="72"/>
      <c r="AQ66" s="72"/>
      <c r="AR66" s="72"/>
      <c r="AS66" s="72"/>
      <c r="AT66" s="72"/>
      <c r="AU66" s="72"/>
      <c r="AV66" s="72"/>
      <c r="AW66" s="72"/>
      <c r="AX66" s="72"/>
      <c r="AY66" s="72"/>
      <c r="AZ66" s="72"/>
      <c r="BA66" s="72"/>
      <c r="BB66" s="72"/>
    </row>
    <row r="67" spans="2:55">
      <c r="B67" s="165" t="str">
        <f t="shared" si="54"/>
        <v>PLGUM 014</v>
      </c>
      <c r="C67" s="155"/>
      <c r="D67" s="232" t="s">
        <v>102</v>
      </c>
      <c r="E67" s="167"/>
      <c r="F67" s="399">
        <v>34.113383551901272</v>
      </c>
      <c r="G67" s="169"/>
      <c r="H67" s="169"/>
      <c r="I67" s="169"/>
      <c r="J67" s="171"/>
      <c r="K67" s="400">
        <v>36502</v>
      </c>
      <c r="L67" s="215"/>
      <c r="M67" s="173"/>
      <c r="N67" s="173"/>
      <c r="O67" s="184"/>
      <c r="P67" s="208"/>
      <c r="Q67" s="176"/>
      <c r="R67" s="176"/>
      <c r="S67" s="176"/>
      <c r="T67" s="176"/>
      <c r="U67" s="216">
        <v>5.9109455999999998</v>
      </c>
      <c r="V67" s="177">
        <f t="shared" si="55"/>
        <v>5.9109455999999998</v>
      </c>
      <c r="W67" s="179"/>
      <c r="X67" s="179"/>
      <c r="Y67" s="179"/>
      <c r="Z67" s="177">
        <f t="shared" si="56"/>
        <v>0</v>
      </c>
      <c r="AA67" s="180">
        <f t="shared" si="57"/>
        <v>5.9109455999999998</v>
      </c>
      <c r="AB67" s="73">
        <f t="shared" si="46"/>
        <v>3.6428339624702577</v>
      </c>
      <c r="AC67" s="73">
        <f t="shared" si="47"/>
        <v>1.5452135763250021</v>
      </c>
      <c r="AD67" s="73">
        <f t="shared" si="48"/>
        <v>0.19546968775239429</v>
      </c>
      <c r="AE67" s="73">
        <f t="shared" si="49"/>
        <v>0.3983760931191031</v>
      </c>
      <c r="AF67" s="182">
        <f t="shared" si="50"/>
        <v>2.9303396471083189E-3</v>
      </c>
      <c r="AG67" s="162">
        <f t="shared" si="51"/>
        <v>11.695769259313865</v>
      </c>
      <c r="AH67" s="183">
        <f t="shared" si="38"/>
        <v>17.327350689229888</v>
      </c>
      <c r="AI67" s="183">
        <f t="shared" si="38"/>
        <v>10.678606409498856</v>
      </c>
      <c r="AJ67" s="183">
        <f t="shared" si="38"/>
        <v>4.5296403212951928</v>
      </c>
      <c r="AK67" s="160">
        <f t="shared" si="52"/>
        <v>34.284987420023931</v>
      </c>
      <c r="AL67" s="183">
        <f t="shared" si="53"/>
        <v>1.1678000000000002</v>
      </c>
      <c r="AM67" s="183">
        <f t="shared" si="53"/>
        <v>8.5899999999999987E-3</v>
      </c>
      <c r="AN67" s="160">
        <f t="shared" si="53"/>
        <v>34.284987420023931</v>
      </c>
      <c r="AO67" s="72"/>
      <c r="AP67" s="72"/>
      <c r="AQ67" s="72"/>
      <c r="AR67" s="72"/>
      <c r="AS67" s="72"/>
      <c r="AT67" s="72"/>
      <c r="AU67" s="72"/>
      <c r="AV67" s="72"/>
      <c r="AW67" s="72"/>
      <c r="AX67" s="72"/>
      <c r="AY67" s="72"/>
      <c r="AZ67" s="72"/>
      <c r="BA67" s="72"/>
      <c r="BB67" s="72"/>
    </row>
    <row r="68" spans="2:55">
      <c r="B68" s="165" t="str">
        <f t="shared" si="54"/>
        <v>PLGUM 015</v>
      </c>
      <c r="C68" s="155"/>
      <c r="D68" s="232" t="s">
        <v>106</v>
      </c>
      <c r="E68" s="167"/>
      <c r="F68" s="399">
        <v>0.16103816955057407</v>
      </c>
      <c r="G68" s="169"/>
      <c r="H68" s="169"/>
      <c r="I68" s="169"/>
      <c r="J68" s="171"/>
      <c r="K68" s="400">
        <v>139</v>
      </c>
      <c r="L68" s="215"/>
      <c r="M68" s="173"/>
      <c r="N68" s="173"/>
      <c r="O68" s="184"/>
      <c r="P68" s="208"/>
      <c r="Q68" s="176"/>
      <c r="R68" s="176"/>
      <c r="S68" s="176"/>
      <c r="T68" s="176"/>
      <c r="U68" s="216">
        <v>1.5465600000000001E-2</v>
      </c>
      <c r="V68" s="177">
        <f t="shared" si="55"/>
        <v>1.5465600000000001E-2</v>
      </c>
      <c r="W68" s="179"/>
      <c r="X68" s="179"/>
      <c r="Y68" s="179"/>
      <c r="Z68" s="177">
        <f t="shared" si="56"/>
        <v>0</v>
      </c>
      <c r="AA68" s="180">
        <f t="shared" si="57"/>
        <v>1.5465600000000001E-2</v>
      </c>
      <c r="AB68" s="73">
        <f t="shared" si="46"/>
        <v>1.7196632295367238E-2</v>
      </c>
      <c r="AC68" s="73">
        <f t="shared" si="47"/>
        <v>7.2944498606385202E-3</v>
      </c>
      <c r="AD68" s="73">
        <f t="shared" si="48"/>
        <v>9.2274871152478943E-4</v>
      </c>
      <c r="AE68" s="73">
        <f t="shared" si="49"/>
        <v>1.8806037440116041E-3</v>
      </c>
      <c r="AF68" s="182">
        <f t="shared" si="50"/>
        <v>1.383317876439431E-5</v>
      </c>
      <c r="AG68" s="162">
        <f t="shared" si="51"/>
        <v>4.277386779030655E-2</v>
      </c>
      <c r="AH68" s="183">
        <f t="shared" si="38"/>
        <v>9.6036859107138728</v>
      </c>
      <c r="AI68" s="183">
        <f t="shared" si="38"/>
        <v>10.678606409498856</v>
      </c>
      <c r="AJ68" s="183">
        <f t="shared" si="38"/>
        <v>4.5296403212951928</v>
      </c>
      <c r="AK68" s="160">
        <f t="shared" si="52"/>
        <v>26.561322641507921</v>
      </c>
      <c r="AL68" s="183">
        <f t="shared" si="53"/>
        <v>1.1678000000000002</v>
      </c>
      <c r="AM68" s="183">
        <f t="shared" si="53"/>
        <v>8.5899999999999987E-3</v>
      </c>
      <c r="AN68" s="160">
        <f t="shared" si="53"/>
        <v>26.561322641507921</v>
      </c>
      <c r="AO68" s="72"/>
      <c r="AP68" s="72"/>
      <c r="AQ68" s="72"/>
      <c r="AR68" s="72"/>
      <c r="AS68" s="72"/>
      <c r="AT68" s="72"/>
      <c r="AU68" s="72"/>
      <c r="AV68" s="72"/>
      <c r="AW68" s="72"/>
      <c r="AX68" s="72"/>
      <c r="AY68" s="72"/>
      <c r="AZ68" s="72"/>
      <c r="BA68" s="72"/>
      <c r="BB68" s="72"/>
    </row>
    <row r="69" spans="2:55">
      <c r="B69" s="165" t="str">
        <f t="shared" si="54"/>
        <v>PLGUM 020</v>
      </c>
      <c r="C69" s="155"/>
      <c r="D69" s="232" t="s">
        <v>109</v>
      </c>
      <c r="E69" s="167"/>
      <c r="F69" s="399">
        <v>0.33311343954660472</v>
      </c>
      <c r="G69" s="169"/>
      <c r="H69" s="169"/>
      <c r="I69" s="169"/>
      <c r="J69" s="171"/>
      <c r="K69" s="650">
        <v>0</v>
      </c>
      <c r="L69" s="215"/>
      <c r="M69" s="173"/>
      <c r="N69" s="173"/>
      <c r="O69" s="184"/>
      <c r="P69" s="208"/>
      <c r="Q69" s="176"/>
      <c r="R69" s="176"/>
      <c r="S69" s="176"/>
      <c r="T69" s="176"/>
      <c r="U69" s="216">
        <v>5.1053040000000001E-2</v>
      </c>
      <c r="V69" s="177">
        <f t="shared" si="55"/>
        <v>5.1053040000000001E-2</v>
      </c>
      <c r="W69" s="179"/>
      <c r="X69" s="179"/>
      <c r="Y69" s="179"/>
      <c r="Z69" s="177">
        <f t="shared" si="56"/>
        <v>0</v>
      </c>
      <c r="AA69" s="180">
        <f t="shared" si="57"/>
        <v>5.1053040000000001E-2</v>
      </c>
      <c r="AB69" s="73">
        <f t="shared" si="46"/>
        <v>3.5571873106325827E-2</v>
      </c>
      <c r="AC69" s="73">
        <f t="shared" si="47"/>
        <v>1.5088840673356294E-2</v>
      </c>
      <c r="AD69" s="73">
        <f t="shared" si="48"/>
        <v>1.908740008602045E-3</v>
      </c>
      <c r="AE69" s="73">
        <f t="shared" si="49"/>
        <v>3.8900987470252501E-3</v>
      </c>
      <c r="AF69" s="182">
        <f t="shared" si="50"/>
        <v>2.8614444457053343E-5</v>
      </c>
      <c r="AG69" s="162">
        <f t="shared" si="51"/>
        <v>0.10754120697976648</v>
      </c>
      <c r="AH69" s="183">
        <f t="shared" si="38"/>
        <v>15.326022291231316</v>
      </c>
      <c r="AI69" s="183">
        <f t="shared" si="38"/>
        <v>10.678606409498856</v>
      </c>
      <c r="AJ69" s="183">
        <f t="shared" si="38"/>
        <v>4.5296403212951928</v>
      </c>
      <c r="AK69" s="160">
        <f t="shared" si="52"/>
        <v>32.283659022025368</v>
      </c>
      <c r="AL69" s="183">
        <f t="shared" si="53"/>
        <v>1.1678000000000002</v>
      </c>
      <c r="AM69" s="183">
        <f t="shared" si="53"/>
        <v>8.5899999999999987E-3</v>
      </c>
      <c r="AN69" s="160">
        <f t="shared" si="53"/>
        <v>32.283659022025368</v>
      </c>
      <c r="AO69" s="72"/>
      <c r="AP69" s="72"/>
      <c r="AQ69" s="72"/>
      <c r="AR69" s="72"/>
      <c r="AS69" s="72"/>
      <c r="AT69" s="72"/>
      <c r="AU69" s="72"/>
      <c r="AV69" s="72"/>
      <c r="AW69" s="72"/>
      <c r="AX69" s="72"/>
      <c r="AY69" s="72"/>
      <c r="AZ69" s="72"/>
      <c r="BA69" s="72"/>
      <c r="BB69" s="72"/>
    </row>
    <row r="70" spans="2:55">
      <c r="B70" s="165" t="str">
        <f t="shared" si="54"/>
        <v>PLGUM 021</v>
      </c>
      <c r="C70" s="155"/>
      <c r="D70" s="232" t="s">
        <v>111</v>
      </c>
      <c r="E70" s="167"/>
      <c r="F70" s="399">
        <v>19.449865724883271</v>
      </c>
      <c r="G70" s="169"/>
      <c r="H70" s="169"/>
      <c r="I70" s="169"/>
      <c r="J70" s="171"/>
      <c r="K70" s="650">
        <v>4275</v>
      </c>
      <c r="L70" s="215"/>
      <c r="M70" s="173"/>
      <c r="N70" s="173"/>
      <c r="O70" s="184"/>
      <c r="P70" s="208"/>
      <c r="Q70" s="176"/>
      <c r="R70" s="176"/>
      <c r="S70" s="176"/>
      <c r="T70" s="176"/>
      <c r="U70" s="216">
        <v>2.4256713599999999</v>
      </c>
      <c r="V70" s="177">
        <f t="shared" si="55"/>
        <v>2.4256713599999999</v>
      </c>
      <c r="W70" s="179"/>
      <c r="X70" s="179"/>
      <c r="Y70" s="179"/>
      <c r="Z70" s="177">
        <f t="shared" si="56"/>
        <v>0</v>
      </c>
      <c r="AA70" s="180">
        <f t="shared" si="57"/>
        <v>2.4256713599999999</v>
      </c>
      <c r="AB70" s="73">
        <f t="shared" si="46"/>
        <v>2.0769746079363061</v>
      </c>
      <c r="AC70" s="73">
        <f t="shared" si="47"/>
        <v>0.88100896031208609</v>
      </c>
      <c r="AD70" s="73">
        <f t="shared" si="48"/>
        <v>0.11144773060358114</v>
      </c>
      <c r="AE70" s="73">
        <f t="shared" si="49"/>
        <v>0.22713553193518685</v>
      </c>
      <c r="AF70" s="182">
        <f t="shared" si="50"/>
        <v>1.6707434657674727E-3</v>
      </c>
      <c r="AG70" s="162">
        <f t="shared" si="51"/>
        <v>5.7239089342529281</v>
      </c>
      <c r="AH70" s="183">
        <f t="shared" si="38"/>
        <v>12.471404143920164</v>
      </c>
      <c r="AI70" s="183">
        <f t="shared" si="38"/>
        <v>10.678606409498856</v>
      </c>
      <c r="AJ70" s="183">
        <f t="shared" si="38"/>
        <v>4.5296403212951928</v>
      </c>
      <c r="AK70" s="160">
        <f t="shared" si="52"/>
        <v>29.429040874714218</v>
      </c>
      <c r="AL70" s="183">
        <f t="shared" si="53"/>
        <v>1.1678000000000002</v>
      </c>
      <c r="AM70" s="183">
        <f t="shared" si="53"/>
        <v>8.5899999999999987E-3</v>
      </c>
      <c r="AN70" s="160">
        <f t="shared" si="53"/>
        <v>29.429040874714218</v>
      </c>
      <c r="AO70" s="72"/>
      <c r="AP70" s="72"/>
      <c r="AQ70" s="72"/>
      <c r="AR70" s="72"/>
      <c r="AS70" s="72"/>
      <c r="AT70" s="72"/>
      <c r="AU70" s="72"/>
      <c r="AV70" s="72"/>
      <c r="AW70" s="72"/>
      <c r="AX70" s="72"/>
      <c r="AY70" s="72"/>
      <c r="AZ70" s="72"/>
      <c r="BA70" s="72"/>
      <c r="BB70" s="72"/>
    </row>
    <row r="71" spans="2:55">
      <c r="B71" s="165" t="str">
        <f t="shared" si="54"/>
        <v>PLGUM 022</v>
      </c>
      <c r="C71" s="155"/>
      <c r="D71" s="232" t="s">
        <v>113</v>
      </c>
      <c r="E71" s="167"/>
      <c r="F71" s="399">
        <v>3.6548327017425248</v>
      </c>
      <c r="G71" s="169"/>
      <c r="H71" s="169"/>
      <c r="I71" s="169"/>
      <c r="J71" s="171"/>
      <c r="K71" s="650">
        <v>1380</v>
      </c>
      <c r="L71" s="215"/>
      <c r="M71" s="173"/>
      <c r="N71" s="173"/>
      <c r="O71" s="184"/>
      <c r="P71" s="208"/>
      <c r="Q71" s="176"/>
      <c r="R71" s="176"/>
      <c r="S71" s="176"/>
      <c r="T71" s="176"/>
      <c r="U71" s="216">
        <v>0.54390959999999999</v>
      </c>
      <c r="V71" s="177">
        <f t="shared" si="55"/>
        <v>0.54390959999999999</v>
      </c>
      <c r="W71" s="179"/>
      <c r="X71" s="179"/>
      <c r="Y71" s="179"/>
      <c r="Z71" s="177">
        <f t="shared" si="56"/>
        <v>0</v>
      </c>
      <c r="AA71" s="180">
        <f t="shared" si="57"/>
        <v>0.54390959999999999</v>
      </c>
      <c r="AB71" s="73">
        <f t="shared" si="46"/>
        <v>0.39028519914473747</v>
      </c>
      <c r="AC71" s="73">
        <f t="shared" si="47"/>
        <v>0.16555077573401186</v>
      </c>
      <c r="AD71" s="73">
        <f t="shared" si="48"/>
        <v>2.0942191380984666E-2</v>
      </c>
      <c r="AE71" s="73">
        <f t="shared" si="49"/>
        <v>4.2681136290949211E-2</v>
      </c>
      <c r="AF71" s="182">
        <f t="shared" si="50"/>
        <v>3.1395012907968283E-4</v>
      </c>
      <c r="AG71" s="162">
        <f t="shared" si="51"/>
        <v>1.1636828526797629</v>
      </c>
      <c r="AH71" s="183">
        <f t="shared" si="38"/>
        <v>14.881928788168025</v>
      </c>
      <c r="AI71" s="183">
        <f t="shared" si="38"/>
        <v>10.678606409498856</v>
      </c>
      <c r="AJ71" s="183">
        <f t="shared" si="38"/>
        <v>4.5296403212951928</v>
      </c>
      <c r="AK71" s="160">
        <f t="shared" si="52"/>
        <v>31.839565518962075</v>
      </c>
      <c r="AL71" s="183">
        <f t="shared" si="53"/>
        <v>1.1678000000000002</v>
      </c>
      <c r="AM71" s="183">
        <f t="shared" si="53"/>
        <v>8.5899999999999987E-3</v>
      </c>
      <c r="AN71" s="160">
        <f t="shared" si="53"/>
        <v>31.839565518962075</v>
      </c>
      <c r="AO71" s="72"/>
      <c r="AP71" s="72"/>
      <c r="AQ71" s="72"/>
      <c r="AR71" s="72"/>
      <c r="AS71" s="72"/>
      <c r="AT71" s="72"/>
      <c r="AU71" s="72"/>
      <c r="AV71" s="72"/>
      <c r="AW71" s="72"/>
      <c r="AX71" s="72"/>
      <c r="AY71" s="72"/>
      <c r="AZ71" s="72"/>
      <c r="BA71" s="72"/>
      <c r="BB71" s="72"/>
    </row>
    <row r="72" spans="2:55">
      <c r="B72" s="165" t="str">
        <f t="shared" si="54"/>
        <v>PLGUM 023</v>
      </c>
      <c r="C72" s="155"/>
      <c r="D72" s="232" t="s">
        <v>115</v>
      </c>
      <c r="E72" s="167"/>
      <c r="F72" s="399">
        <v>3.7037454941795032</v>
      </c>
      <c r="G72" s="169"/>
      <c r="H72" s="169"/>
      <c r="I72" s="169"/>
      <c r="J72" s="171"/>
      <c r="K72" s="650">
        <v>523</v>
      </c>
      <c r="L72" s="215"/>
      <c r="M72" s="173"/>
      <c r="N72" s="173"/>
      <c r="O72" s="184"/>
      <c r="P72" s="208"/>
      <c r="Q72" s="176"/>
      <c r="R72" s="176"/>
      <c r="S72" s="176"/>
      <c r="T72" s="176"/>
      <c r="U72" s="216">
        <v>0.74772828000000002</v>
      </c>
      <c r="V72" s="177">
        <f t="shared" si="55"/>
        <v>0.74772828000000002</v>
      </c>
      <c r="W72" s="179"/>
      <c r="X72" s="179"/>
      <c r="Y72" s="179"/>
      <c r="Z72" s="177">
        <f t="shared" si="56"/>
        <v>0</v>
      </c>
      <c r="AA72" s="180">
        <f t="shared" si="57"/>
        <v>0.74772828000000002</v>
      </c>
      <c r="AB72" s="73">
        <f t="shared" si="46"/>
        <v>0.39550840373297752</v>
      </c>
      <c r="AC72" s="73">
        <f t="shared" si="47"/>
        <v>0.16776634930250867</v>
      </c>
      <c r="AD72" s="73">
        <f t="shared" si="48"/>
        <v>2.1222461681648552E-2</v>
      </c>
      <c r="AE72" s="73">
        <f t="shared" si="49"/>
        <v>4.3252339881028244E-2</v>
      </c>
      <c r="AF72" s="182">
        <f t="shared" si="50"/>
        <v>3.1815173795001926E-4</v>
      </c>
      <c r="AG72" s="162">
        <f t="shared" si="51"/>
        <v>1.3757959863361131</v>
      </c>
      <c r="AH72" s="183">
        <f t="shared" si="38"/>
        <v>20.188435765229208</v>
      </c>
      <c r="AI72" s="183">
        <f t="shared" si="38"/>
        <v>10.678606409498856</v>
      </c>
      <c r="AJ72" s="183">
        <f t="shared" si="38"/>
        <v>4.5296403212951928</v>
      </c>
      <c r="AK72" s="160">
        <f t="shared" si="52"/>
        <v>37.146072496023258</v>
      </c>
      <c r="AL72" s="183">
        <f t="shared" si="53"/>
        <v>1.1678000000000002</v>
      </c>
      <c r="AM72" s="183">
        <f t="shared" si="53"/>
        <v>8.5899999999999987E-3</v>
      </c>
      <c r="AN72" s="160">
        <f t="shared" si="53"/>
        <v>37.146072496023258</v>
      </c>
      <c r="AO72" s="72"/>
      <c r="AP72" s="72"/>
      <c r="AQ72" s="72"/>
      <c r="AR72" s="72"/>
      <c r="AS72" s="72"/>
      <c r="AT72" s="72"/>
      <c r="AU72" s="72"/>
      <c r="AV72" s="72"/>
      <c r="AW72" s="72"/>
      <c r="AX72" s="72"/>
      <c r="AY72" s="72"/>
      <c r="AZ72" s="72"/>
      <c r="BA72" s="72"/>
      <c r="BB72" s="72"/>
    </row>
    <row r="73" spans="2:55">
      <c r="B73" s="165" t="str">
        <f t="shared" si="54"/>
        <v>PLGUM 024</v>
      </c>
      <c r="C73" s="155"/>
      <c r="D73" s="232" t="s">
        <v>117</v>
      </c>
      <c r="E73" s="167"/>
      <c r="F73" s="399">
        <v>6.6644093462519165E-3</v>
      </c>
      <c r="G73" s="169"/>
      <c r="H73" s="169"/>
      <c r="I73" s="169"/>
      <c r="J73" s="171"/>
      <c r="K73" s="400">
        <v>4</v>
      </c>
      <c r="L73" s="215"/>
      <c r="M73" s="173"/>
      <c r="N73" s="173"/>
      <c r="O73" s="184"/>
      <c r="P73" s="208"/>
      <c r="Q73" s="176"/>
      <c r="R73" s="176"/>
      <c r="S73" s="176"/>
      <c r="T73" s="176"/>
      <c r="U73" s="216">
        <v>1.20144E-3</v>
      </c>
      <c r="V73" s="177">
        <f t="shared" si="55"/>
        <v>1.20144E-3</v>
      </c>
      <c r="W73" s="179"/>
      <c r="X73" s="179"/>
      <c r="Y73" s="179"/>
      <c r="Z73" s="177">
        <f t="shared" si="56"/>
        <v>0</v>
      </c>
      <c r="AA73" s="180">
        <f t="shared" si="57"/>
        <v>1.20144E-3</v>
      </c>
      <c r="AB73" s="73">
        <f t="shared" si="46"/>
        <v>7.1166604360409799E-4</v>
      </c>
      <c r="AC73" s="73">
        <f t="shared" si="47"/>
        <v>3.0187377292399214E-4</v>
      </c>
      <c r="AD73" s="73">
        <f t="shared" si="48"/>
        <v>3.8187065554023478E-5</v>
      </c>
      <c r="AE73" s="73">
        <f t="shared" si="49"/>
        <v>7.7826972345529881E-5</v>
      </c>
      <c r="AF73" s="182">
        <f t="shared" si="50"/>
        <v>5.7247276284303951E-7</v>
      </c>
      <c r="AG73" s="162">
        <f t="shared" si="51"/>
        <v>2.3315663271904867E-3</v>
      </c>
      <c r="AH73" s="183">
        <f t="shared" si="38"/>
        <v>18.027704145689871</v>
      </c>
      <c r="AI73" s="183">
        <f t="shared" si="38"/>
        <v>10.678606409498856</v>
      </c>
      <c r="AJ73" s="183">
        <f t="shared" si="38"/>
        <v>4.5296403212951928</v>
      </c>
      <c r="AK73" s="160">
        <f t="shared" si="52"/>
        <v>34.985340876483924</v>
      </c>
      <c r="AL73" s="183">
        <f t="shared" si="53"/>
        <v>1.1678000000000002</v>
      </c>
      <c r="AM73" s="183">
        <f t="shared" si="53"/>
        <v>8.5899999999999987E-3</v>
      </c>
      <c r="AN73" s="160">
        <f t="shared" si="53"/>
        <v>34.985340876483924</v>
      </c>
      <c r="AO73" s="72"/>
      <c r="AP73" s="72"/>
      <c r="AQ73" s="72"/>
      <c r="AR73" s="72"/>
      <c r="AS73" s="72"/>
      <c r="AT73" s="72"/>
      <c r="AU73" s="72"/>
      <c r="AV73" s="72"/>
      <c r="AW73" s="72"/>
      <c r="AX73" s="72"/>
      <c r="AY73" s="72"/>
      <c r="AZ73" s="72"/>
      <c r="BA73" s="72"/>
      <c r="BB73" s="72"/>
    </row>
    <row r="74" spans="2:55">
      <c r="B74" s="165" t="str">
        <f t="shared" si="54"/>
        <v>PLGUM 025</v>
      </c>
      <c r="C74" s="155"/>
      <c r="D74" s="232" t="s">
        <v>121</v>
      </c>
      <c r="E74" s="167"/>
      <c r="F74" s="399">
        <v>4.4931580217914133</v>
      </c>
      <c r="G74" s="169"/>
      <c r="H74" s="169"/>
      <c r="I74" s="169"/>
      <c r="J74" s="171"/>
      <c r="K74" s="650">
        <v>2860</v>
      </c>
      <c r="L74" s="215"/>
      <c r="M74" s="173"/>
      <c r="N74" s="173"/>
      <c r="O74" s="184"/>
      <c r="P74" s="208"/>
      <c r="Q74" s="176"/>
      <c r="R74" s="176"/>
      <c r="S74" s="176"/>
      <c r="T74" s="176"/>
      <c r="U74" s="216">
        <v>0.49931039999999999</v>
      </c>
      <c r="V74" s="177">
        <f t="shared" si="55"/>
        <v>0.49931039999999999</v>
      </c>
      <c r="W74" s="179"/>
      <c r="X74" s="179"/>
      <c r="Y74" s="179"/>
      <c r="Z74" s="177">
        <f t="shared" si="56"/>
        <v>0</v>
      </c>
      <c r="AA74" s="180">
        <f t="shared" si="57"/>
        <v>0.49931039999999999</v>
      </c>
      <c r="AB74" s="73">
        <f t="shared" si="46"/>
        <v>0.47980666050392984</v>
      </c>
      <c r="AC74" s="73">
        <f t="shared" si="47"/>
        <v>0.2035238974545733</v>
      </c>
      <c r="AD74" s="73">
        <f t="shared" si="48"/>
        <v>2.5745795464864798E-2</v>
      </c>
      <c r="AE74" s="73">
        <f t="shared" si="49"/>
        <v>5.2471099378480129E-2</v>
      </c>
      <c r="AF74" s="182">
        <f t="shared" si="50"/>
        <v>3.8596227407188232E-4</v>
      </c>
      <c r="AG74" s="162">
        <f t="shared" si="51"/>
        <v>1.2612438150759198</v>
      </c>
      <c r="AH74" s="183">
        <f t="shared" si="38"/>
        <v>11.112682829724424</v>
      </c>
      <c r="AI74" s="183">
        <f t="shared" si="38"/>
        <v>10.678606409498856</v>
      </c>
      <c r="AJ74" s="183">
        <f t="shared" si="38"/>
        <v>4.5296403212951928</v>
      </c>
      <c r="AK74" s="160">
        <f t="shared" si="52"/>
        <v>28.07031956051847</v>
      </c>
      <c r="AL74" s="183">
        <f t="shared" si="53"/>
        <v>1.1678000000000002</v>
      </c>
      <c r="AM74" s="183">
        <f t="shared" si="53"/>
        <v>8.5899999999999987E-3</v>
      </c>
      <c r="AN74" s="160">
        <f t="shared" si="53"/>
        <v>28.07031956051847</v>
      </c>
      <c r="AO74" s="72"/>
      <c r="AP74" s="72"/>
      <c r="AQ74" s="72"/>
      <c r="AR74" s="72"/>
      <c r="AS74" s="72"/>
      <c r="AT74" s="72"/>
      <c r="AU74" s="72"/>
      <c r="AV74" s="72"/>
      <c r="AW74" s="72"/>
      <c r="AX74" s="72"/>
      <c r="AY74" s="72"/>
      <c r="AZ74" s="72"/>
      <c r="BA74" s="72"/>
      <c r="BB74" s="72"/>
    </row>
    <row r="75" spans="2:55">
      <c r="B75" s="165" t="str">
        <f t="shared" si="54"/>
        <v>PLGUM 026</v>
      </c>
      <c r="C75" s="155"/>
      <c r="D75" s="232" t="s">
        <v>122</v>
      </c>
      <c r="E75" s="167"/>
      <c r="F75" s="399">
        <v>8.5217978851168201</v>
      </c>
      <c r="G75" s="169"/>
      <c r="H75" s="169"/>
      <c r="I75" s="169"/>
      <c r="J75" s="171"/>
      <c r="K75" s="650">
        <v>4205</v>
      </c>
      <c r="L75" s="215"/>
      <c r="M75" s="173"/>
      <c r="N75" s="173"/>
      <c r="O75" s="184"/>
      <c r="P75" s="208"/>
      <c r="Q75" s="176"/>
      <c r="R75" s="176"/>
      <c r="S75" s="176"/>
      <c r="T75" s="176"/>
      <c r="U75" s="216">
        <v>0.87545879999999998</v>
      </c>
      <c r="V75" s="177">
        <f>SUM(Q75:U75)</f>
        <v>0.87545879999999998</v>
      </c>
      <c r="W75" s="179"/>
      <c r="X75" s="179"/>
      <c r="Y75" s="179"/>
      <c r="Z75" s="177">
        <f t="shared" si="56"/>
        <v>0</v>
      </c>
      <c r="AA75" s="180">
        <f t="shared" si="57"/>
        <v>0.87545879999999998</v>
      </c>
      <c r="AB75" s="73">
        <f t="shared" si="46"/>
        <v>0.91000925516462272</v>
      </c>
      <c r="AC75" s="73">
        <f t="shared" si="47"/>
        <v>0.38600679310353248</v>
      </c>
      <c r="AD75" s="73">
        <f t="shared" si="48"/>
        <v>4.882990188171938E-2</v>
      </c>
      <c r="AE75" s="73">
        <f t="shared" si="49"/>
        <v>9.9517555702394234E-2</v>
      </c>
      <c r="AF75" s="182">
        <f t="shared" si="50"/>
        <v>7.3202243833153473E-4</v>
      </c>
      <c r="AG75" s="162">
        <f t="shared" si="51"/>
        <v>2.3205543282906005</v>
      </c>
      <c r="AH75" s="183">
        <f t="shared" si="38"/>
        <v>10.273170190165791</v>
      </c>
      <c r="AI75" s="183">
        <f t="shared" si="38"/>
        <v>10.678606409498856</v>
      </c>
      <c r="AJ75" s="183">
        <f t="shared" si="38"/>
        <v>4.5296403212951928</v>
      </c>
      <c r="AK75" s="160">
        <f t="shared" si="52"/>
        <v>27.230806920959843</v>
      </c>
      <c r="AL75" s="183">
        <f t="shared" si="53"/>
        <v>1.1678000000000002</v>
      </c>
      <c r="AM75" s="183">
        <f t="shared" si="53"/>
        <v>8.5899999999999987E-3</v>
      </c>
      <c r="AN75" s="160">
        <f t="shared" si="53"/>
        <v>27.230806920959843</v>
      </c>
      <c r="AO75" s="72"/>
      <c r="AP75" s="72"/>
      <c r="AQ75" s="72"/>
      <c r="AR75" s="72"/>
      <c r="AS75" s="72"/>
      <c r="AT75" s="72"/>
      <c r="AU75" s="72"/>
      <c r="AV75" s="72"/>
      <c r="AW75" s="72"/>
      <c r="AX75" s="72"/>
      <c r="AY75" s="72"/>
      <c r="AZ75" s="72"/>
      <c r="BA75" s="72"/>
      <c r="BB75" s="72"/>
    </row>
    <row r="76" spans="2:55">
      <c r="B76" s="165" t="str">
        <f t="shared" si="54"/>
        <v>PLGUM 027</v>
      </c>
      <c r="C76" s="155"/>
      <c r="D76" s="232" t="s">
        <v>123</v>
      </c>
      <c r="E76" s="167"/>
      <c r="F76" s="399">
        <v>0.94722883039244155</v>
      </c>
      <c r="G76" s="169"/>
      <c r="H76" s="169"/>
      <c r="I76" s="169"/>
      <c r="J76" s="171"/>
      <c r="K76" s="650">
        <v>500</v>
      </c>
      <c r="L76" s="215"/>
      <c r="M76" s="173"/>
      <c r="N76" s="173"/>
      <c r="O76" s="184"/>
      <c r="P76" s="208"/>
      <c r="Q76" s="176"/>
      <c r="R76" s="176"/>
      <c r="S76" s="176"/>
      <c r="T76" s="176"/>
      <c r="U76" s="216">
        <v>8.7354719999999997E-2</v>
      </c>
      <c r="V76" s="177">
        <f t="shared" si="55"/>
        <v>8.7354719999999997E-2</v>
      </c>
      <c r="W76" s="179"/>
      <c r="X76" s="179"/>
      <c r="Y76" s="179"/>
      <c r="Z76" s="177">
        <f t="shared" si="56"/>
        <v>0</v>
      </c>
      <c r="AA76" s="180">
        <f t="shared" si="57"/>
        <v>8.7354719999999997E-2</v>
      </c>
      <c r="AB76" s="73">
        <f t="shared" si="46"/>
        <v>0.10115083859490831</v>
      </c>
      <c r="AC76" s="73">
        <f t="shared" si="47"/>
        <v>4.2906059036388881E-2</v>
      </c>
      <c r="AD76" s="73">
        <f t="shared" si="48"/>
        <v>5.4276211981486898E-3</v>
      </c>
      <c r="AE76" s="73">
        <f t="shared" si="49"/>
        <v>1.1061738281322933E-2</v>
      </c>
      <c r="AF76" s="182">
        <f t="shared" si="50"/>
        <v>8.1366956530710711E-5</v>
      </c>
      <c r="AG76" s="162">
        <f t="shared" si="51"/>
        <v>0.24798234406729952</v>
      </c>
      <c r="AH76" s="183">
        <f t="shared" si="38"/>
        <v>9.2221348418848805</v>
      </c>
      <c r="AI76" s="183">
        <f t="shared" si="38"/>
        <v>10.678606409498856</v>
      </c>
      <c r="AJ76" s="183">
        <f t="shared" si="38"/>
        <v>4.5296403212951928</v>
      </c>
      <c r="AK76" s="160">
        <f t="shared" si="52"/>
        <v>26.179771572678927</v>
      </c>
      <c r="AL76" s="183">
        <f t="shared" si="53"/>
        <v>1.1678000000000002</v>
      </c>
      <c r="AM76" s="183">
        <f t="shared" si="53"/>
        <v>8.5899999999999987E-3</v>
      </c>
      <c r="AN76" s="160">
        <f t="shared" si="53"/>
        <v>26.179771572678927</v>
      </c>
      <c r="AO76" s="72"/>
      <c r="AP76" s="72"/>
      <c r="AQ76" s="72"/>
      <c r="AR76" s="72"/>
      <c r="AS76" s="72"/>
      <c r="AT76" s="72"/>
      <c r="AU76" s="72"/>
      <c r="AV76" s="72"/>
      <c r="AW76" s="72"/>
      <c r="AX76" s="72"/>
      <c r="AY76" s="72"/>
      <c r="AZ76" s="72"/>
      <c r="BA76" s="72"/>
      <c r="BB76" s="72"/>
    </row>
    <row r="77" spans="2:55">
      <c r="B77" s="165" t="str">
        <f t="shared" si="54"/>
        <v>PLGUM 028</v>
      </c>
      <c r="C77" s="155"/>
      <c r="D77" s="232" t="s">
        <v>124</v>
      </c>
      <c r="E77" s="167"/>
      <c r="F77" s="399">
        <v>0.80972573556960792</v>
      </c>
      <c r="G77" s="169"/>
      <c r="H77" s="169"/>
      <c r="I77" s="169"/>
      <c r="J77" s="171"/>
      <c r="K77" s="650">
        <v>150</v>
      </c>
      <c r="L77" s="215"/>
      <c r="M77" s="173"/>
      <c r="N77" s="173"/>
      <c r="O77" s="184"/>
      <c r="P77" s="208"/>
      <c r="Q77" s="176"/>
      <c r="R77" s="176"/>
      <c r="S77" s="176"/>
      <c r="T77" s="176"/>
      <c r="U77" s="216">
        <v>7.0450559999999995E-2</v>
      </c>
      <c r="V77" s="177">
        <f t="shared" si="55"/>
        <v>7.0450559999999995E-2</v>
      </c>
      <c r="W77" s="179"/>
      <c r="X77" s="179"/>
      <c r="Y77" s="179"/>
      <c r="Z77" s="177">
        <f t="shared" si="56"/>
        <v>0</v>
      </c>
      <c r="AA77" s="180">
        <f t="shared" si="57"/>
        <v>7.0450559999999995E-2</v>
      </c>
      <c r="AB77" s="73">
        <f t="shared" si="46"/>
        <v>8.6467424297897902E-2</v>
      </c>
      <c r="AC77" s="73">
        <f t="shared" si="47"/>
        <v>3.667766341026505E-2</v>
      </c>
      <c r="AD77" s="73">
        <f t="shared" si="48"/>
        <v>4.6397284648138533E-3</v>
      </c>
      <c r="AE77" s="73">
        <f t="shared" si="49"/>
        <v>9.4559771399818828E-3</v>
      </c>
      <c r="AF77" s="182">
        <f t="shared" si="50"/>
        <v>6.9555440685429304E-5</v>
      </c>
      <c r="AG77" s="162">
        <f t="shared" si="51"/>
        <v>0.20776090875364411</v>
      </c>
      <c r="AH77" s="183">
        <f t="shared" si="38"/>
        <v>8.7005459880117311</v>
      </c>
      <c r="AI77" s="183">
        <f t="shared" si="38"/>
        <v>10.678606409498855</v>
      </c>
      <c r="AJ77" s="183">
        <f t="shared" si="38"/>
        <v>4.5296403212951928</v>
      </c>
      <c r="AK77" s="160">
        <f t="shared" si="52"/>
        <v>25.658182718805776</v>
      </c>
      <c r="AL77" s="183">
        <f t="shared" si="53"/>
        <v>1.1678000000000002</v>
      </c>
      <c r="AM77" s="183">
        <f t="shared" si="53"/>
        <v>8.5899999999999969E-3</v>
      </c>
      <c r="AN77" s="160">
        <f t="shared" si="53"/>
        <v>25.658182718805776</v>
      </c>
      <c r="AO77" s="72"/>
      <c r="AP77" s="72"/>
      <c r="AQ77" s="72"/>
      <c r="AR77" s="72"/>
      <c r="AS77" s="72"/>
      <c r="AT77" s="72"/>
      <c r="AU77" s="72"/>
      <c r="AV77" s="72"/>
      <c r="AW77" s="72"/>
      <c r="AX77" s="72"/>
      <c r="AY77" s="72"/>
      <c r="AZ77" s="72"/>
      <c r="BA77" s="72"/>
      <c r="BB77" s="72"/>
    </row>
    <row r="78" spans="2:55" ht="9" customHeight="1">
      <c r="C78" s="155"/>
      <c r="D78" s="232"/>
      <c r="E78" s="167"/>
      <c r="F78" s="168"/>
      <c r="G78" s="169"/>
      <c r="H78" s="169"/>
      <c r="I78" s="169"/>
      <c r="J78" s="171"/>
      <c r="K78" s="215"/>
      <c r="L78" s="215"/>
      <c r="M78" s="173"/>
      <c r="N78" s="173"/>
      <c r="O78" s="184"/>
      <c r="P78" s="208"/>
      <c r="Q78" s="176"/>
      <c r="R78" s="176"/>
      <c r="S78" s="176"/>
      <c r="T78" s="176"/>
      <c r="U78" s="176"/>
      <c r="V78" s="209"/>
      <c r="W78" s="179"/>
      <c r="X78" s="179"/>
      <c r="Y78" s="179"/>
      <c r="Z78" s="209"/>
      <c r="AA78" s="182"/>
      <c r="AB78" s="73"/>
      <c r="AC78" s="73"/>
      <c r="AD78" s="73"/>
      <c r="AE78" s="73"/>
      <c r="AF78" s="182"/>
      <c r="AG78" s="162"/>
      <c r="AH78" s="183"/>
      <c r="AI78" s="183"/>
      <c r="AJ78" s="183"/>
      <c r="AK78" s="160"/>
      <c r="AL78" s="183"/>
      <c r="AM78" s="183"/>
      <c r="AN78" s="160"/>
      <c r="AO78" s="72"/>
      <c r="AP78" s="72"/>
      <c r="AQ78" s="72"/>
      <c r="AR78" s="72"/>
      <c r="AS78" s="72"/>
      <c r="AT78" s="72"/>
      <c r="AU78" s="72"/>
      <c r="AV78" s="72"/>
      <c r="AW78" s="72"/>
      <c r="AX78" s="72"/>
      <c r="AY78" s="72"/>
      <c r="AZ78" s="72"/>
      <c r="BA78" s="72"/>
      <c r="BB78" s="72"/>
      <c r="BC78" s="72"/>
    </row>
    <row r="79" spans="2:55">
      <c r="C79" s="233" t="s">
        <v>253</v>
      </c>
      <c r="D79" s="234" t="s">
        <v>283</v>
      </c>
      <c r="E79" s="405">
        <v>150.10472659870251</v>
      </c>
      <c r="F79" s="236">
        <f>SUM(F56:F78)</f>
        <v>262.45672287077173</v>
      </c>
      <c r="G79" s="236"/>
      <c r="H79" s="236"/>
      <c r="I79" s="236"/>
      <c r="J79" s="237"/>
      <c r="K79" s="236">
        <f>SUM(K56:K78)</f>
        <v>443922</v>
      </c>
      <c r="L79" s="238"/>
      <c r="M79" s="239"/>
      <c r="N79" s="239"/>
      <c r="O79" s="240"/>
      <c r="P79" s="241"/>
      <c r="Q79" s="242"/>
      <c r="R79" s="242"/>
      <c r="S79" s="242"/>
      <c r="T79" s="242"/>
      <c r="U79" s="243">
        <f>SUM(U56:U78)</f>
        <v>60.695158079999985</v>
      </c>
      <c r="V79" s="244">
        <f>SUM(V56:V78)</f>
        <v>60.695158079999985</v>
      </c>
      <c r="W79" s="243">
        <f t="shared" ref="W79:Z79" si="58">SUM(W56:W78)</f>
        <v>0</v>
      </c>
      <c r="X79" s="243">
        <f t="shared" si="58"/>
        <v>0</v>
      </c>
      <c r="Y79" s="243">
        <f t="shared" si="58"/>
        <v>0</v>
      </c>
      <c r="Z79" s="244">
        <f t="shared" si="58"/>
        <v>0</v>
      </c>
      <c r="AA79" s="245">
        <f>SUM(AA56:AA78)</f>
        <v>60.695158079999985</v>
      </c>
      <c r="AB79" s="246">
        <f t="shared" ref="AB79:AF79" si="59">SUM(AB56:AB78)</f>
        <v>28.026720430638886</v>
      </c>
      <c r="AC79" s="246">
        <f t="shared" si="59"/>
        <v>11.888345545104462</v>
      </c>
      <c r="AD79" s="246">
        <f t="shared" si="59"/>
        <v>1.5038770220495221</v>
      </c>
      <c r="AE79" s="246">
        <f t="shared" si="59"/>
        <v>3.0649696096848729</v>
      </c>
      <c r="AF79" s="247">
        <f t="shared" si="59"/>
        <v>2.2545032494599292E-2</v>
      </c>
      <c r="AG79" s="247">
        <f t="shared" ref="AG79:AG86" si="60">+AF79+AD79+AC79+AB79+AA79+AE79</f>
        <v>105.20161571997232</v>
      </c>
      <c r="AH79" s="248">
        <f t="shared" ref="AH79:AJ79" si="61">+AA79/$F79*100</f>
        <v>23.125777620063108</v>
      </c>
      <c r="AI79" s="248">
        <f t="shared" si="61"/>
        <v>10.678606409498858</v>
      </c>
      <c r="AJ79" s="248">
        <f t="shared" si="61"/>
        <v>4.5296403212951937</v>
      </c>
      <c r="AK79" s="249">
        <f t="shared" ref="AK79" si="62">+AG79/$F79*100</f>
        <v>40.083414350857161</v>
      </c>
      <c r="AL79" s="250">
        <f t="shared" ref="AL79:AN94" si="63">+AE79/$F79*100</f>
        <v>1.1678000000000002</v>
      </c>
      <c r="AM79" s="250">
        <f t="shared" si="63"/>
        <v>8.5900000000000004E-3</v>
      </c>
      <c r="AN79" s="249">
        <f t="shared" si="63"/>
        <v>40.083414350857161</v>
      </c>
      <c r="AO79" s="72"/>
      <c r="AP79" s="72"/>
      <c r="AQ79" s="72"/>
      <c r="AR79" s="72"/>
      <c r="AS79" s="72"/>
      <c r="AT79" s="72"/>
      <c r="AU79" s="72"/>
      <c r="AV79" s="72"/>
      <c r="AW79" s="72"/>
      <c r="AX79" s="72"/>
      <c r="AY79" s="72"/>
      <c r="AZ79" s="72"/>
      <c r="BA79" s="72"/>
      <c r="BB79" s="72"/>
      <c r="BC79" s="72"/>
    </row>
    <row r="80" spans="2:55">
      <c r="B80" s="165" t="str">
        <f>D80</f>
        <v>PLGUM 050</v>
      </c>
      <c r="C80" s="74"/>
      <c r="D80" s="232" t="s">
        <v>128</v>
      </c>
      <c r="E80" s="167"/>
      <c r="F80" s="406">
        <v>2.8478212785887747E-2</v>
      </c>
      <c r="G80" s="169"/>
      <c r="H80" s="169"/>
      <c r="I80" s="169"/>
      <c r="J80" s="171"/>
      <c r="K80" s="402">
        <v>131</v>
      </c>
      <c r="L80" s="171"/>
      <c r="M80" s="173"/>
      <c r="N80" s="173"/>
      <c r="O80" s="171"/>
      <c r="P80" s="208"/>
      <c r="Q80" s="176"/>
      <c r="R80" s="176"/>
      <c r="S80" s="176"/>
      <c r="T80" s="176"/>
      <c r="U80" s="216">
        <v>1.5035999999999999E-2</v>
      </c>
      <c r="V80" s="177">
        <f>SUM(Q80:U80)</f>
        <v>1.5035999999999999E-2</v>
      </c>
      <c r="W80" s="179"/>
      <c r="X80" s="179"/>
      <c r="Y80" s="179"/>
      <c r="Z80" s="177">
        <f t="shared" ref="Z80:Z86" si="64">SUM(W80:Y80)</f>
        <v>0</v>
      </c>
      <c r="AA80" s="251">
        <f>+V80+Z80+P80</f>
        <v>1.5035999999999999E-2</v>
      </c>
      <c r="AB80" s="73">
        <f t="shared" ref="AB80:AB86" si="65">$H$2*F80</f>
        <v>3.0410762558645316E-3</v>
      </c>
      <c r="AC80" s="73">
        <f t="shared" ref="AC80:AC86" si="66">+$H$3*F80</f>
        <v>1.2899606091338143E-3</v>
      </c>
      <c r="AD80" s="73">
        <f t="shared" ref="AD80:AD86" si="67">+$H$4*F80</f>
        <v>1.6318015926313677E-4</v>
      </c>
      <c r="AE80" s="73">
        <f t="shared" ref="AE80:AE86" si="68">+$H$5*F80</f>
        <v>3.325685689135971E-4</v>
      </c>
      <c r="AF80" s="182">
        <f t="shared" ref="AF80:AF86" si="69">+$H$6*F80</f>
        <v>2.446278478307757E-6</v>
      </c>
      <c r="AG80" s="162">
        <f t="shared" si="60"/>
        <v>1.9865231871653389E-2</v>
      </c>
      <c r="AH80" s="183">
        <f t="shared" si="38"/>
        <v>52.798257085328835</v>
      </c>
      <c r="AI80" s="183">
        <f t="shared" si="38"/>
        <v>10.678606409498856</v>
      </c>
      <c r="AJ80" s="183">
        <f t="shared" si="38"/>
        <v>4.5296403212951928</v>
      </c>
      <c r="AK80" s="160">
        <f t="shared" si="52"/>
        <v>69.755893816122892</v>
      </c>
      <c r="AL80" s="183">
        <f t="shared" si="63"/>
        <v>1.1678000000000002</v>
      </c>
      <c r="AM80" s="183">
        <f t="shared" si="63"/>
        <v>8.5899999999999987E-3</v>
      </c>
      <c r="AN80" s="160">
        <f t="shared" si="63"/>
        <v>69.755893816122892</v>
      </c>
      <c r="AO80" s="72"/>
      <c r="AP80" s="72"/>
      <c r="AQ80" s="72"/>
      <c r="AR80" s="72"/>
      <c r="AS80" s="72"/>
      <c r="AT80" s="72"/>
      <c r="AU80" s="72"/>
      <c r="AV80" s="72"/>
      <c r="AW80" s="72"/>
      <c r="AX80" s="72"/>
      <c r="AY80" s="72"/>
      <c r="AZ80" s="72"/>
      <c r="BA80" s="72"/>
      <c r="BB80" s="72"/>
    </row>
    <row r="81" spans="2:55">
      <c r="B81" s="165" t="str">
        <f t="shared" ref="B81:B86" si="70">D81</f>
        <v>PLGUM 051</v>
      </c>
      <c r="C81" s="74"/>
      <c r="D81" s="232" t="s">
        <v>129</v>
      </c>
      <c r="E81" s="167"/>
      <c r="F81" s="406">
        <v>5.8379784521554463E-2</v>
      </c>
      <c r="G81" s="169"/>
      <c r="H81" s="169"/>
      <c r="I81" s="169"/>
      <c r="J81" s="171"/>
      <c r="K81" s="402">
        <v>191</v>
      </c>
      <c r="L81" s="171"/>
      <c r="M81" s="173"/>
      <c r="N81" s="173"/>
      <c r="O81" s="171"/>
      <c r="P81" s="208"/>
      <c r="Q81" s="176"/>
      <c r="R81" s="176"/>
      <c r="S81" s="176"/>
      <c r="T81" s="176"/>
      <c r="U81" s="216">
        <v>2.2927200000000002E-2</v>
      </c>
      <c r="V81" s="177">
        <f t="shared" ref="V81:V86" si="71">SUM(Q81:U81)</f>
        <v>2.2927200000000002E-2</v>
      </c>
      <c r="W81" s="179"/>
      <c r="X81" s="179"/>
      <c r="Y81" s="179"/>
      <c r="Z81" s="177">
        <f t="shared" si="64"/>
        <v>0</v>
      </c>
      <c r="AA81" s="180">
        <f t="shared" ref="AA81:AA86" si="72">+V81+Z81+P81</f>
        <v>2.2927200000000002E-2</v>
      </c>
      <c r="AB81" s="73">
        <f t="shared" si="65"/>
        <v>6.2341474117703355E-3</v>
      </c>
      <c r="AC81" s="73">
        <f t="shared" si="66"/>
        <v>2.6443942591735806E-3</v>
      </c>
      <c r="AD81" s="73">
        <f t="shared" si="67"/>
        <v>3.3451616530850704E-4</v>
      </c>
      <c r="AE81" s="73">
        <f t="shared" si="68"/>
        <v>6.8175912364271303E-4</v>
      </c>
      <c r="AF81" s="182">
        <f t="shared" si="69"/>
        <v>5.0148234904015276E-6</v>
      </c>
      <c r="AG81" s="162">
        <f t="shared" si="60"/>
        <v>3.2827031783385537E-2</v>
      </c>
      <c r="AH81" s="183">
        <f t="shared" si="38"/>
        <v>39.272498499090943</v>
      </c>
      <c r="AI81" s="183">
        <f t="shared" si="38"/>
        <v>10.678606409498856</v>
      </c>
      <c r="AJ81" s="183">
        <f t="shared" si="38"/>
        <v>4.5296403212951928</v>
      </c>
      <c r="AK81" s="160">
        <f t="shared" si="52"/>
        <v>56.230135229884979</v>
      </c>
      <c r="AL81" s="183">
        <f t="shared" si="63"/>
        <v>1.1678000000000002</v>
      </c>
      <c r="AM81" s="183">
        <f t="shared" si="63"/>
        <v>8.5899999999999987E-3</v>
      </c>
      <c r="AN81" s="160">
        <f t="shared" si="63"/>
        <v>56.230135229884979</v>
      </c>
      <c r="AO81" s="72"/>
      <c r="AP81" s="72"/>
      <c r="AQ81" s="72"/>
      <c r="AR81" s="72"/>
      <c r="AS81" s="72"/>
      <c r="AT81" s="72"/>
      <c r="AU81" s="72"/>
      <c r="AV81" s="72"/>
      <c r="AW81" s="72"/>
      <c r="AX81" s="72"/>
      <c r="AY81" s="72"/>
      <c r="AZ81" s="72"/>
      <c r="BA81" s="72"/>
      <c r="BB81" s="72"/>
    </row>
    <row r="82" spans="2:55">
      <c r="B82" s="165" t="str">
        <f t="shared" si="70"/>
        <v>PLGUM 052</v>
      </c>
      <c r="C82" s="74"/>
      <c r="D82" s="232" t="s">
        <v>130</v>
      </c>
      <c r="E82" s="167"/>
      <c r="F82" s="406">
        <v>0.28185817342716102</v>
      </c>
      <c r="G82" s="169"/>
      <c r="H82" s="169"/>
      <c r="I82" s="169"/>
      <c r="J82" s="171"/>
      <c r="K82" s="402">
        <v>655</v>
      </c>
      <c r="L82" s="171"/>
      <c r="M82" s="173"/>
      <c r="N82" s="173"/>
      <c r="O82" s="171"/>
      <c r="P82" s="208"/>
      <c r="Q82" s="176"/>
      <c r="R82" s="176"/>
      <c r="S82" s="176"/>
      <c r="T82" s="176"/>
      <c r="U82" s="216">
        <v>8.8112399999999994E-2</v>
      </c>
      <c r="V82" s="177">
        <f t="shared" si="71"/>
        <v>8.8112399999999994E-2</v>
      </c>
      <c r="W82" s="179"/>
      <c r="X82" s="179"/>
      <c r="Y82" s="179"/>
      <c r="Z82" s="177">
        <f t="shared" si="64"/>
        <v>0</v>
      </c>
      <c r="AA82" s="180">
        <f t="shared" si="72"/>
        <v>8.8112399999999994E-2</v>
      </c>
      <c r="AB82" s="73">
        <f t="shared" si="65"/>
        <v>3.0098524973289218E-2</v>
      </c>
      <c r="AC82" s="73">
        <f t="shared" si="66"/>
        <v>1.2767161472422817E-2</v>
      </c>
      <c r="AD82" s="73">
        <f t="shared" si="67"/>
        <v>1.6150473337376327E-3</v>
      </c>
      <c r="AE82" s="73">
        <f t="shared" si="68"/>
        <v>3.2915397492823866E-3</v>
      </c>
      <c r="AF82" s="182">
        <f t="shared" si="69"/>
        <v>2.4211617097393129E-5</v>
      </c>
      <c r="AG82" s="162">
        <f t="shared" si="60"/>
        <v>0.13590888514582947</v>
      </c>
      <c r="AH82" s="183">
        <f t="shared" si="38"/>
        <v>31.261254172134333</v>
      </c>
      <c r="AI82" s="183">
        <f t="shared" si="38"/>
        <v>10.678606409498856</v>
      </c>
      <c r="AJ82" s="183">
        <f t="shared" si="38"/>
        <v>4.5296403212951928</v>
      </c>
      <c r="AK82" s="160">
        <f t="shared" si="52"/>
        <v>48.218890902928393</v>
      </c>
      <c r="AL82" s="183">
        <f t="shared" si="63"/>
        <v>1.1678000000000002</v>
      </c>
      <c r="AM82" s="183">
        <f t="shared" si="63"/>
        <v>8.5899999999999987E-3</v>
      </c>
      <c r="AN82" s="160">
        <f t="shared" si="63"/>
        <v>48.218890902928393</v>
      </c>
      <c r="AO82" s="72"/>
      <c r="AP82" s="72"/>
      <c r="AQ82" s="72"/>
      <c r="AR82" s="72"/>
      <c r="AS82" s="72"/>
      <c r="AT82" s="72"/>
      <c r="AU82" s="72"/>
      <c r="AV82" s="72"/>
      <c r="AW82" s="72"/>
      <c r="AX82" s="72"/>
      <c r="AY82" s="72"/>
      <c r="AZ82" s="72"/>
      <c r="BA82" s="72"/>
      <c r="BB82" s="72"/>
    </row>
    <row r="83" spans="2:55">
      <c r="B83" s="165" t="str">
        <f t="shared" si="70"/>
        <v>PLGUM 053</v>
      </c>
      <c r="C83" s="74"/>
      <c r="D83" s="232" t="s">
        <v>131</v>
      </c>
      <c r="E83" s="167"/>
      <c r="F83" s="406">
        <v>6.9181865233442922E-3</v>
      </c>
      <c r="G83" s="169"/>
      <c r="H83" s="169"/>
      <c r="I83" s="169"/>
      <c r="J83" s="171"/>
      <c r="K83" s="402">
        <v>11</v>
      </c>
      <c r="L83" s="171"/>
      <c r="M83" s="173"/>
      <c r="N83" s="173"/>
      <c r="O83" s="171"/>
      <c r="P83" s="208"/>
      <c r="Q83" s="176"/>
      <c r="R83" s="176"/>
      <c r="S83" s="176"/>
      <c r="T83" s="176"/>
      <c r="U83" s="216">
        <v>1.8295200000000001E-3</v>
      </c>
      <c r="V83" s="177">
        <f t="shared" si="71"/>
        <v>1.8295200000000001E-3</v>
      </c>
      <c r="W83" s="179"/>
      <c r="X83" s="179"/>
      <c r="Y83" s="179"/>
      <c r="Z83" s="177">
        <f t="shared" si="64"/>
        <v>0</v>
      </c>
      <c r="AA83" s="180">
        <f t="shared" si="72"/>
        <v>1.8295200000000001E-3</v>
      </c>
      <c r="AB83" s="73">
        <f t="shared" si="65"/>
        <v>7.3876590950292963E-4</v>
      </c>
      <c r="AC83" s="73">
        <f t="shared" si="66"/>
        <v>3.1336896626381312E-4</v>
      </c>
      <c r="AD83" s="73">
        <f t="shared" si="67"/>
        <v>3.9641208778762794E-5</v>
      </c>
      <c r="AE83" s="73">
        <f t="shared" si="68"/>
        <v>8.0790582219614646E-5</v>
      </c>
      <c r="AF83" s="182">
        <f t="shared" si="69"/>
        <v>5.9427222235527463E-7</v>
      </c>
      <c r="AG83" s="162">
        <f t="shared" si="60"/>
        <v>3.0026809389874756E-3</v>
      </c>
      <c r="AH83" s="183">
        <f t="shared" si="38"/>
        <v>26.44508056882513</v>
      </c>
      <c r="AI83" s="183">
        <f t="shared" si="38"/>
        <v>10.678606409498856</v>
      </c>
      <c r="AJ83" s="183">
        <f t="shared" si="38"/>
        <v>4.5296403212951928</v>
      </c>
      <c r="AK83" s="160">
        <f t="shared" si="52"/>
        <v>43.402717299619177</v>
      </c>
      <c r="AL83" s="183">
        <f t="shared" si="63"/>
        <v>1.1678000000000002</v>
      </c>
      <c r="AM83" s="183">
        <f t="shared" si="63"/>
        <v>8.5899999999999987E-3</v>
      </c>
      <c r="AN83" s="160">
        <f t="shared" si="63"/>
        <v>43.402717299619177</v>
      </c>
      <c r="AO83" s="72"/>
      <c r="AP83" s="72"/>
      <c r="AQ83" s="72"/>
      <c r="AR83" s="72"/>
      <c r="AS83" s="72"/>
      <c r="AT83" s="72"/>
      <c r="AU83" s="72"/>
      <c r="AV83" s="72"/>
      <c r="AW83" s="72"/>
      <c r="AX83" s="72"/>
      <c r="AY83" s="72"/>
      <c r="AZ83" s="72"/>
      <c r="BA83" s="72"/>
      <c r="BB83" s="72"/>
    </row>
    <row r="84" spans="2:55">
      <c r="B84" s="252" t="s">
        <v>132</v>
      </c>
      <c r="C84" s="74"/>
      <c r="D84" s="232" t="s">
        <v>284</v>
      </c>
      <c r="E84" s="167"/>
      <c r="F84" s="406">
        <v>0.11214744469421274</v>
      </c>
      <c r="G84" s="169"/>
      <c r="H84" s="169"/>
      <c r="I84" s="169"/>
      <c r="J84" s="171"/>
      <c r="K84" s="402">
        <v>120</v>
      </c>
      <c r="L84" s="171"/>
      <c r="M84" s="173"/>
      <c r="N84" s="173"/>
      <c r="O84" s="171"/>
      <c r="P84" s="208"/>
      <c r="Q84" s="176"/>
      <c r="R84" s="176"/>
      <c r="S84" s="176"/>
      <c r="T84" s="176"/>
      <c r="U84" s="216">
        <v>2.0529599999999999E-2</v>
      </c>
      <c r="V84" s="177">
        <f t="shared" si="71"/>
        <v>2.0529599999999999E-2</v>
      </c>
      <c r="W84" s="179"/>
      <c r="X84" s="179"/>
      <c r="Y84" s="179"/>
      <c r="Z84" s="177">
        <f t="shared" si="64"/>
        <v>0</v>
      </c>
      <c r="AA84" s="180">
        <f t="shared" si="72"/>
        <v>2.0529599999999999E-2</v>
      </c>
      <c r="AB84" s="73">
        <f t="shared" si="65"/>
        <v>1.1975784217205387E-2</v>
      </c>
      <c r="AC84" s="73">
        <f t="shared" si="66"/>
        <v>5.0798758741712868E-3</v>
      </c>
      <c r="AD84" s="73">
        <f t="shared" si="67"/>
        <v>6.4260485809783895E-4</v>
      </c>
      <c r="AE84" s="73">
        <f t="shared" si="68"/>
        <v>1.3096578591390165E-3</v>
      </c>
      <c r="AF84" s="182">
        <f t="shared" si="69"/>
        <v>9.6334654992328736E-6</v>
      </c>
      <c r="AG84" s="162">
        <f t="shared" si="60"/>
        <v>3.954715627411276E-2</v>
      </c>
      <c r="AH84" s="183">
        <f t="shared" si="38"/>
        <v>18.305900821884183</v>
      </c>
      <c r="AI84" s="183">
        <f t="shared" si="38"/>
        <v>10.678606409498856</v>
      </c>
      <c r="AJ84" s="183">
        <f t="shared" si="38"/>
        <v>4.5296403212951928</v>
      </c>
      <c r="AK84" s="160">
        <f t="shared" si="52"/>
        <v>35.26353755267823</v>
      </c>
      <c r="AL84" s="183">
        <f t="shared" si="63"/>
        <v>1.1678000000000002</v>
      </c>
      <c r="AM84" s="183">
        <f t="shared" si="63"/>
        <v>8.5899999999999987E-3</v>
      </c>
      <c r="AN84" s="160">
        <f t="shared" si="63"/>
        <v>35.26353755267823</v>
      </c>
      <c r="AO84" s="72"/>
      <c r="AP84" s="72"/>
      <c r="AQ84" s="72"/>
      <c r="AR84" s="72"/>
      <c r="AS84" s="72"/>
      <c r="AT84" s="72"/>
      <c r="AU84" s="72"/>
      <c r="AV84" s="72"/>
      <c r="AW84" s="72"/>
      <c r="AX84" s="72"/>
      <c r="AY84" s="72"/>
      <c r="AZ84" s="72"/>
      <c r="BA84" s="72"/>
      <c r="BB84" s="72"/>
    </row>
    <row r="85" spans="2:55">
      <c r="B85" s="165" t="str">
        <f t="shared" si="70"/>
        <v>PLGUM 055</v>
      </c>
      <c r="C85" s="74"/>
      <c r="D85" s="232" t="s">
        <v>134</v>
      </c>
      <c r="E85" s="167"/>
      <c r="F85" s="406">
        <v>1.1585479823782306E-3</v>
      </c>
      <c r="G85" s="169"/>
      <c r="H85" s="169"/>
      <c r="I85" s="169"/>
      <c r="J85" s="171"/>
      <c r="K85" s="402">
        <v>1</v>
      </c>
      <c r="L85" s="171"/>
      <c r="M85" s="173"/>
      <c r="N85" s="173"/>
      <c r="O85" s="171"/>
      <c r="P85" s="208"/>
      <c r="Q85" s="176"/>
      <c r="R85" s="176"/>
      <c r="S85" s="176"/>
      <c r="T85" s="176"/>
      <c r="U85" s="216">
        <v>1.7184000000000001E-4</v>
      </c>
      <c r="V85" s="177">
        <f t="shared" si="71"/>
        <v>1.7184000000000001E-4</v>
      </c>
      <c r="W85" s="179"/>
      <c r="X85" s="179"/>
      <c r="Y85" s="179"/>
      <c r="Z85" s="177">
        <f t="shared" si="64"/>
        <v>0</v>
      </c>
      <c r="AA85" s="180">
        <f t="shared" si="72"/>
        <v>1.7184000000000001E-4</v>
      </c>
      <c r="AB85" s="73">
        <f t="shared" si="65"/>
        <v>1.2371677910336142E-4</v>
      </c>
      <c r="AC85" s="73">
        <f t="shared" si="66"/>
        <v>5.2478056551356257E-5</v>
      </c>
      <c r="AD85" s="73">
        <f t="shared" si="67"/>
        <v>6.6384799390272611E-6</v>
      </c>
      <c r="AE85" s="73">
        <f t="shared" si="68"/>
        <v>1.3529523338212979E-5</v>
      </c>
      <c r="AF85" s="182">
        <f t="shared" si="69"/>
        <v>9.9519271686289992E-8</v>
      </c>
      <c r="AG85" s="162">
        <f t="shared" si="60"/>
        <v>3.6830235820364419E-4</v>
      </c>
      <c r="AH85" s="183">
        <f t="shared" si="38"/>
        <v>14.832359350991428</v>
      </c>
      <c r="AI85" s="183">
        <f t="shared" si="38"/>
        <v>10.678606409498856</v>
      </c>
      <c r="AJ85" s="183">
        <f t="shared" si="38"/>
        <v>4.5296403212951928</v>
      </c>
      <c r="AK85" s="160">
        <f t="shared" si="52"/>
        <v>31.789996081785475</v>
      </c>
      <c r="AL85" s="183">
        <f t="shared" si="63"/>
        <v>1.1678000000000002</v>
      </c>
      <c r="AM85" s="183">
        <f t="shared" si="63"/>
        <v>8.5899999999999987E-3</v>
      </c>
      <c r="AN85" s="160">
        <f t="shared" si="63"/>
        <v>31.789996081785475</v>
      </c>
      <c r="AO85" s="72"/>
      <c r="AP85" s="72"/>
      <c r="AQ85" s="72"/>
      <c r="AR85" s="72"/>
      <c r="AS85" s="72"/>
      <c r="AT85" s="72"/>
      <c r="AU85" s="72"/>
      <c r="AV85" s="72"/>
      <c r="AW85" s="72"/>
      <c r="AX85" s="72"/>
      <c r="AY85" s="72"/>
      <c r="AZ85" s="72"/>
      <c r="BA85" s="72"/>
      <c r="BB85" s="72"/>
    </row>
    <row r="86" spans="2:55">
      <c r="B86" s="165" t="str">
        <f t="shared" si="70"/>
        <v>PLGUM 056</v>
      </c>
      <c r="C86" s="74"/>
      <c r="D86" s="232" t="s">
        <v>136</v>
      </c>
      <c r="E86" s="167"/>
      <c r="F86" s="406">
        <v>0.89076892538454222</v>
      </c>
      <c r="G86" s="169"/>
      <c r="H86" s="169"/>
      <c r="I86" s="169"/>
      <c r="J86" s="171"/>
      <c r="K86" s="402">
        <v>1182</v>
      </c>
      <c r="L86" s="171"/>
      <c r="M86" s="173"/>
      <c r="N86" s="173"/>
      <c r="O86" s="171"/>
      <c r="P86" s="208"/>
      <c r="Q86" s="176"/>
      <c r="R86" s="176"/>
      <c r="S86" s="176"/>
      <c r="T86" s="176"/>
      <c r="U86" s="216">
        <v>8.8919520000000002E-2</v>
      </c>
      <c r="V86" s="177">
        <f t="shared" si="71"/>
        <v>8.8919520000000002E-2</v>
      </c>
      <c r="W86" s="179"/>
      <c r="X86" s="179"/>
      <c r="Y86" s="179"/>
      <c r="Z86" s="177">
        <f t="shared" si="64"/>
        <v>0</v>
      </c>
      <c r="AA86" s="180">
        <f t="shared" si="72"/>
        <v>8.8919520000000002E-2</v>
      </c>
      <c r="AB86" s="73">
        <f t="shared" si="65"/>
        <v>9.5121707559937804E-2</v>
      </c>
      <c r="AC86" s="73">
        <f t="shared" si="66"/>
        <v>4.0348628413786114E-2</v>
      </c>
      <c r="AD86" s="73">
        <f t="shared" si="67"/>
        <v>5.1041059424534272E-3</v>
      </c>
      <c r="AE86" s="73">
        <f t="shared" si="68"/>
        <v>1.0402399510640686E-2</v>
      </c>
      <c r="AF86" s="182">
        <f t="shared" si="69"/>
        <v>7.6517050690532161E-5</v>
      </c>
      <c r="AG86" s="162">
        <f t="shared" si="60"/>
        <v>0.23997287847750856</v>
      </c>
      <c r="AH86" s="183">
        <f t="shared" si="38"/>
        <v>9.9823329559474381</v>
      </c>
      <c r="AI86" s="183">
        <f t="shared" si="38"/>
        <v>10.678606409498856</v>
      </c>
      <c r="AJ86" s="183">
        <f t="shared" si="38"/>
        <v>4.5296403212951928</v>
      </c>
      <c r="AK86" s="160">
        <f t="shared" si="52"/>
        <v>26.939969686741488</v>
      </c>
      <c r="AL86" s="183">
        <f t="shared" si="63"/>
        <v>1.1678000000000002</v>
      </c>
      <c r="AM86" s="183">
        <f t="shared" si="63"/>
        <v>8.5899999999999987E-3</v>
      </c>
      <c r="AN86" s="160">
        <f t="shared" si="63"/>
        <v>26.939969686741488</v>
      </c>
      <c r="AO86" s="72"/>
      <c r="AP86" s="72"/>
      <c r="AQ86" s="72"/>
      <c r="AR86" s="72"/>
      <c r="AS86" s="72"/>
      <c r="AT86" s="72"/>
      <c r="AU86" s="72"/>
      <c r="AV86" s="72"/>
      <c r="AW86" s="72"/>
      <c r="AX86" s="72"/>
      <c r="AY86" s="72"/>
      <c r="AZ86" s="72"/>
      <c r="BA86" s="72"/>
      <c r="BB86" s="72"/>
    </row>
    <row r="87" spans="2:55">
      <c r="C87" s="233" t="s">
        <v>253</v>
      </c>
      <c r="D87" s="234" t="s">
        <v>285</v>
      </c>
      <c r="E87" s="235"/>
      <c r="F87" s="236">
        <f>SUM(F80:F86)</f>
        <v>1.3797092753190807</v>
      </c>
      <c r="G87" s="236"/>
      <c r="H87" s="236"/>
      <c r="I87" s="236"/>
      <c r="J87" s="237"/>
      <c r="K87" s="236">
        <f>SUM(K80:K86)</f>
        <v>2291</v>
      </c>
      <c r="L87" s="238"/>
      <c r="M87" s="239"/>
      <c r="N87" s="239"/>
      <c r="O87" s="240"/>
      <c r="P87" s="241"/>
      <c r="Q87" s="242"/>
      <c r="R87" s="242"/>
      <c r="S87" s="242"/>
      <c r="T87" s="242"/>
      <c r="U87" s="243">
        <f>SUM(U80:U86)</f>
        <v>0.23752608000000003</v>
      </c>
      <c r="V87" s="244">
        <f>SUM(V80:V86)</f>
        <v>0.23752608000000003</v>
      </c>
      <c r="W87" s="253">
        <f t="shared" ref="W87:Z87" si="73">SUM(W80:W86)</f>
        <v>0</v>
      </c>
      <c r="X87" s="243">
        <f t="shared" si="73"/>
        <v>0</v>
      </c>
      <c r="Y87" s="243">
        <f t="shared" si="73"/>
        <v>0</v>
      </c>
      <c r="Z87" s="244">
        <f t="shared" si="73"/>
        <v>0</v>
      </c>
      <c r="AA87" s="245">
        <f>SUM(AA80:AA86)</f>
        <v>0.23752608000000003</v>
      </c>
      <c r="AB87" s="246">
        <f>SUM(AB80:AB86)</f>
        <v>0.14733372310667356</v>
      </c>
      <c r="AC87" s="246">
        <f>SUM(AC80:AC86)</f>
        <v>6.2495867651502779E-2</v>
      </c>
      <c r="AD87" s="246">
        <f t="shared" ref="AD87:AF87" si="74">SUM(AD80:AD86)</f>
        <v>7.9057341475783326E-3</v>
      </c>
      <c r="AE87" s="246">
        <f t="shared" si="74"/>
        <v>1.6112244917176229E-2</v>
      </c>
      <c r="AF87" s="247">
        <f t="shared" si="74"/>
        <v>1.1851702674990901E-4</v>
      </c>
      <c r="AG87" s="247">
        <f>SUM(AG80:AG86)</f>
        <v>0.47149216684968087</v>
      </c>
      <c r="AH87" s="248">
        <f t="shared" si="38"/>
        <v>17.215661607048933</v>
      </c>
      <c r="AI87" s="248">
        <f t="shared" si="38"/>
        <v>10.678606409498855</v>
      </c>
      <c r="AJ87" s="248">
        <f t="shared" si="38"/>
        <v>4.5296403212951928</v>
      </c>
      <c r="AK87" s="249">
        <f t="shared" si="52"/>
        <v>34.173298337842986</v>
      </c>
      <c r="AL87" s="250">
        <f t="shared" si="63"/>
        <v>1.1678000000000002</v>
      </c>
      <c r="AM87" s="250">
        <f t="shared" si="63"/>
        <v>8.5899999999999987E-3</v>
      </c>
      <c r="AN87" s="249">
        <f t="shared" si="63"/>
        <v>34.173298337842986</v>
      </c>
      <c r="AO87" s="72"/>
      <c r="AP87" s="72"/>
      <c r="AQ87" s="72"/>
      <c r="AR87" s="72"/>
      <c r="AS87" s="72"/>
      <c r="AT87" s="72"/>
      <c r="AU87" s="72"/>
      <c r="AV87" s="72"/>
      <c r="AW87" s="72"/>
      <c r="AX87" s="72"/>
      <c r="AY87" s="72"/>
      <c r="AZ87" s="72"/>
      <c r="BA87" s="72"/>
      <c r="BB87" s="72"/>
      <c r="BC87" s="72"/>
    </row>
    <row r="88" spans="2:55">
      <c r="B88" s="165" t="s">
        <v>142</v>
      </c>
      <c r="C88" s="74" t="s">
        <v>253</v>
      </c>
      <c r="D88" s="166" t="s">
        <v>142</v>
      </c>
      <c r="E88" s="398">
        <v>1</v>
      </c>
      <c r="F88" s="406">
        <v>3.3564790118043593E-2</v>
      </c>
      <c r="G88" s="169"/>
      <c r="H88" s="169"/>
      <c r="I88" s="169"/>
      <c r="J88" s="171"/>
      <c r="K88" s="402">
        <v>26</v>
      </c>
      <c r="L88" s="171"/>
      <c r="M88" s="173"/>
      <c r="N88" s="173"/>
      <c r="O88" s="171"/>
      <c r="P88" s="208"/>
      <c r="Q88" s="176"/>
      <c r="R88" s="176"/>
      <c r="S88" s="176"/>
      <c r="T88" s="176"/>
      <c r="U88" s="216">
        <v>2.3431199999999998E-3</v>
      </c>
      <c r="V88" s="177">
        <f>SUM(Q88:U88)</f>
        <v>2.3431199999999998E-3</v>
      </c>
      <c r="W88" s="179"/>
      <c r="X88" s="179"/>
      <c r="Y88" s="179"/>
      <c r="Z88" s="177">
        <f>SUM(W88:Y88)</f>
        <v>0</v>
      </c>
      <c r="AA88" s="180">
        <f>+V88+Z88+P88</f>
        <v>2.3431199999999998E-3</v>
      </c>
      <c r="AB88" s="73">
        <f t="shared" ref="AB88:AB94" si="75">$H$2*F88</f>
        <v>3.5842518288802419E-3</v>
      </c>
      <c r="AC88" s="73">
        <f t="shared" ref="AC88:AC94" si="76">+$H$3*F88</f>
        <v>1.5203642669450069E-3</v>
      </c>
      <c r="AD88" s="73">
        <f t="shared" ref="AD88:AD94" si="77">+$H$4*F88</f>
        <v>1.9232624737638979E-4</v>
      </c>
      <c r="AE88" s="73">
        <f t="shared" ref="AE88:AE94" si="78">+$H$5*F88</f>
        <v>3.9196961899851313E-4</v>
      </c>
      <c r="AF88" s="182">
        <f t="shared" ref="AF88:AF94" si="79">+$H$6*F88</f>
        <v>2.8832154711399443E-6</v>
      </c>
      <c r="AG88" s="162">
        <f t="shared" ref="AG88:AG95" si="80">+AF88+AD88+AC88+AB88+AA88+AE88</f>
        <v>8.034915177671291E-3</v>
      </c>
      <c r="AH88" s="183">
        <f t="shared" si="38"/>
        <v>6.9808867916632584</v>
      </c>
      <c r="AI88" s="183">
        <f t="shared" si="38"/>
        <v>10.678606409498856</v>
      </c>
      <c r="AJ88" s="183">
        <f t="shared" si="38"/>
        <v>4.5296403212951928</v>
      </c>
      <c r="AK88" s="160">
        <f t="shared" si="52"/>
        <v>23.938523522457306</v>
      </c>
      <c r="AL88" s="183">
        <f t="shared" si="63"/>
        <v>1.1678000000000002</v>
      </c>
      <c r="AM88" s="183">
        <f t="shared" si="63"/>
        <v>8.5899999999999987E-3</v>
      </c>
      <c r="AN88" s="160"/>
      <c r="AO88" s="72"/>
      <c r="AP88" s="72"/>
      <c r="AQ88" s="72"/>
      <c r="AR88" s="72"/>
      <c r="AS88" s="72"/>
      <c r="AT88" s="72"/>
      <c r="AU88" s="72"/>
      <c r="AV88" s="72"/>
      <c r="AW88" s="72"/>
      <c r="AX88" s="72"/>
      <c r="AY88" s="72"/>
      <c r="AZ88" s="72"/>
      <c r="BA88" s="72"/>
      <c r="BB88" s="72"/>
    </row>
    <row r="89" spans="2:55">
      <c r="B89" s="165" t="s">
        <v>143</v>
      </c>
      <c r="C89" s="74" t="s">
        <v>253</v>
      </c>
      <c r="D89" s="166" t="s">
        <v>143</v>
      </c>
      <c r="E89" s="398">
        <v>2</v>
      </c>
      <c r="F89" s="406">
        <v>3.1435268588529325E-2</v>
      </c>
      <c r="G89" s="169"/>
      <c r="H89" s="169"/>
      <c r="I89" s="169"/>
      <c r="J89" s="171"/>
      <c r="K89" s="402">
        <v>37</v>
      </c>
      <c r="L89" s="171"/>
      <c r="M89" s="173"/>
      <c r="N89" s="173"/>
      <c r="O89" s="171"/>
      <c r="P89" s="208"/>
      <c r="Q89" s="176"/>
      <c r="R89" s="176"/>
      <c r="S89" s="176"/>
      <c r="T89" s="176"/>
      <c r="U89" s="216">
        <v>8.8800000000000001E-4</v>
      </c>
      <c r="V89" s="177">
        <f t="shared" ref="V89:V94" si="81">SUM(Q89:U89)</f>
        <v>8.8800000000000001E-4</v>
      </c>
      <c r="W89" s="179"/>
      <c r="X89" s="179"/>
      <c r="Y89" s="179"/>
      <c r="Z89" s="177">
        <f t="shared" ref="Z89:Z94" si="82">SUM(W89:Y89)</f>
        <v>0</v>
      </c>
      <c r="AA89" s="180">
        <f t="shared" ref="AA89:AA94" si="83">+V89+Z89+P89</f>
        <v>8.8800000000000001E-4</v>
      </c>
      <c r="AB89" s="73">
        <f t="shared" si="75"/>
        <v>3.3568486063378731E-3</v>
      </c>
      <c r="AC89" s="73">
        <f t="shared" si="76"/>
        <v>1.4239046010934664E-3</v>
      </c>
      <c r="AD89" s="73">
        <f t="shared" si="77"/>
        <v>1.8012408901227301E-4</v>
      </c>
      <c r="AE89" s="73">
        <f t="shared" si="78"/>
        <v>3.6710106657684548E-4</v>
      </c>
      <c r="AF89" s="182">
        <f t="shared" si="79"/>
        <v>2.7002895717546684E-6</v>
      </c>
      <c r="AG89" s="162">
        <f t="shared" si="80"/>
        <v>6.2186786525922121E-3</v>
      </c>
      <c r="AH89" s="183">
        <f t="shared" si="38"/>
        <v>2.8248525935103022</v>
      </c>
      <c r="AI89" s="183">
        <f t="shared" si="38"/>
        <v>10.678606409498856</v>
      </c>
      <c r="AJ89" s="183">
        <f t="shared" si="38"/>
        <v>4.5296403212951928</v>
      </c>
      <c r="AK89" s="160">
        <f t="shared" si="52"/>
        <v>19.78248932430435</v>
      </c>
      <c r="AL89" s="183">
        <f t="shared" si="63"/>
        <v>1.1678000000000002</v>
      </c>
      <c r="AM89" s="183">
        <f t="shared" si="63"/>
        <v>8.5899999999999987E-3</v>
      </c>
      <c r="AN89" s="160">
        <f t="shared" si="63"/>
        <v>19.78248932430435</v>
      </c>
      <c r="AO89" s="72"/>
      <c r="AP89" s="72"/>
      <c r="AQ89" s="72"/>
      <c r="AR89" s="72"/>
      <c r="AS89" s="72"/>
      <c r="AT89" s="72"/>
      <c r="AU89" s="72"/>
      <c r="AV89" s="72"/>
      <c r="AW89" s="72"/>
      <c r="AX89" s="72"/>
      <c r="AY89" s="72"/>
      <c r="AZ89" s="72"/>
      <c r="BA89" s="72"/>
      <c r="BB89" s="72"/>
    </row>
    <row r="90" spans="2:55">
      <c r="B90" s="165" t="s">
        <v>47</v>
      </c>
      <c r="C90" s="74" t="s">
        <v>269</v>
      </c>
      <c r="D90" s="213" t="s">
        <v>47</v>
      </c>
      <c r="E90" s="398">
        <v>23</v>
      </c>
      <c r="F90" s="205">
        <v>3.1091575656600652</v>
      </c>
      <c r="G90" s="169">
        <v>1.9812000000000001</v>
      </c>
      <c r="H90" s="169">
        <v>1.1279575656600649</v>
      </c>
      <c r="I90" s="169"/>
      <c r="J90" s="171"/>
      <c r="K90" s="171"/>
      <c r="L90" s="412">
        <v>19812</v>
      </c>
      <c r="M90" s="173"/>
      <c r="N90" s="173"/>
      <c r="O90" s="171"/>
      <c r="P90" s="208"/>
      <c r="Q90" s="175">
        <v>0.30855693312511695</v>
      </c>
      <c r="R90" s="175">
        <v>0</v>
      </c>
      <c r="S90" s="176"/>
      <c r="T90" s="176"/>
      <c r="U90" s="176"/>
      <c r="V90" s="177">
        <f t="shared" si="81"/>
        <v>0.30855693312511695</v>
      </c>
      <c r="W90" s="179"/>
      <c r="X90" s="179"/>
      <c r="Y90" s="179"/>
      <c r="Z90" s="177">
        <f t="shared" si="82"/>
        <v>0</v>
      </c>
      <c r="AA90" s="180">
        <f t="shared" si="83"/>
        <v>0.30855693312511695</v>
      </c>
      <c r="AB90" s="73">
        <f t="shared" si="75"/>
        <v>0.3320146990879943</v>
      </c>
      <c r="AC90" s="73">
        <f t="shared" si="76"/>
        <v>0.14083365474673837</v>
      </c>
      <c r="AD90" s="73">
        <f t="shared" si="77"/>
        <v>1.7815472851232174E-2</v>
      </c>
      <c r="AE90" s="73">
        <f t="shared" si="78"/>
        <v>3.6308742051778246E-2</v>
      </c>
      <c r="AF90" s="182">
        <f t="shared" si="79"/>
        <v>2.6707663489019954E-4</v>
      </c>
      <c r="AG90" s="162">
        <f t="shared" si="80"/>
        <v>0.83579657849775024</v>
      </c>
      <c r="AH90" s="183">
        <f t="shared" si="38"/>
        <v>9.9241330363265519</v>
      </c>
      <c r="AI90" s="183">
        <f t="shared" si="38"/>
        <v>10.678606409498856</v>
      </c>
      <c r="AJ90" s="183">
        <f t="shared" si="38"/>
        <v>4.5296403212951928</v>
      </c>
      <c r="AK90" s="160">
        <f t="shared" si="52"/>
        <v>26.881769767120602</v>
      </c>
      <c r="AL90" s="183">
        <f t="shared" si="63"/>
        <v>1.1678000000000002</v>
      </c>
      <c r="AM90" s="183">
        <f t="shared" si="63"/>
        <v>8.5899999999999969E-3</v>
      </c>
      <c r="AN90" s="160">
        <f t="shared" si="63"/>
        <v>26.881769767120602</v>
      </c>
      <c r="AO90" s="72"/>
      <c r="AP90" s="72"/>
      <c r="AQ90" s="72"/>
      <c r="AR90" s="72"/>
      <c r="AS90" s="72"/>
      <c r="AT90" s="72"/>
      <c r="AU90" s="72"/>
      <c r="AV90" s="72"/>
      <c r="AW90" s="72"/>
      <c r="AX90" s="72"/>
      <c r="AY90" s="72"/>
      <c r="AZ90" s="72"/>
      <c r="BA90" s="72"/>
      <c r="BB90" s="72"/>
    </row>
    <row r="91" spans="2:55">
      <c r="B91" s="165" t="s">
        <v>125</v>
      </c>
      <c r="C91" s="74" t="s">
        <v>253</v>
      </c>
      <c r="D91" s="213" t="s">
        <v>125</v>
      </c>
      <c r="E91" s="398">
        <v>225</v>
      </c>
      <c r="F91" s="205">
        <v>2.8801728574882861</v>
      </c>
      <c r="G91" s="169"/>
      <c r="H91" s="169"/>
      <c r="I91" s="169"/>
      <c r="J91" s="171"/>
      <c r="K91" s="171"/>
      <c r="L91" s="171"/>
      <c r="M91" s="173"/>
      <c r="N91" s="173"/>
      <c r="O91" s="171"/>
      <c r="P91" s="174">
        <v>1.206E-2</v>
      </c>
      <c r="Q91" s="176"/>
      <c r="R91" s="176"/>
      <c r="S91" s="176"/>
      <c r="T91" s="176"/>
      <c r="U91" s="175">
        <v>0.19164660216564494</v>
      </c>
      <c r="V91" s="177">
        <f t="shared" si="81"/>
        <v>0.19164660216564494</v>
      </c>
      <c r="W91" s="179"/>
      <c r="X91" s="179"/>
      <c r="Y91" s="179"/>
      <c r="Z91" s="177">
        <f t="shared" si="82"/>
        <v>0</v>
      </c>
      <c r="AA91" s="180">
        <f t="shared" si="83"/>
        <v>0.20370660216564493</v>
      </c>
      <c r="AB91" s="73">
        <f t="shared" si="75"/>
        <v>0.30756232336439049</v>
      </c>
      <c r="AC91" s="73">
        <f t="shared" si="76"/>
        <v>0.13046147107578934</v>
      </c>
      <c r="AD91" s="73">
        <f t="shared" si="77"/>
        <v>1.6503390473407879E-2</v>
      </c>
      <c r="AE91" s="73">
        <f t="shared" si="78"/>
        <v>3.363465862974821E-2</v>
      </c>
      <c r="AF91" s="182">
        <f t="shared" si="79"/>
        <v>2.4740684845824375E-4</v>
      </c>
      <c r="AG91" s="162">
        <f t="shared" si="80"/>
        <v>0.69211585255743913</v>
      </c>
      <c r="AH91" s="183">
        <f t="shared" si="38"/>
        <v>7.072721404065013</v>
      </c>
      <c r="AI91" s="183">
        <f t="shared" si="38"/>
        <v>10.678606409498856</v>
      </c>
      <c r="AJ91" s="183">
        <f t="shared" si="38"/>
        <v>4.5296403212951937</v>
      </c>
      <c r="AK91" s="160">
        <f t="shared" si="52"/>
        <v>24.030358134859064</v>
      </c>
      <c r="AL91" s="183">
        <f t="shared" si="63"/>
        <v>1.1678000000000002</v>
      </c>
      <c r="AM91" s="183">
        <f t="shared" si="63"/>
        <v>8.5899999999999987E-3</v>
      </c>
      <c r="AN91" s="160">
        <f t="shared" si="63"/>
        <v>24.030358134859064</v>
      </c>
      <c r="AO91" s="72"/>
      <c r="AP91" s="72"/>
      <c r="AQ91" s="72"/>
      <c r="AR91" s="72"/>
      <c r="AS91" s="72"/>
      <c r="AT91" s="72"/>
      <c r="AU91" s="72"/>
      <c r="AV91" s="72"/>
      <c r="AW91" s="72"/>
      <c r="AX91" s="72"/>
      <c r="AY91" s="72"/>
      <c r="AZ91" s="72"/>
      <c r="BA91" s="72"/>
      <c r="BB91" s="72"/>
    </row>
    <row r="92" spans="2:55">
      <c r="B92" s="165" t="s">
        <v>138</v>
      </c>
      <c r="C92" s="74" t="s">
        <v>253</v>
      </c>
      <c r="D92" s="213" t="s">
        <v>286</v>
      </c>
      <c r="E92" s="398">
        <v>80</v>
      </c>
      <c r="F92" s="214">
        <v>0.75771244805597937</v>
      </c>
      <c r="G92" s="169"/>
      <c r="H92" s="169"/>
      <c r="I92" s="169"/>
      <c r="J92" s="171"/>
      <c r="K92" s="171"/>
      <c r="L92" s="171"/>
      <c r="M92" s="173"/>
      <c r="N92" s="173"/>
      <c r="O92" s="171"/>
      <c r="P92" s="174">
        <v>4.8599999999999997E-3</v>
      </c>
      <c r="Q92" s="176"/>
      <c r="R92" s="176"/>
      <c r="S92" s="176"/>
      <c r="T92" s="176"/>
      <c r="U92" s="175">
        <v>4.818005435019572E-2</v>
      </c>
      <c r="V92" s="177">
        <f t="shared" si="81"/>
        <v>4.818005435019572E-2</v>
      </c>
      <c r="W92" s="179"/>
      <c r="X92" s="179"/>
      <c r="Y92" s="179"/>
      <c r="Z92" s="177">
        <f t="shared" si="82"/>
        <v>0</v>
      </c>
      <c r="AA92" s="180">
        <f t="shared" si="83"/>
        <v>5.3040054350195723E-2</v>
      </c>
      <c r="AB92" s="73">
        <f t="shared" si="75"/>
        <v>8.0913130043676507E-2</v>
      </c>
      <c r="AC92" s="73">
        <f t="shared" si="76"/>
        <v>3.4321648566616535E-2</v>
      </c>
      <c r="AD92" s="73">
        <f t="shared" si="77"/>
        <v>4.3416923273607621E-3</v>
      </c>
      <c r="AE92" s="73">
        <f t="shared" si="78"/>
        <v>8.8485659683977275E-3</v>
      </c>
      <c r="AF92" s="182">
        <f t="shared" si="79"/>
        <v>6.5087499288008624E-5</v>
      </c>
      <c r="AG92" s="162">
        <f t="shared" si="80"/>
        <v>0.18153017875553526</v>
      </c>
      <c r="AH92" s="183">
        <f t="shared" si="38"/>
        <v>7.0000241498311979</v>
      </c>
      <c r="AI92" s="183">
        <f t="shared" si="38"/>
        <v>10.678606409498856</v>
      </c>
      <c r="AJ92" s="183">
        <f t="shared" si="38"/>
        <v>4.5296403212951928</v>
      </c>
      <c r="AK92" s="160">
        <f t="shared" si="52"/>
        <v>23.957660880625244</v>
      </c>
      <c r="AL92" s="183">
        <f t="shared" si="63"/>
        <v>1.1678000000000002</v>
      </c>
      <c r="AM92" s="183">
        <f t="shared" si="63"/>
        <v>8.5900000000000004E-3</v>
      </c>
      <c r="AN92" s="160">
        <f t="shared" si="63"/>
        <v>23.957660880625244</v>
      </c>
      <c r="AO92" s="72"/>
      <c r="AP92" s="72"/>
      <c r="AQ92" s="72"/>
      <c r="AR92" s="72"/>
      <c r="AS92" s="72"/>
      <c r="AT92" s="72"/>
      <c r="AU92" s="72"/>
      <c r="AV92" s="72"/>
      <c r="AW92" s="72"/>
      <c r="AX92" s="72"/>
      <c r="AY92" s="72"/>
      <c r="AZ92" s="72"/>
      <c r="BA92" s="72"/>
      <c r="BB92" s="72"/>
    </row>
    <row r="93" spans="2:55">
      <c r="B93" s="165" t="s">
        <v>139</v>
      </c>
      <c r="C93" s="74" t="s">
        <v>253</v>
      </c>
      <c r="D93" s="213" t="s">
        <v>287</v>
      </c>
      <c r="E93" s="398">
        <v>685</v>
      </c>
      <c r="F93" s="205">
        <v>1.5194131331775194</v>
      </c>
      <c r="G93" s="169"/>
      <c r="H93" s="169"/>
      <c r="I93" s="169"/>
      <c r="J93" s="171"/>
      <c r="K93" s="171"/>
      <c r="L93" s="171"/>
      <c r="M93" s="173"/>
      <c r="N93" s="173"/>
      <c r="O93" s="171"/>
      <c r="P93" s="208"/>
      <c r="Q93" s="176"/>
      <c r="R93" s="176"/>
      <c r="S93" s="176"/>
      <c r="T93" s="176"/>
      <c r="U93" s="175">
        <v>7.1241229236892703E-2</v>
      </c>
      <c r="V93" s="177">
        <f t="shared" si="81"/>
        <v>7.1241229236892703E-2</v>
      </c>
      <c r="W93" s="179"/>
      <c r="X93" s="179"/>
      <c r="Y93" s="179"/>
      <c r="Z93" s="177">
        <f t="shared" si="82"/>
        <v>0</v>
      </c>
      <c r="AA93" s="180">
        <f t="shared" si="83"/>
        <v>7.1241229236892703E-2</v>
      </c>
      <c r="AB93" s="73">
        <f t="shared" si="75"/>
        <v>0.16225214822626197</v>
      </c>
      <c r="AC93" s="73">
        <f t="shared" si="76"/>
        <v>6.8823949927463546E-2</v>
      </c>
      <c r="AD93" s="73">
        <f t="shared" si="77"/>
        <v>8.7062372531071849E-3</v>
      </c>
      <c r="AE93" s="73">
        <f t="shared" si="78"/>
        <v>1.7743706569247071E-2</v>
      </c>
      <c r="AF93" s="182">
        <f t="shared" si="79"/>
        <v>1.305175881399489E-4</v>
      </c>
      <c r="AG93" s="162">
        <f t="shared" si="80"/>
        <v>0.32889778880111242</v>
      </c>
      <c r="AH93" s="183">
        <f t="shared" si="38"/>
        <v>4.6887332800597354</v>
      </c>
      <c r="AI93" s="183">
        <f t="shared" si="38"/>
        <v>10.678606409498856</v>
      </c>
      <c r="AJ93" s="183">
        <f t="shared" si="38"/>
        <v>4.5296403212951937</v>
      </c>
      <c r="AK93" s="160">
        <f t="shared" si="52"/>
        <v>21.646370010853786</v>
      </c>
      <c r="AL93" s="183">
        <f t="shared" si="63"/>
        <v>1.1677999999999999</v>
      </c>
      <c r="AM93" s="183">
        <f t="shared" si="63"/>
        <v>8.5899999999999987E-3</v>
      </c>
      <c r="AN93" s="160">
        <f t="shared" si="63"/>
        <v>21.646370010853786</v>
      </c>
      <c r="AO93" s="72"/>
      <c r="AP93" s="72"/>
      <c r="AQ93" s="72"/>
      <c r="AR93" s="72"/>
      <c r="AS93" s="72"/>
      <c r="AT93" s="72"/>
      <c r="AU93" s="72"/>
      <c r="AV93" s="72"/>
      <c r="AW93" s="72"/>
      <c r="AX93" s="72"/>
      <c r="AY93" s="72"/>
      <c r="AZ93" s="72"/>
      <c r="BA93" s="72"/>
      <c r="BB93" s="72"/>
    </row>
    <row r="94" spans="2:55">
      <c r="B94" s="165" t="s">
        <v>140</v>
      </c>
      <c r="C94" s="74" t="s">
        <v>253</v>
      </c>
      <c r="D94" s="213" t="s">
        <v>140</v>
      </c>
      <c r="E94" s="407">
        <v>1034.9166666666667</v>
      </c>
      <c r="F94" s="205">
        <v>13.869595664257442</v>
      </c>
      <c r="G94" s="219"/>
      <c r="H94" s="219"/>
      <c r="I94" s="219"/>
      <c r="J94" s="230"/>
      <c r="K94" s="230"/>
      <c r="L94" s="230"/>
      <c r="M94" s="254"/>
      <c r="N94" s="254"/>
      <c r="O94" s="230"/>
      <c r="P94" s="174">
        <v>6.1800000000000001E-2</v>
      </c>
      <c r="Q94" s="222"/>
      <c r="R94" s="222"/>
      <c r="S94" s="222"/>
      <c r="T94" s="222"/>
      <c r="U94" s="175">
        <v>0.3951391848937581</v>
      </c>
      <c r="V94" s="177">
        <f t="shared" si="81"/>
        <v>0.3951391848937581</v>
      </c>
      <c r="W94" s="179"/>
      <c r="X94" s="179"/>
      <c r="Y94" s="179"/>
      <c r="Z94" s="177">
        <f t="shared" si="82"/>
        <v>0</v>
      </c>
      <c r="AA94" s="180">
        <f t="shared" si="83"/>
        <v>0.45693918489375812</v>
      </c>
      <c r="AB94" s="73">
        <f t="shared" si="75"/>
        <v>1.4810795315749707</v>
      </c>
      <c r="AC94" s="73">
        <f t="shared" si="76"/>
        <v>0.62824279760881496</v>
      </c>
      <c r="AD94" s="73">
        <f t="shared" si="77"/>
        <v>7.9472783156195145E-2</v>
      </c>
      <c r="AE94" s="73">
        <f t="shared" si="78"/>
        <v>0.16196913816719843</v>
      </c>
      <c r="AF94" s="182">
        <f t="shared" si="79"/>
        <v>1.1913982675597142E-3</v>
      </c>
      <c r="AG94" s="162">
        <f t="shared" si="80"/>
        <v>2.8088948336684973</v>
      </c>
      <c r="AH94" s="183">
        <f t="shared" si="38"/>
        <v>3.2945386149310072</v>
      </c>
      <c r="AI94" s="183">
        <f t="shared" si="38"/>
        <v>10.678606409498856</v>
      </c>
      <c r="AJ94" s="183">
        <f t="shared" si="38"/>
        <v>4.5296403212951937</v>
      </c>
      <c r="AK94" s="160">
        <f t="shared" si="52"/>
        <v>20.252175345725057</v>
      </c>
      <c r="AL94" s="183">
        <f t="shared" si="63"/>
        <v>1.1678000000000002</v>
      </c>
      <c r="AM94" s="183">
        <f t="shared" si="63"/>
        <v>8.5899999999999987E-3</v>
      </c>
      <c r="AN94" s="160">
        <f t="shared" si="63"/>
        <v>20.252175345725057</v>
      </c>
      <c r="AO94" s="72"/>
      <c r="AP94" s="72"/>
      <c r="AQ94" s="72"/>
      <c r="AR94" s="72"/>
      <c r="AS94" s="72"/>
      <c r="AT94" s="72"/>
      <c r="AU94" s="72"/>
      <c r="AV94" s="72"/>
      <c r="AW94" s="72"/>
      <c r="AX94" s="72"/>
      <c r="AY94" s="72"/>
      <c r="AZ94" s="72"/>
      <c r="BA94" s="72"/>
      <c r="BB94" s="72"/>
    </row>
    <row r="95" spans="2:55">
      <c r="C95" s="187"/>
      <c r="D95" s="187" t="s">
        <v>222</v>
      </c>
      <c r="E95" s="188">
        <f>SUM(E79:E94)</f>
        <v>2201.0213932653696</v>
      </c>
      <c r="F95" s="190">
        <f>+F79+F87+F88+F89+F90+F91+F92+F93+F94</f>
        <v>286.03748387343666</v>
      </c>
      <c r="G95" s="190">
        <f t="shared" ref="G95:AF95" si="84">+G79+G87+G88+G89+G90+G91+G92+G93+G94</f>
        <v>1.9812000000000001</v>
      </c>
      <c r="H95" s="190">
        <f t="shared" si="84"/>
        <v>1.1279575656600649</v>
      </c>
      <c r="I95" s="190">
        <f t="shared" si="84"/>
        <v>0</v>
      </c>
      <c r="J95" s="191">
        <f t="shared" si="84"/>
        <v>0</v>
      </c>
      <c r="K95" s="191">
        <f t="shared" si="84"/>
        <v>446276</v>
      </c>
      <c r="L95" s="191"/>
      <c r="M95" s="192">
        <f t="shared" si="84"/>
        <v>0</v>
      </c>
      <c r="N95" s="192">
        <f t="shared" si="84"/>
        <v>0</v>
      </c>
      <c r="O95" s="193">
        <f t="shared" si="84"/>
        <v>0</v>
      </c>
      <c r="P95" s="194">
        <f>+P79+P87+P88+P89+P90+P91+P92+P93+P94</f>
        <v>7.8719999999999998E-2</v>
      </c>
      <c r="Q95" s="255">
        <f>+Q79+Q87+Q88+Q89+Q90+Q91+Q92+Q93+Q94</f>
        <v>0.30855693312511695</v>
      </c>
      <c r="R95" s="231">
        <f t="shared" ref="R95:T95" si="85">+R79+R87+R88+R89+R90+R91+R92+R93+R94</f>
        <v>0</v>
      </c>
      <c r="S95" s="231">
        <f t="shared" si="85"/>
        <v>0</v>
      </c>
      <c r="T95" s="231">
        <f t="shared" si="85"/>
        <v>0</v>
      </c>
      <c r="U95" s="231">
        <f>+U79+U87+U88+U89+U90+U91+U92+U93+U94</f>
        <v>61.642122350646481</v>
      </c>
      <c r="V95" s="256">
        <f>+V79+V87+V88+V89+V90+V91+V92+V93+V94</f>
        <v>61.950679283771599</v>
      </c>
      <c r="W95" s="257">
        <f>+W79+W87+W88+W89+W90+W91+W92+W93+W94</f>
        <v>0</v>
      </c>
      <c r="X95" s="231">
        <f>+X79+X87+X88+X89+X90+X91+X92+X93+X94</f>
        <v>0</v>
      </c>
      <c r="Y95" s="231">
        <f t="shared" ref="Y95" si="86">+Y79+Y87+Y88+Y89+Y90+Y91+Y92+Y93+Y94</f>
        <v>0</v>
      </c>
      <c r="Z95" s="256">
        <f>+Z79+Z87+Z88+Z89+Z90+Z91+Z92+Z93+Z94</f>
        <v>0</v>
      </c>
      <c r="AA95" s="194">
        <f>+AA79+AA87+AA88+AA89+AA90+AA91+AA92+AA93+AA94</f>
        <v>62.029399283771596</v>
      </c>
      <c r="AB95" s="198">
        <f t="shared" si="84"/>
        <v>30.544817086478069</v>
      </c>
      <c r="AC95" s="198">
        <f t="shared" si="84"/>
        <v>12.956469203549423</v>
      </c>
      <c r="AD95" s="198">
        <f t="shared" si="84"/>
        <v>1.6389947825947924</v>
      </c>
      <c r="AE95" s="198">
        <f t="shared" si="84"/>
        <v>3.3403457366739944</v>
      </c>
      <c r="AF95" s="258">
        <f t="shared" si="84"/>
        <v>2.4570619864728211E-2</v>
      </c>
      <c r="AG95" s="259">
        <f t="shared" si="80"/>
        <v>110.53459671293261</v>
      </c>
      <c r="AH95" s="259">
        <f t="shared" ref="AH95:AJ95" si="87">+AA95/$F95*100</f>
        <v>21.685758958506927</v>
      </c>
      <c r="AI95" s="259">
        <f t="shared" si="87"/>
        <v>10.678606409498858</v>
      </c>
      <c r="AJ95" s="259">
        <f t="shared" si="87"/>
        <v>4.5296403212951937</v>
      </c>
      <c r="AK95" s="202">
        <f t="shared" si="52"/>
        <v>38.643395689300981</v>
      </c>
      <c r="AL95" s="201">
        <f t="shared" ref="AL95:AN95" si="88">+AE95/$F95*100</f>
        <v>1.1678000000000004</v>
      </c>
      <c r="AM95" s="201">
        <f t="shared" si="88"/>
        <v>8.5900000000000021E-3</v>
      </c>
      <c r="AN95" s="202">
        <f t="shared" si="88"/>
        <v>38.643395689300981</v>
      </c>
      <c r="AO95" s="72"/>
      <c r="AP95" s="72"/>
      <c r="AQ95" s="72"/>
      <c r="AR95" s="72"/>
      <c r="AS95" s="72"/>
      <c r="AT95" s="72"/>
      <c r="AU95" s="72"/>
      <c r="AV95" s="72"/>
      <c r="AW95" s="72"/>
      <c r="AX95" s="72"/>
      <c r="AY95" s="72"/>
      <c r="AZ95" s="72"/>
      <c r="BA95" s="72"/>
      <c r="BB95" s="72"/>
      <c r="BC95" s="72"/>
    </row>
    <row r="96" spans="2:55" ht="21.75" customHeight="1">
      <c r="C96" s="155" t="s">
        <v>288</v>
      </c>
      <c r="D96" s="72"/>
      <c r="E96" s="167"/>
      <c r="F96" s="168"/>
      <c r="G96" s="169"/>
      <c r="H96" s="169"/>
      <c r="I96" s="169"/>
      <c r="J96" s="171"/>
      <c r="K96" s="171"/>
      <c r="L96" s="171"/>
      <c r="M96" s="173"/>
      <c r="N96" s="173"/>
      <c r="O96" s="184"/>
      <c r="P96" s="208"/>
      <c r="Q96" s="179"/>
      <c r="R96" s="179"/>
      <c r="S96" s="179"/>
      <c r="T96" s="179"/>
      <c r="U96" s="179"/>
      <c r="V96" s="209"/>
      <c r="W96" s="179"/>
      <c r="X96" s="179"/>
      <c r="Y96" s="179"/>
      <c r="Z96" s="209"/>
      <c r="AA96" s="182"/>
      <c r="AB96" s="260"/>
      <c r="AC96" s="260"/>
      <c r="AD96" s="260"/>
      <c r="AE96" s="260"/>
      <c r="AF96" s="209"/>
      <c r="AG96" s="162"/>
      <c r="AH96" s="183"/>
      <c r="AI96" s="212"/>
      <c r="AJ96" s="183"/>
      <c r="AK96" s="160"/>
      <c r="AL96" s="183"/>
      <c r="AM96" s="183"/>
      <c r="AN96" s="160"/>
      <c r="AO96" s="72"/>
      <c r="AP96" s="72"/>
      <c r="AQ96" s="72"/>
      <c r="AR96" s="72"/>
      <c r="AS96" s="72"/>
      <c r="AT96" s="72"/>
      <c r="AU96" s="72"/>
      <c r="AV96" s="72"/>
      <c r="AW96" s="72"/>
      <c r="AX96" s="72"/>
      <c r="AY96" s="72"/>
      <c r="AZ96" s="72"/>
      <c r="BA96" s="72"/>
      <c r="BB96" s="72"/>
    </row>
    <row r="97" spans="2:54">
      <c r="B97" s="165" t="s">
        <v>13</v>
      </c>
      <c r="C97" s="261" t="s">
        <v>271</v>
      </c>
      <c r="D97" s="262" t="s">
        <v>289</v>
      </c>
      <c r="E97" s="407">
        <v>2</v>
      </c>
      <c r="F97" s="263">
        <v>38.293598199999998</v>
      </c>
      <c r="G97" s="219">
        <v>21.052800000000001</v>
      </c>
      <c r="H97" s="219">
        <v>17.2407982</v>
      </c>
      <c r="I97" s="219"/>
      <c r="J97" s="230"/>
      <c r="K97" s="230"/>
      <c r="L97" s="403">
        <v>70176</v>
      </c>
      <c r="M97" s="408">
        <v>76284</v>
      </c>
      <c r="N97" s="254"/>
      <c r="O97" s="264"/>
      <c r="P97" s="265">
        <v>1.0800000000000001E-2</v>
      </c>
      <c r="Q97" s="266">
        <v>0.72413488800000003</v>
      </c>
      <c r="R97" s="266">
        <v>0.5302680862796606</v>
      </c>
      <c r="S97" s="222"/>
      <c r="T97" s="222"/>
      <c r="U97" s="222"/>
      <c r="V97" s="267">
        <f>SUM(Q97:U97)</f>
        <v>1.2544029742796607</v>
      </c>
      <c r="W97" s="268">
        <v>0.54783959999999998</v>
      </c>
      <c r="X97" s="222"/>
      <c r="Y97" s="222"/>
      <c r="Z97" s="267">
        <f>SUM(W97:Y97)</f>
        <v>0.54783959999999998</v>
      </c>
      <c r="AA97" s="269">
        <f>+V97+Z97+P97</f>
        <v>1.8130425742796608</v>
      </c>
      <c r="AB97" s="270">
        <f>$H$2*F97</f>
        <v>4.0892226318129383</v>
      </c>
      <c r="AC97" s="270">
        <f>+$H$3*F97</f>
        <v>1.73456226454197</v>
      </c>
      <c r="AD97" s="270">
        <f>+$H$4*F97</f>
        <v>0.21942231768599998</v>
      </c>
      <c r="AE97" s="270">
        <f>+$H$5*F97</f>
        <v>0.4471926397796</v>
      </c>
      <c r="AF97" s="271">
        <f>+$H$6*F97</f>
        <v>3.2894200853799994E-3</v>
      </c>
      <c r="AG97" s="271">
        <f>+AF97+AD97+AC97+AB97+AA97+AE97</f>
        <v>8.3067318481855494</v>
      </c>
      <c r="AH97" s="272">
        <f>+AA97/$F97*100</f>
        <v>4.7345840022932624</v>
      </c>
      <c r="AI97" s="272">
        <f>+AB97/$F97*100</f>
        <v>10.678606409498856</v>
      </c>
      <c r="AJ97" s="272">
        <f>+AC97/$F97*100</f>
        <v>4.5296403212951928</v>
      </c>
      <c r="AK97" s="272">
        <f>+AG97/$F97*100</f>
        <v>21.692220733087311</v>
      </c>
      <c r="AL97" s="272">
        <f t="shared" ref="AL97:AN98" si="89">+AE97/$F97*100</f>
        <v>1.1678000000000002</v>
      </c>
      <c r="AM97" s="272">
        <f t="shared" si="89"/>
        <v>8.5899999999999987E-3</v>
      </c>
      <c r="AN97" s="273">
        <f t="shared" si="89"/>
        <v>21.692220733087311</v>
      </c>
      <c r="AO97" s="72"/>
      <c r="AP97" s="203"/>
      <c r="AQ97" s="72"/>
      <c r="AR97" s="72"/>
      <c r="AS97" s="72"/>
      <c r="AT97" s="72"/>
      <c r="AU97" s="72"/>
      <c r="AV97" s="72"/>
      <c r="AW97" s="72"/>
      <c r="AX97" s="72"/>
      <c r="AY97" s="72"/>
      <c r="AZ97" s="72"/>
      <c r="BA97" s="72"/>
      <c r="BB97" s="72"/>
    </row>
    <row r="98" spans="2:54">
      <c r="C98" s="187"/>
      <c r="D98" s="187" t="s">
        <v>222</v>
      </c>
      <c r="E98" s="188">
        <f t="shared" ref="E98:K98" si="90">SUM(E97:E97)</f>
        <v>2</v>
      </c>
      <c r="F98" s="190">
        <f t="shared" si="90"/>
        <v>38.293598199999998</v>
      </c>
      <c r="G98" s="190">
        <f t="shared" si="90"/>
        <v>21.052800000000001</v>
      </c>
      <c r="H98" s="190">
        <f t="shared" si="90"/>
        <v>17.2407982</v>
      </c>
      <c r="I98" s="190">
        <f t="shared" si="90"/>
        <v>0</v>
      </c>
      <c r="J98" s="191">
        <f t="shared" si="90"/>
        <v>0</v>
      </c>
      <c r="K98" s="191">
        <f t="shared" si="90"/>
        <v>0</v>
      </c>
      <c r="L98" s="191"/>
      <c r="M98" s="192">
        <f t="shared" ref="M98:AF98" si="91">SUM(M97:M97)</f>
        <v>76284</v>
      </c>
      <c r="N98" s="192">
        <f t="shared" si="91"/>
        <v>0</v>
      </c>
      <c r="O98" s="193">
        <f t="shared" si="91"/>
        <v>0</v>
      </c>
      <c r="P98" s="194">
        <f>SUM(P97:P97)</f>
        <v>1.0800000000000001E-2</v>
      </c>
      <c r="Q98" s="195">
        <f>SUM(Q97:Q97)</f>
        <v>0.72413488800000003</v>
      </c>
      <c r="R98" s="195">
        <f t="shared" ref="R98:AA98" si="92">SUM(R97:R97)</f>
        <v>0.5302680862796606</v>
      </c>
      <c r="S98" s="195">
        <f t="shared" si="92"/>
        <v>0</v>
      </c>
      <c r="T98" s="195">
        <f t="shared" si="92"/>
        <v>0</v>
      </c>
      <c r="U98" s="195">
        <f t="shared" si="92"/>
        <v>0</v>
      </c>
      <c r="V98" s="196">
        <f t="shared" si="92"/>
        <v>1.2544029742796607</v>
      </c>
      <c r="W98" s="195">
        <f t="shared" si="92"/>
        <v>0.54783959999999998</v>
      </c>
      <c r="X98" s="195">
        <f t="shared" si="92"/>
        <v>0</v>
      </c>
      <c r="Y98" s="195">
        <f t="shared" si="92"/>
        <v>0</v>
      </c>
      <c r="Z98" s="195">
        <f t="shared" si="92"/>
        <v>0.54783959999999998</v>
      </c>
      <c r="AA98" s="274">
        <f t="shared" si="92"/>
        <v>1.8130425742796608</v>
      </c>
      <c r="AB98" s="198">
        <f t="shared" si="91"/>
        <v>4.0892226318129383</v>
      </c>
      <c r="AC98" s="198">
        <f t="shared" si="91"/>
        <v>1.73456226454197</v>
      </c>
      <c r="AD98" s="198">
        <f t="shared" si="91"/>
        <v>0.21942231768599998</v>
      </c>
      <c r="AE98" s="198">
        <f t="shared" si="91"/>
        <v>0.4471926397796</v>
      </c>
      <c r="AF98" s="258">
        <f t="shared" si="91"/>
        <v>3.2894200853799994E-3</v>
      </c>
      <c r="AG98" s="259">
        <f t="shared" ref="AG98" si="93">+AF98+AD98+AC98+AB98+AA98+AE98</f>
        <v>8.3067318481855494</v>
      </c>
      <c r="AH98" s="259">
        <f t="shared" ref="AH98:AJ98" si="94">+AA98/$F98*100</f>
        <v>4.7345840022932624</v>
      </c>
      <c r="AI98" s="259">
        <f t="shared" si="94"/>
        <v>10.678606409498856</v>
      </c>
      <c r="AJ98" s="259">
        <f t="shared" si="94"/>
        <v>4.5296403212951928</v>
      </c>
      <c r="AK98" s="259">
        <f>+AG98/$F98*100</f>
        <v>21.692220733087311</v>
      </c>
      <c r="AL98" s="201">
        <f t="shared" si="89"/>
        <v>1.1678000000000002</v>
      </c>
      <c r="AM98" s="201">
        <f t="shared" si="89"/>
        <v>8.5899999999999987E-3</v>
      </c>
      <c r="AN98" s="202">
        <f>+AG98/$F98*100</f>
        <v>21.692220733087311</v>
      </c>
      <c r="AO98" s="72"/>
      <c r="AP98" s="203"/>
      <c r="AQ98" s="72"/>
      <c r="AR98" s="72"/>
      <c r="AS98" s="72"/>
      <c r="AT98" s="72"/>
      <c r="AU98" s="72"/>
      <c r="AV98" s="72"/>
      <c r="AW98" s="72"/>
      <c r="AX98" s="72"/>
      <c r="AY98" s="72"/>
      <c r="AZ98" s="72"/>
      <c r="BA98" s="72"/>
      <c r="BB98" s="72"/>
    </row>
    <row r="99" spans="2:54" ht="25.5" customHeight="1">
      <c r="C99" s="155" t="s">
        <v>290</v>
      </c>
      <c r="D99" s="72"/>
      <c r="E99" s="167"/>
      <c r="F99" s="168"/>
      <c r="G99" s="169"/>
      <c r="H99" s="169"/>
      <c r="I99" s="169"/>
      <c r="J99" s="171"/>
      <c r="K99" s="171"/>
      <c r="L99" s="171"/>
      <c r="M99" s="173"/>
      <c r="N99" s="173"/>
      <c r="O99" s="184"/>
      <c r="P99" s="208"/>
      <c r="Q99" s="179"/>
      <c r="R99" s="179"/>
      <c r="S99" s="179"/>
      <c r="T99" s="179"/>
      <c r="U99" s="179"/>
      <c r="V99" s="209"/>
      <c r="W99" s="179"/>
      <c r="X99" s="179"/>
      <c r="Y99" s="179"/>
      <c r="Z99" s="209"/>
      <c r="AA99" s="182"/>
      <c r="AB99" s="260"/>
      <c r="AC99" s="260"/>
      <c r="AD99" s="260"/>
      <c r="AE99" s="260"/>
      <c r="AF99" s="209"/>
      <c r="AG99" s="162"/>
      <c r="AH99" s="183"/>
      <c r="AI99" s="183"/>
      <c r="AJ99" s="183"/>
      <c r="AK99" s="160"/>
      <c r="AL99" s="183"/>
      <c r="AM99" s="183"/>
      <c r="AN99" s="275"/>
      <c r="AO99" s="72"/>
      <c r="AP99" s="72"/>
      <c r="AQ99" s="72"/>
      <c r="AR99" s="72"/>
      <c r="AS99" s="72"/>
      <c r="AT99" s="72"/>
      <c r="AU99" s="72"/>
      <c r="AV99" s="72"/>
      <c r="AW99" s="72"/>
      <c r="AX99" s="72"/>
      <c r="AY99" s="72"/>
      <c r="AZ99" s="72"/>
      <c r="BA99" s="72"/>
      <c r="BB99" s="72"/>
    </row>
    <row r="100" spans="2:54">
      <c r="B100" s="165" t="s">
        <v>19</v>
      </c>
      <c r="C100" s="261" t="s">
        <v>253</v>
      </c>
      <c r="D100" s="262" t="s">
        <v>291</v>
      </c>
      <c r="E100" s="167">
        <v>1082</v>
      </c>
      <c r="F100" s="263">
        <v>23.109614930104854</v>
      </c>
      <c r="G100" s="219"/>
      <c r="H100" s="219"/>
      <c r="I100" s="219"/>
      <c r="J100" s="230"/>
      <c r="K100" s="230"/>
      <c r="L100" s="230"/>
      <c r="M100" s="254"/>
      <c r="N100" s="254"/>
      <c r="O100" s="264"/>
      <c r="P100" s="265">
        <v>0.13236000000000001</v>
      </c>
      <c r="Q100" s="222"/>
      <c r="R100" s="222"/>
      <c r="S100" s="222"/>
      <c r="T100" s="222"/>
      <c r="U100" s="175">
        <v>1.2058546745066152</v>
      </c>
      <c r="V100" s="267">
        <f>SUM(Q100:U100)</f>
        <v>1.2058546745066152</v>
      </c>
      <c r="W100" s="222"/>
      <c r="X100" s="222"/>
      <c r="Y100" s="222"/>
      <c r="Z100" s="267">
        <f>SUM(W100:Y100)</f>
        <v>0</v>
      </c>
      <c r="AA100" s="269">
        <f>+V100+Z100+P100</f>
        <v>1.3382146745066152</v>
      </c>
      <c r="AB100" s="270">
        <f>$H$2*F100</f>
        <v>2.4677848211366813</v>
      </c>
      <c r="AC100" s="270">
        <f>+$H$3*F100</f>
        <v>1.0467824359700832</v>
      </c>
      <c r="AD100" s="270">
        <f>+$H$4*F100</f>
        <v>0.13241809354950082</v>
      </c>
      <c r="AE100" s="260">
        <f t="shared" ref="AE100" si="95">+$H$5*F100</f>
        <v>0.26987408315376449</v>
      </c>
      <c r="AF100" s="182">
        <f t="shared" ref="AF100" si="96">+$H$6*F100</f>
        <v>1.9851159224960066E-3</v>
      </c>
      <c r="AG100" s="162">
        <f t="shared" ref="AG100:AG101" si="97">+AF100+AD100+AC100+AB100+AA100+AE100</f>
        <v>5.257059224239141</v>
      </c>
      <c r="AH100" s="183">
        <f t="shared" ref="AH100:AJ101" si="98">+AA100/$F100*100</f>
        <v>5.7907268405555534</v>
      </c>
      <c r="AI100" s="183">
        <f t="shared" si="98"/>
        <v>10.678606409498855</v>
      </c>
      <c r="AJ100" s="183">
        <f t="shared" si="98"/>
        <v>4.5296403212951928</v>
      </c>
      <c r="AK100" s="160">
        <f>+AG100/$F100*100</f>
        <v>22.7483635713496</v>
      </c>
      <c r="AL100" s="183">
        <f t="shared" ref="AL100:AM102" si="99">+AE100/$F100*100</f>
        <v>1.1678000000000002</v>
      </c>
      <c r="AM100" s="183">
        <f t="shared" si="99"/>
        <v>8.5899999999999987E-3</v>
      </c>
      <c r="AN100" s="160">
        <f>+AG100/$F100*100</f>
        <v>22.7483635713496</v>
      </c>
      <c r="AO100" s="72"/>
      <c r="AP100" s="72"/>
      <c r="AQ100" s="72"/>
      <c r="AR100" s="72"/>
      <c r="AS100" s="72"/>
      <c r="AT100" s="72"/>
      <c r="AU100" s="72"/>
      <c r="AV100" s="72"/>
      <c r="AW100" s="72"/>
      <c r="AX100" s="72"/>
      <c r="AY100" s="72"/>
      <c r="AZ100" s="72"/>
      <c r="BA100" s="72"/>
      <c r="BB100" s="72"/>
    </row>
    <row r="101" spans="2:54">
      <c r="C101" s="187"/>
      <c r="D101" s="187" t="s">
        <v>222</v>
      </c>
      <c r="E101" s="188">
        <f t="shared" ref="E101:K101" si="100">SUM(E100:E100)</f>
        <v>1082</v>
      </c>
      <c r="F101" s="190">
        <f t="shared" si="100"/>
        <v>23.109614930104854</v>
      </c>
      <c r="G101" s="190">
        <f t="shared" si="100"/>
        <v>0</v>
      </c>
      <c r="H101" s="190">
        <f t="shared" si="100"/>
        <v>0</v>
      </c>
      <c r="I101" s="190">
        <f t="shared" si="100"/>
        <v>0</v>
      </c>
      <c r="J101" s="191">
        <f t="shared" si="100"/>
        <v>0</v>
      </c>
      <c r="K101" s="191">
        <f t="shared" si="100"/>
        <v>0</v>
      </c>
      <c r="L101" s="191"/>
      <c r="M101" s="192">
        <f t="shared" ref="M101:AF101" si="101">SUM(M100:M100)</f>
        <v>0</v>
      </c>
      <c r="N101" s="192">
        <f t="shared" si="101"/>
        <v>0</v>
      </c>
      <c r="O101" s="193">
        <f t="shared" si="101"/>
        <v>0</v>
      </c>
      <c r="P101" s="194">
        <f>SUM(P100:P100)</f>
        <v>0.13236000000000001</v>
      </c>
      <c r="Q101" s="195">
        <f t="shared" si="101"/>
        <v>0</v>
      </c>
      <c r="R101" s="195">
        <f t="shared" si="101"/>
        <v>0</v>
      </c>
      <c r="S101" s="195">
        <f t="shared" si="101"/>
        <v>0</v>
      </c>
      <c r="T101" s="195">
        <f t="shared" si="101"/>
        <v>0</v>
      </c>
      <c r="U101" s="195">
        <f t="shared" si="101"/>
        <v>1.2058546745066152</v>
      </c>
      <c r="V101" s="196">
        <f t="shared" si="101"/>
        <v>1.2058546745066152</v>
      </c>
      <c r="W101" s="195">
        <f t="shared" si="101"/>
        <v>0</v>
      </c>
      <c r="X101" s="195">
        <f t="shared" si="101"/>
        <v>0</v>
      </c>
      <c r="Y101" s="195">
        <f t="shared" si="101"/>
        <v>0</v>
      </c>
      <c r="Z101" s="196">
        <f t="shared" si="101"/>
        <v>0</v>
      </c>
      <c r="AA101" s="197">
        <f t="shared" si="101"/>
        <v>1.3382146745066152</v>
      </c>
      <c r="AB101" s="198">
        <f t="shared" si="101"/>
        <v>2.4677848211366813</v>
      </c>
      <c r="AC101" s="198">
        <f t="shared" si="101"/>
        <v>1.0467824359700832</v>
      </c>
      <c r="AD101" s="198">
        <f t="shared" si="101"/>
        <v>0.13241809354950082</v>
      </c>
      <c r="AE101" s="198">
        <f t="shared" si="101"/>
        <v>0.26987408315376449</v>
      </c>
      <c r="AF101" s="258">
        <f t="shared" si="101"/>
        <v>1.9851159224960066E-3</v>
      </c>
      <c r="AG101" s="259">
        <f t="shared" si="97"/>
        <v>5.257059224239141</v>
      </c>
      <c r="AH101" s="259">
        <f t="shared" si="98"/>
        <v>5.7907268405555534</v>
      </c>
      <c r="AI101" s="259">
        <f t="shared" si="98"/>
        <v>10.678606409498855</v>
      </c>
      <c r="AJ101" s="259">
        <f t="shared" si="98"/>
        <v>4.5296403212951928</v>
      </c>
      <c r="AK101" s="259">
        <f>+AG101/$F101*100</f>
        <v>22.7483635713496</v>
      </c>
      <c r="AL101" s="201">
        <f t="shared" si="99"/>
        <v>1.1678000000000002</v>
      </c>
      <c r="AM101" s="201">
        <f t="shared" si="99"/>
        <v>8.5899999999999987E-3</v>
      </c>
      <c r="AN101" s="202">
        <f>+AG101/$F101*100</f>
        <v>22.7483635713496</v>
      </c>
      <c r="AO101" s="72"/>
      <c r="AP101" s="203"/>
      <c r="AQ101" s="72"/>
      <c r="AR101" s="72"/>
      <c r="AS101" s="72"/>
      <c r="AT101" s="72"/>
      <c r="AU101" s="72"/>
      <c r="AV101" s="72"/>
      <c r="AW101" s="72"/>
      <c r="AX101" s="72"/>
      <c r="AY101" s="72"/>
      <c r="AZ101" s="72"/>
      <c r="BA101" s="72"/>
      <c r="BB101" s="72"/>
    </row>
    <row r="102" spans="2:54" ht="24" customHeight="1" thickBot="1">
      <c r="C102" s="276"/>
      <c r="D102" s="276" t="s">
        <v>222</v>
      </c>
      <c r="E102" s="277">
        <f t="shared" ref="E102:K102" si="102">+E101+E97+E95+E54+E45+E34</f>
        <v>1515593.3547265988</v>
      </c>
      <c r="F102" s="278">
        <f t="shared" si="102"/>
        <v>16022.315674701804</v>
      </c>
      <c r="G102" s="279">
        <f t="shared" si="102"/>
        <v>10302.782564119261</v>
      </c>
      <c r="H102" s="279">
        <f t="shared" si="102"/>
        <v>2836.9226089841036</v>
      </c>
      <c r="I102" s="279">
        <f t="shared" si="102"/>
        <v>119.79510673669556</v>
      </c>
      <c r="J102" s="280">
        <f t="shared" si="102"/>
        <v>194.93379982867185</v>
      </c>
      <c r="K102" s="280">
        <f t="shared" si="102"/>
        <v>446276</v>
      </c>
      <c r="L102" s="280"/>
      <c r="M102" s="281">
        <f>+M101+M97+M95+M54+M45+M34</f>
        <v>21609000</v>
      </c>
      <c r="N102" s="281">
        <f>+N101+N97+N95+N54+N45+N34</f>
        <v>976344</v>
      </c>
      <c r="O102" s="282">
        <f>+O101+O97+O95+O54+O45+O34</f>
        <v>973680</v>
      </c>
      <c r="P102" s="283">
        <f>+P101+P98+P95+P54+P45+P34</f>
        <v>96.411145919999996</v>
      </c>
      <c r="Q102" s="284">
        <f>+Q101+Q98+Q95+Q54+Q45+Q34</f>
        <v>487.13301451410223</v>
      </c>
      <c r="R102" s="285">
        <f t="shared" ref="R102:V102" si="103">+R101+R98+R95+R54+R45+R34</f>
        <v>32.264380049887365</v>
      </c>
      <c r="S102" s="285">
        <f t="shared" si="103"/>
        <v>8.3080048073046893</v>
      </c>
      <c r="T102" s="285">
        <f t="shared" si="103"/>
        <v>5.0666950005874103</v>
      </c>
      <c r="U102" s="285">
        <f t="shared" si="103"/>
        <v>253.60415414356743</v>
      </c>
      <c r="V102" s="286">
        <f t="shared" si="103"/>
        <v>786.37624851544911</v>
      </c>
      <c r="W102" s="284">
        <f>+W101+W98+W95+W54+W45+W34</f>
        <v>172.18715331600001</v>
      </c>
      <c r="X102" s="285">
        <f>+X101+X98+X95+X54+X45+X34</f>
        <v>0.83276899999999998</v>
      </c>
      <c r="Y102" s="285">
        <f t="shared" ref="Y102:AA102" si="104">+Y101+Y98+Y95+Y54+Y45+Y34</f>
        <v>0.10777435</v>
      </c>
      <c r="Z102" s="286">
        <f t="shared" si="104"/>
        <v>173.12769666599999</v>
      </c>
      <c r="AA102" s="287">
        <f t="shared" si="104"/>
        <v>1055.915091101449</v>
      </c>
      <c r="AB102" s="288">
        <f t="shared" ref="AB102:AF102" si="105">(AB34+AB45+AB54+AB95+AB97+AB101)</f>
        <v>1710.9600285888466</v>
      </c>
      <c r="AC102" s="288">
        <f t="shared" si="105"/>
        <v>725.75327120649274</v>
      </c>
      <c r="AD102" s="288">
        <f t="shared" si="105"/>
        <v>91.807868816041349</v>
      </c>
      <c r="AE102" s="288">
        <f t="shared" si="105"/>
        <v>187.10860244916762</v>
      </c>
      <c r="AF102" s="289">
        <f t="shared" si="105"/>
        <v>1.3763169164568845</v>
      </c>
      <c r="AG102" s="290">
        <f>(AG34+AG45+AG54+AG95+AG97+AG100)</f>
        <v>3772.9211790784543</v>
      </c>
      <c r="AH102" s="291">
        <v>6</v>
      </c>
      <c r="AI102" s="291">
        <f>+AB102/$F102*100</f>
        <v>10.678606409498856</v>
      </c>
      <c r="AJ102" s="291">
        <f>+AC102/$F102*100</f>
        <v>4.5296403212951928</v>
      </c>
      <c r="AK102" s="292">
        <f>+AG102/$F102*100</f>
        <v>23.547914394394638</v>
      </c>
      <c r="AL102" s="291">
        <f t="shared" si="99"/>
        <v>1.1677999999999997</v>
      </c>
      <c r="AM102" s="291">
        <f t="shared" si="99"/>
        <v>8.5899999999999969E-3</v>
      </c>
      <c r="AN102" s="292">
        <f>+AG102/$F102*100</f>
        <v>23.547914394394638</v>
      </c>
      <c r="AO102" s="72"/>
      <c r="AP102" s="203"/>
      <c r="AQ102" s="72"/>
      <c r="AR102" s="72"/>
      <c r="AS102" s="72"/>
      <c r="AT102" s="72"/>
      <c r="AU102" s="72"/>
      <c r="AV102" s="72"/>
      <c r="AW102" s="72"/>
      <c r="AX102" s="72"/>
      <c r="AY102" s="72"/>
      <c r="AZ102" s="72"/>
      <c r="BA102" s="72"/>
      <c r="BB102" s="72"/>
    </row>
    <row r="103" spans="2:54">
      <c r="C103" s="74"/>
      <c r="F103" s="98"/>
      <c r="H103" s="100"/>
      <c r="I103" s="100"/>
      <c r="J103" s="100"/>
      <c r="K103" s="100"/>
      <c r="L103" s="100"/>
      <c r="M103" s="100"/>
      <c r="N103" s="100"/>
      <c r="Q103" s="108"/>
      <c r="R103" s="108"/>
      <c r="S103" s="108"/>
      <c r="T103" s="108"/>
      <c r="V103" s="108"/>
      <c r="W103" s="108"/>
      <c r="X103" s="108"/>
      <c r="Y103" s="108"/>
      <c r="Z103" s="108"/>
      <c r="AA103" s="108"/>
      <c r="AB103" s="73"/>
      <c r="AC103" s="73"/>
      <c r="AD103" s="73"/>
      <c r="AE103" s="73"/>
      <c r="AF103" s="72"/>
      <c r="AG103" s="72"/>
      <c r="AH103" s="72"/>
      <c r="AI103" s="293"/>
      <c r="AJ103" s="72"/>
      <c r="AK103" s="72"/>
      <c r="AL103" s="72"/>
      <c r="AM103" s="72"/>
      <c r="AN103" s="72"/>
      <c r="AO103" s="72"/>
      <c r="AP103" s="72"/>
      <c r="AQ103" s="72"/>
      <c r="AR103" s="72"/>
      <c r="AS103" s="72"/>
      <c r="AT103" s="72"/>
      <c r="AU103" s="72"/>
      <c r="AV103" s="72"/>
      <c r="AW103" s="72"/>
      <c r="AX103" s="72"/>
      <c r="AY103" s="72"/>
      <c r="AZ103" s="72"/>
      <c r="BA103" s="72"/>
      <c r="BB103" s="72"/>
    </row>
    <row r="104" spans="2:54">
      <c r="E104" s="294"/>
      <c r="F104" s="100">
        <f>F95-E12</f>
        <v>50.722757237609613</v>
      </c>
      <c r="P104" s="295">
        <v>-6.0246840000000077</v>
      </c>
      <c r="Q104" s="295">
        <v>-24.188412931402581</v>
      </c>
      <c r="R104" s="295">
        <v>-0.83294874224739601</v>
      </c>
      <c r="S104" s="295">
        <v>0</v>
      </c>
      <c r="T104" s="295">
        <v>0</v>
      </c>
      <c r="U104" s="295">
        <v>-4.7859700221948742E-2</v>
      </c>
      <c r="V104" s="295">
        <v>-25.069221373871983</v>
      </c>
      <c r="W104" s="295">
        <v>0</v>
      </c>
      <c r="X104" s="295">
        <v>3.0660606899999943E-2</v>
      </c>
      <c r="Y104" s="295">
        <v>0</v>
      </c>
      <c r="Z104" s="295">
        <v>3.0660606899999721E-2</v>
      </c>
      <c r="AA104" s="295">
        <v>-31.06324476697182</v>
      </c>
      <c r="AB104" s="73"/>
      <c r="AC104" s="73"/>
      <c r="AD104" s="73"/>
      <c r="AE104" s="73">
        <f>SUM(AE102:AF102)</f>
        <v>188.48491936562451</v>
      </c>
      <c r="AF104" s="73"/>
      <c r="AG104" s="72"/>
      <c r="AH104" s="72"/>
      <c r="AI104" s="296">
        <f>AI102/100*E15</f>
        <v>1558.0064639476768</v>
      </c>
      <c r="AJ104" s="72"/>
      <c r="AK104" s="72"/>
      <c r="AL104" s="72"/>
      <c r="AM104" s="72"/>
      <c r="AN104" s="72"/>
      <c r="AO104" s="72"/>
      <c r="AP104" s="72"/>
      <c r="AQ104" s="72"/>
      <c r="AR104" s="72"/>
      <c r="AS104" s="72"/>
      <c r="AT104" s="72"/>
      <c r="AU104" s="72"/>
      <c r="AV104" s="72"/>
      <c r="AW104" s="72"/>
      <c r="AX104" s="72"/>
      <c r="AY104" s="72"/>
      <c r="AZ104" s="72"/>
      <c r="BA104" s="72"/>
      <c r="BB104" s="72"/>
    </row>
    <row r="105" spans="2:54">
      <c r="E105" s="314" t="s">
        <v>292</v>
      </c>
      <c r="F105" s="315">
        <f>SUM(F95,F36)</f>
        <v>286.03766387343666</v>
      </c>
      <c r="U105" s="297"/>
      <c r="AB105" s="73"/>
      <c r="AC105" s="73"/>
      <c r="AD105" s="73"/>
      <c r="AE105" s="73"/>
      <c r="AF105" s="73"/>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row>
    <row r="106" spans="2:54">
      <c r="E106" s="314" t="s">
        <v>9</v>
      </c>
      <c r="F106" s="315">
        <f>SUM(F27:F29)</f>
        <v>278.17784180783576</v>
      </c>
      <c r="U106" s="297"/>
      <c r="AB106" s="73"/>
      <c r="AC106" s="73"/>
      <c r="AD106" s="73"/>
      <c r="AE106" s="73"/>
      <c r="AF106" s="73"/>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row>
    <row r="107" spans="2:54">
      <c r="C107" s="74"/>
      <c r="E107" s="314" t="s">
        <v>293</v>
      </c>
      <c r="F107" s="316">
        <f>F102-SUM(F105:F106)</f>
        <v>15458.100169020532</v>
      </c>
      <c r="H107" s="100"/>
      <c r="I107" s="100"/>
      <c r="J107" s="100"/>
      <c r="K107" s="100"/>
      <c r="L107" s="100"/>
      <c r="M107" s="100"/>
      <c r="N107" s="100"/>
      <c r="Q107" s="108"/>
      <c r="R107" s="108"/>
      <c r="S107" s="108"/>
      <c r="T107" s="108"/>
      <c r="V107" s="108"/>
      <c r="W107" s="108"/>
      <c r="X107" s="108"/>
      <c r="Y107" s="108"/>
      <c r="Z107" s="108"/>
      <c r="AA107" s="108"/>
      <c r="AB107" s="73"/>
      <c r="AC107" s="73"/>
      <c r="AD107" s="73"/>
      <c r="AE107" s="73"/>
      <c r="AF107" s="73"/>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row>
    <row r="108" spans="2:54">
      <c r="C108" s="74"/>
      <c r="H108" s="100"/>
      <c r="I108" s="100"/>
      <c r="J108" s="100"/>
      <c r="K108" s="100"/>
      <c r="L108" s="100"/>
      <c r="M108" s="100"/>
      <c r="N108" s="100"/>
      <c r="Q108" s="108"/>
      <c r="R108" s="108"/>
      <c r="S108" s="108"/>
      <c r="T108" s="108"/>
      <c r="V108" s="108"/>
      <c r="W108" s="108"/>
      <c r="X108" s="108"/>
      <c r="Y108" s="108"/>
      <c r="Z108" s="108"/>
      <c r="AA108" s="108"/>
      <c r="AB108" s="73"/>
      <c r="AC108" s="73"/>
      <c r="AD108" s="73"/>
      <c r="AE108" s="73"/>
      <c r="AF108" s="72"/>
      <c r="AG108" s="72"/>
      <c r="AH108" s="72"/>
      <c r="AJ108" s="72"/>
      <c r="AK108" s="72"/>
      <c r="AL108" s="72"/>
      <c r="AM108" s="72"/>
      <c r="AN108" s="72"/>
      <c r="AO108" s="72"/>
      <c r="AP108" s="72"/>
      <c r="AQ108" s="72"/>
      <c r="AR108" s="72"/>
      <c r="AS108" s="72"/>
      <c r="AT108" s="72"/>
      <c r="AU108" s="72"/>
      <c r="AV108" s="72"/>
      <c r="AW108" s="72"/>
      <c r="AX108" s="72"/>
      <c r="AY108" s="72"/>
      <c r="AZ108" s="72"/>
      <c r="BA108" s="72"/>
      <c r="BB108" s="72"/>
    </row>
    <row r="109" spans="2:54">
      <c r="C109" s="74"/>
      <c r="Q109" s="108"/>
      <c r="R109" s="108"/>
      <c r="S109" s="108"/>
      <c r="T109" s="108"/>
      <c r="U109" s="108"/>
      <c r="V109" s="108"/>
      <c r="W109" s="108"/>
      <c r="X109" s="108"/>
      <c r="Y109" s="108"/>
      <c r="Z109" s="108"/>
      <c r="AA109" s="108"/>
      <c r="AB109" s="73"/>
      <c r="AC109" s="73"/>
      <c r="AD109" s="73"/>
      <c r="AE109" s="73"/>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row>
    <row r="110" spans="2:54">
      <c r="C110" s="74"/>
      <c r="Q110" s="108"/>
      <c r="R110" s="108"/>
      <c r="S110" s="108"/>
      <c r="T110" s="108"/>
      <c r="U110" s="108"/>
      <c r="V110" s="108"/>
      <c r="W110" s="108"/>
      <c r="X110" s="108"/>
      <c r="Y110" s="108"/>
      <c r="Z110" s="108"/>
      <c r="AA110" s="108"/>
      <c r="AB110" s="73"/>
      <c r="AC110" s="73"/>
      <c r="AD110" s="73"/>
      <c r="AE110" s="44"/>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row>
    <row r="111" spans="2:54">
      <c r="C111" s="74"/>
      <c r="Q111" s="72"/>
      <c r="R111" s="72"/>
      <c r="S111" s="72"/>
      <c r="T111" s="72"/>
      <c r="U111" s="72"/>
      <c r="V111" s="72"/>
      <c r="W111" s="108"/>
      <c r="X111" s="72"/>
      <c r="Y111" s="72"/>
      <c r="Z111" s="72"/>
      <c r="AA111" s="108"/>
      <c r="AB111" s="73"/>
      <c r="AC111" s="73"/>
      <c r="AD111" s="73"/>
      <c r="AE111" s="73"/>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row>
    <row r="112" spans="2:54">
      <c r="C112" s="74"/>
      <c r="Q112" s="72"/>
      <c r="R112" s="72"/>
      <c r="S112" s="72"/>
      <c r="T112" s="72"/>
      <c r="U112" s="72"/>
      <c r="V112" s="72"/>
      <c r="W112" s="108"/>
      <c r="X112" s="72"/>
      <c r="Y112" s="72"/>
      <c r="Z112" s="72"/>
      <c r="AA112" s="108"/>
      <c r="AB112" s="73"/>
      <c r="AC112" s="73"/>
      <c r="AD112" s="73"/>
      <c r="AE112" s="73"/>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row>
    <row r="113" spans="3:54" ht="15.6">
      <c r="C113" s="74"/>
      <c r="D113" s="305" t="s">
        <v>294</v>
      </c>
      <c r="Q113" s="72"/>
      <c r="R113" s="72"/>
      <c r="S113" s="72"/>
      <c r="T113" s="72"/>
      <c r="U113" s="72"/>
      <c r="V113" s="72"/>
      <c r="W113" s="108"/>
      <c r="X113" s="72"/>
      <c r="Y113" s="72"/>
      <c r="Z113" s="72"/>
      <c r="AA113" s="108"/>
      <c r="AB113" s="73"/>
      <c r="AC113" s="73"/>
      <c r="AD113" s="73"/>
      <c r="AE113" s="73"/>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row>
    <row r="114" spans="3:54">
      <c r="C114" s="74"/>
      <c r="Q114" s="72"/>
      <c r="R114" s="72"/>
      <c r="S114" s="72"/>
      <c r="T114" s="72"/>
      <c r="U114" s="72"/>
      <c r="V114" s="72"/>
      <c r="X114" s="72"/>
      <c r="Y114" s="72"/>
      <c r="Z114" s="72"/>
      <c r="AB114" s="73"/>
      <c r="AC114" s="73"/>
      <c r="AD114" s="73"/>
      <c r="AE114" s="73"/>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row>
    <row r="115" spans="3:54">
      <c r="C115" s="74"/>
      <c r="Q115" s="72"/>
      <c r="R115" s="72"/>
      <c r="S115" s="72"/>
      <c r="T115" s="72"/>
      <c r="U115" s="72"/>
      <c r="V115" s="72"/>
      <c r="X115" s="72"/>
      <c r="Y115" s="72"/>
      <c r="Z115" s="72"/>
      <c r="AB115" s="73"/>
      <c r="AC115" s="73"/>
      <c r="AD115" s="73"/>
      <c r="AE115" s="73"/>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row>
    <row r="116" spans="3:54" ht="15.6">
      <c r="C116" s="74"/>
      <c r="D116" s="305" t="s">
        <v>295</v>
      </c>
      <c r="E116" s="306">
        <v>1072.2429613474512</v>
      </c>
      <c r="Q116" s="72"/>
      <c r="R116" s="72"/>
      <c r="S116" s="72"/>
      <c r="T116" s="72"/>
      <c r="U116" s="72"/>
      <c r="V116" s="72"/>
      <c r="X116" s="72"/>
      <c r="Y116" s="72"/>
      <c r="Z116" s="72"/>
      <c r="AB116" s="73"/>
      <c r="AC116" s="73"/>
      <c r="AD116" s="73"/>
      <c r="AE116" s="73"/>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row>
    <row r="117" spans="3:54">
      <c r="C117" s="74"/>
      <c r="E117" s="44">
        <f>-1</f>
        <v>-1</v>
      </c>
      <c r="F117" s="44" t="s">
        <v>296</v>
      </c>
      <c r="Q117" s="72"/>
      <c r="R117" s="72"/>
      <c r="S117" s="72"/>
      <c r="T117" s="72"/>
      <c r="U117" s="72"/>
      <c r="V117" s="72"/>
      <c r="X117" s="72"/>
      <c r="Y117" s="72"/>
      <c r="Z117" s="72"/>
      <c r="AB117" s="73"/>
      <c r="AC117" s="73"/>
      <c r="AD117" s="73"/>
      <c r="AE117" s="73"/>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row>
    <row r="118" spans="3:54">
      <c r="C118" s="74"/>
      <c r="F118" s="44" t="s">
        <v>297</v>
      </c>
      <c r="Q118" s="72"/>
      <c r="R118" s="72"/>
      <c r="S118" s="72"/>
      <c r="T118" s="72"/>
      <c r="U118" s="72"/>
      <c r="V118" s="72"/>
      <c r="X118" s="72"/>
      <c r="Y118" s="72"/>
      <c r="Z118" s="72"/>
      <c r="AB118" s="73"/>
      <c r="AC118" s="73"/>
      <c r="AD118" s="73"/>
      <c r="AE118" s="73"/>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row>
    <row r="119" spans="3:54">
      <c r="C119" s="74"/>
      <c r="F119" s="44" t="s">
        <v>297</v>
      </c>
      <c r="AB119" s="73"/>
      <c r="AC119" s="73"/>
      <c r="AD119" s="73"/>
      <c r="AE119" s="73"/>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row>
    <row r="120" spans="3:54">
      <c r="C120" s="74"/>
      <c r="F120" s="44" t="s">
        <v>297</v>
      </c>
      <c r="Q120" s="72"/>
      <c r="R120" s="72"/>
      <c r="S120" s="72"/>
      <c r="T120" s="72"/>
      <c r="U120" s="72"/>
      <c r="V120" s="72"/>
      <c r="X120" s="72"/>
      <c r="Y120" s="72"/>
      <c r="Z120" s="72"/>
      <c r="AB120" s="73"/>
      <c r="AC120" s="73"/>
      <c r="AD120" s="73"/>
      <c r="AE120" s="73"/>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row>
    <row r="121" spans="3:54">
      <c r="C121" s="74"/>
      <c r="F121" s="44" t="s">
        <v>297</v>
      </c>
      <c r="Q121" s="72"/>
      <c r="R121" s="72"/>
      <c r="S121" s="72"/>
      <c r="T121" s="72"/>
      <c r="U121" s="72"/>
      <c r="V121" s="72"/>
      <c r="X121" s="72"/>
      <c r="Y121" s="72"/>
      <c r="Z121" s="72"/>
      <c r="AB121" s="73"/>
      <c r="AC121" s="73"/>
      <c r="AD121" s="73"/>
      <c r="AE121" s="73"/>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row>
    <row r="122" spans="3:54">
      <c r="C122" s="74"/>
      <c r="F122" s="44" t="s">
        <v>297</v>
      </c>
      <c r="Q122" s="72"/>
      <c r="R122" s="72"/>
      <c r="S122" s="72"/>
      <c r="T122" s="72"/>
      <c r="U122" s="72"/>
      <c r="V122" s="72"/>
      <c r="X122" s="72"/>
      <c r="Y122" s="72"/>
      <c r="Z122" s="72"/>
      <c r="AB122" s="73"/>
      <c r="AC122" s="73"/>
      <c r="AD122" s="73"/>
      <c r="AE122" s="73"/>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row>
    <row r="123" spans="3:54">
      <c r="C123" s="74"/>
      <c r="F123" s="44" t="s">
        <v>297</v>
      </c>
      <c r="Q123" s="72"/>
      <c r="R123" s="72"/>
      <c r="S123" s="72"/>
      <c r="T123" s="72"/>
      <c r="U123" s="72"/>
      <c r="V123" s="72"/>
      <c r="X123" s="72"/>
      <c r="Y123" s="72"/>
      <c r="Z123" s="72"/>
      <c r="AB123" s="73"/>
      <c r="AC123" s="73"/>
      <c r="AD123" s="73"/>
      <c r="AE123" s="73"/>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row>
    <row r="124" spans="3:54">
      <c r="C124" s="74"/>
      <c r="F124" s="44" t="s">
        <v>298</v>
      </c>
      <c r="Q124" s="72"/>
      <c r="R124" s="72"/>
      <c r="S124" s="72"/>
      <c r="T124" s="72"/>
      <c r="U124" s="72"/>
      <c r="V124" s="72"/>
      <c r="X124" s="72"/>
      <c r="Y124" s="72"/>
      <c r="Z124" s="72"/>
      <c r="AB124" s="73"/>
      <c r="AC124" s="73"/>
      <c r="AD124" s="73"/>
      <c r="AE124" s="73"/>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row>
    <row r="125" spans="3:54">
      <c r="C125" s="74"/>
      <c r="F125" s="44" t="s">
        <v>298</v>
      </c>
      <c r="Q125" s="72"/>
      <c r="R125" s="72"/>
      <c r="S125" s="72"/>
      <c r="T125" s="72"/>
      <c r="U125" s="72"/>
      <c r="V125" s="72"/>
      <c r="X125" s="72"/>
      <c r="Y125" s="72"/>
      <c r="Z125" s="72"/>
      <c r="AB125" s="73"/>
      <c r="AC125" s="73"/>
      <c r="AD125" s="73"/>
      <c r="AE125" s="73"/>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row>
    <row r="126" spans="3:54">
      <c r="C126" s="74"/>
      <c r="F126" s="44" t="s">
        <v>298</v>
      </c>
      <c r="Q126" s="72"/>
      <c r="R126" s="72"/>
      <c r="S126" s="72"/>
      <c r="T126" s="72"/>
      <c r="U126" s="72"/>
      <c r="V126" s="72"/>
      <c r="X126" s="72"/>
      <c r="Y126" s="72"/>
      <c r="Z126" s="72"/>
      <c r="AB126" s="73"/>
      <c r="AC126" s="73"/>
      <c r="AD126" s="73"/>
      <c r="AE126" s="73"/>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row>
    <row r="127" spans="3:54">
      <c r="F127" s="44" t="s">
        <v>298</v>
      </c>
      <c r="Q127" s="72"/>
      <c r="R127" s="72"/>
      <c r="S127" s="72"/>
      <c r="T127" s="72"/>
      <c r="U127" s="72"/>
      <c r="V127" s="72"/>
      <c r="X127" s="72"/>
      <c r="Y127" s="72"/>
      <c r="Z127" s="72"/>
      <c r="AB127" s="73"/>
      <c r="AC127" s="73"/>
      <c r="AD127" s="73"/>
      <c r="AE127" s="73"/>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row>
    <row r="128" spans="3:54">
      <c r="C128" s="74"/>
      <c r="F128" s="44" t="s">
        <v>298</v>
      </c>
      <c r="Q128" s="72"/>
      <c r="R128" s="72"/>
      <c r="S128" s="72"/>
      <c r="T128" s="72"/>
      <c r="U128" s="72"/>
      <c r="V128" s="72"/>
      <c r="X128" s="72"/>
      <c r="Y128" s="72"/>
      <c r="Z128" s="72"/>
      <c r="AB128" s="73"/>
      <c r="AC128" s="73"/>
      <c r="AD128" s="73"/>
      <c r="AE128" s="73"/>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row>
    <row r="129" spans="3:54">
      <c r="C129" s="74"/>
      <c r="F129" s="44" t="s">
        <v>298</v>
      </c>
      <c r="Q129" s="72"/>
      <c r="R129" s="72"/>
      <c r="S129" s="72"/>
      <c r="T129" s="72"/>
      <c r="U129" s="72"/>
      <c r="V129" s="72"/>
      <c r="X129" s="72"/>
      <c r="Y129" s="72"/>
      <c r="Z129" s="72"/>
      <c r="AB129" s="73"/>
      <c r="AC129" s="73"/>
      <c r="AD129" s="73"/>
      <c r="AE129" s="73"/>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row>
    <row r="130" spans="3:54">
      <c r="C130" s="74"/>
      <c r="F130" s="44" t="s">
        <v>298</v>
      </c>
      <c r="Q130" s="72"/>
      <c r="R130" s="72"/>
      <c r="S130" s="72"/>
      <c r="T130" s="72"/>
      <c r="U130" s="72"/>
      <c r="V130" s="72"/>
      <c r="X130" s="72"/>
      <c r="Y130" s="72"/>
      <c r="Z130" s="72"/>
      <c r="AB130" s="73"/>
      <c r="AC130" s="73"/>
      <c r="AD130" s="73"/>
      <c r="AE130" s="73"/>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row>
    <row r="131" spans="3:54">
      <c r="C131" s="74"/>
      <c r="E131" s="303"/>
      <c r="F131" s="44" t="s">
        <v>298</v>
      </c>
      <c r="Q131" s="72"/>
      <c r="R131" s="72"/>
      <c r="S131" s="72"/>
      <c r="T131" s="72"/>
      <c r="U131" s="72"/>
      <c r="V131" s="72"/>
      <c r="X131" s="72"/>
      <c r="Y131" s="72"/>
      <c r="Z131" s="72"/>
      <c r="AB131" s="73"/>
      <c r="AC131" s="73"/>
      <c r="AD131" s="73"/>
      <c r="AE131" s="73"/>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row>
    <row r="132" spans="3:54" ht="15.6">
      <c r="C132" s="74"/>
      <c r="D132" s="305" t="s">
        <v>299</v>
      </c>
      <c r="E132" s="304">
        <f>SUM(E116:E131)</f>
        <v>1071.2429613474512</v>
      </c>
      <c r="Q132" s="72"/>
      <c r="R132" s="72"/>
      <c r="S132" s="72"/>
      <c r="T132" s="72"/>
      <c r="U132" s="72"/>
      <c r="V132" s="72"/>
      <c r="X132" s="72"/>
      <c r="Y132" s="72"/>
      <c r="Z132" s="72"/>
      <c r="AB132" s="73"/>
      <c r="AC132" s="73"/>
      <c r="AD132" s="73"/>
      <c r="AE132" s="73"/>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row>
    <row r="133" spans="3:54">
      <c r="C133" s="74"/>
      <c r="Q133" s="72"/>
      <c r="R133" s="72"/>
      <c r="S133" s="72"/>
      <c r="T133" s="72"/>
      <c r="U133" s="72"/>
      <c r="V133" s="72"/>
      <c r="X133" s="72"/>
      <c r="Y133" s="72"/>
      <c r="Z133" s="72"/>
      <c r="AB133" s="73"/>
      <c r="AC133" s="73"/>
      <c r="AD133" s="73"/>
      <c r="AE133" s="73"/>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row>
    <row r="134" spans="3:54">
      <c r="C134" s="74"/>
      <c r="AB134" s="73"/>
      <c r="AC134" s="73"/>
      <c r="AD134" s="73"/>
      <c r="AE134" s="73"/>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row>
    <row r="135" spans="3:54" ht="15.6">
      <c r="C135" s="74"/>
      <c r="D135" s="305" t="s">
        <v>300</v>
      </c>
      <c r="E135" s="306">
        <v>1041.9075906619378</v>
      </c>
      <c r="Q135" s="72"/>
      <c r="R135" s="72"/>
      <c r="S135" s="72"/>
      <c r="T135" s="72"/>
      <c r="U135" s="72"/>
      <c r="V135" s="72"/>
      <c r="X135" s="72"/>
      <c r="Y135" s="72"/>
      <c r="Z135" s="72"/>
      <c r="AB135" s="73"/>
      <c r="AC135" s="73"/>
      <c r="AD135" s="73"/>
      <c r="AE135" s="73"/>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row>
    <row r="136" spans="3:54">
      <c r="C136" s="74"/>
      <c r="E136" s="302">
        <v>-1.1937539999999998</v>
      </c>
      <c r="F136" s="44" t="s">
        <v>301</v>
      </c>
      <c r="Q136" s="72"/>
      <c r="R136" s="72"/>
      <c r="S136" s="72"/>
      <c r="T136" s="72"/>
      <c r="U136" s="72"/>
      <c r="V136" s="72"/>
      <c r="X136" s="72"/>
      <c r="Y136" s="72"/>
      <c r="Z136" s="72"/>
      <c r="AB136" s="73"/>
      <c r="AC136" s="73"/>
      <c r="AD136" s="73"/>
      <c r="AE136" s="73"/>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row>
    <row r="137" spans="3:54">
      <c r="C137" s="74"/>
      <c r="E137" s="302">
        <v>-21.868189999999998</v>
      </c>
      <c r="F137" s="44" t="s">
        <v>302</v>
      </c>
      <c r="Q137" s="72"/>
      <c r="R137" s="72"/>
      <c r="S137" s="72"/>
      <c r="T137" s="72"/>
      <c r="U137" s="72"/>
      <c r="V137" s="72"/>
      <c r="X137" s="72"/>
      <c r="Y137" s="72"/>
      <c r="Z137" s="72"/>
      <c r="AB137" s="73"/>
      <c r="AC137" s="73"/>
      <c r="AD137" s="73"/>
      <c r="AE137" s="73"/>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row>
    <row r="138" spans="3:54">
      <c r="C138" s="74"/>
      <c r="Q138" s="72"/>
      <c r="R138" s="72"/>
      <c r="S138" s="72"/>
      <c r="T138" s="72"/>
      <c r="U138" s="72"/>
      <c r="V138" s="72"/>
      <c r="X138" s="72"/>
      <c r="Y138" s="72"/>
      <c r="Z138" s="72"/>
      <c r="AB138" s="73"/>
      <c r="AC138" s="73"/>
      <c r="AD138" s="73"/>
      <c r="AE138" s="73"/>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row>
    <row r="139" spans="3:54">
      <c r="C139" s="74"/>
      <c r="Q139" s="72"/>
      <c r="R139" s="72"/>
      <c r="S139" s="72"/>
      <c r="T139" s="72"/>
      <c r="U139" s="72"/>
      <c r="V139" s="72"/>
      <c r="X139" s="72"/>
      <c r="Y139" s="72"/>
      <c r="Z139" s="72"/>
      <c r="AB139" s="73"/>
      <c r="AC139" s="73"/>
      <c r="AD139" s="73"/>
      <c r="AE139" s="73"/>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row>
    <row r="140" spans="3:54" ht="15.6">
      <c r="D140" s="305" t="s">
        <v>303</v>
      </c>
      <c r="E140" s="304">
        <f>E132-E135</f>
        <v>29.335370685513453</v>
      </c>
      <c r="Q140" s="72"/>
      <c r="R140" s="72"/>
      <c r="S140" s="72"/>
      <c r="T140" s="72"/>
      <c r="U140" s="72"/>
      <c r="V140" s="72"/>
      <c r="X140" s="72"/>
      <c r="Y140" s="72"/>
      <c r="Z140" s="72"/>
      <c r="AB140" s="73"/>
      <c r="AC140" s="73"/>
      <c r="AD140" s="73"/>
      <c r="AE140" s="73"/>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row>
    <row r="141" spans="3:54">
      <c r="C141" s="74"/>
      <c r="Q141" s="72"/>
      <c r="R141" s="72"/>
      <c r="S141" s="72"/>
      <c r="T141" s="72"/>
      <c r="U141" s="72"/>
      <c r="V141" s="72"/>
      <c r="X141" s="72"/>
      <c r="Y141" s="72"/>
      <c r="Z141" s="72"/>
      <c r="AB141" s="73"/>
      <c r="AC141" s="73"/>
      <c r="AD141" s="73"/>
      <c r="AE141" s="73"/>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row>
    <row r="142" spans="3:54">
      <c r="C142" s="74"/>
      <c r="Q142" s="72"/>
      <c r="R142" s="72"/>
      <c r="S142" s="72"/>
      <c r="T142" s="72"/>
      <c r="U142" s="72"/>
      <c r="V142" s="72"/>
      <c r="X142" s="72"/>
      <c r="Y142" s="72"/>
      <c r="Z142" s="72"/>
      <c r="AB142" s="73"/>
      <c r="AC142" s="73"/>
      <c r="AD142" s="73"/>
      <c r="AE142" s="73"/>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row>
    <row r="143" spans="3:54">
      <c r="C143" s="74"/>
      <c r="Q143" s="72"/>
      <c r="R143" s="72"/>
      <c r="S143" s="72"/>
      <c r="T143" s="72"/>
      <c r="U143" s="72"/>
      <c r="V143" s="72"/>
      <c r="X143" s="72"/>
      <c r="Y143" s="72"/>
      <c r="Z143" s="72"/>
      <c r="AB143" s="73"/>
      <c r="AC143" s="73"/>
      <c r="AD143" s="73"/>
      <c r="AE143" s="73"/>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row>
    <row r="144" spans="3:54">
      <c r="C144" s="74"/>
      <c r="Q144" s="72"/>
      <c r="R144" s="72"/>
      <c r="S144" s="72"/>
      <c r="T144" s="72"/>
      <c r="U144" s="72"/>
      <c r="V144" s="72"/>
      <c r="X144" s="72"/>
      <c r="Y144" s="72"/>
      <c r="Z144" s="72"/>
      <c r="AB144" s="73"/>
      <c r="AC144" s="73"/>
      <c r="AD144" s="73"/>
      <c r="AE144" s="73"/>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row>
    <row r="145" spans="3:54">
      <c r="C145" s="74"/>
      <c r="Q145" s="72"/>
      <c r="R145" s="72"/>
      <c r="S145" s="72"/>
      <c r="T145" s="72"/>
      <c r="U145" s="72"/>
      <c r="V145" s="72"/>
      <c r="X145" s="72"/>
      <c r="Y145" s="72"/>
      <c r="Z145" s="72"/>
      <c r="AB145" s="73"/>
      <c r="AC145" s="73"/>
      <c r="AD145" s="73"/>
      <c r="AE145" s="73"/>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row>
    <row r="146" spans="3:54">
      <c r="C146" s="74"/>
      <c r="Q146" s="72"/>
      <c r="R146" s="72"/>
      <c r="S146" s="72"/>
      <c r="T146" s="72"/>
      <c r="U146" s="72"/>
      <c r="V146" s="72"/>
      <c r="X146" s="72"/>
      <c r="Y146" s="72"/>
      <c r="Z146" s="72"/>
      <c r="AB146" s="73"/>
      <c r="AC146" s="73"/>
      <c r="AD146" s="73"/>
      <c r="AE146" s="73"/>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row>
    <row r="147" spans="3:54">
      <c r="C147" s="74"/>
      <c r="Q147" s="72"/>
      <c r="R147" s="72"/>
      <c r="S147" s="72"/>
      <c r="T147" s="72"/>
      <c r="U147" s="72"/>
      <c r="V147" s="72"/>
      <c r="X147" s="72"/>
      <c r="Y147" s="72"/>
      <c r="Z147" s="72"/>
      <c r="AB147" s="73"/>
      <c r="AC147" s="73"/>
      <c r="AD147" s="73"/>
      <c r="AE147" s="73"/>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row>
    <row r="148" spans="3:54">
      <c r="C148" s="74"/>
      <c r="Q148" s="72"/>
      <c r="R148" s="72"/>
      <c r="S148" s="72"/>
      <c r="T148" s="72"/>
      <c r="U148" s="72"/>
      <c r="V148" s="72"/>
      <c r="X148" s="72"/>
      <c r="Y148" s="72"/>
      <c r="Z148" s="72"/>
      <c r="AB148" s="73"/>
      <c r="AC148" s="73"/>
      <c r="AD148" s="73"/>
      <c r="AE148" s="73"/>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row>
    <row r="149" spans="3:54">
      <c r="C149" s="74"/>
      <c r="Q149" s="72"/>
      <c r="R149" s="72"/>
      <c r="S149" s="72"/>
      <c r="T149" s="72"/>
      <c r="U149" s="72"/>
      <c r="V149" s="72"/>
      <c r="X149" s="72"/>
      <c r="Y149" s="72"/>
      <c r="Z149" s="72"/>
      <c r="AB149" s="73"/>
      <c r="AC149" s="73"/>
      <c r="AD149" s="73"/>
      <c r="AE149" s="73"/>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row>
    <row r="150" spans="3:54">
      <c r="C150" s="74"/>
      <c r="Q150" s="72"/>
      <c r="R150" s="72"/>
      <c r="S150" s="72"/>
      <c r="T150" s="72"/>
      <c r="U150" s="72"/>
      <c r="V150" s="72"/>
      <c r="X150" s="72"/>
      <c r="Y150" s="72"/>
      <c r="Z150" s="72"/>
      <c r="AB150" s="73"/>
      <c r="AC150" s="73"/>
      <c r="AD150" s="73"/>
      <c r="AE150" s="73"/>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row>
    <row r="151" spans="3:54">
      <c r="C151" s="74"/>
      <c r="Q151" s="72"/>
      <c r="R151" s="72"/>
      <c r="S151" s="72"/>
      <c r="T151" s="72"/>
      <c r="U151" s="72"/>
      <c r="V151" s="72"/>
      <c r="X151" s="72"/>
      <c r="Y151" s="72"/>
      <c r="Z151" s="72"/>
      <c r="AB151" s="73"/>
      <c r="AC151" s="73"/>
      <c r="AD151" s="73"/>
      <c r="AE151" s="73"/>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row>
    <row r="152" spans="3:54">
      <c r="C152" s="74"/>
      <c r="Q152" s="72"/>
      <c r="R152" s="72"/>
      <c r="S152" s="72"/>
      <c r="T152" s="72"/>
      <c r="U152" s="72"/>
      <c r="V152" s="72"/>
      <c r="X152" s="72"/>
      <c r="Y152" s="72"/>
      <c r="Z152" s="72"/>
      <c r="AB152" s="73"/>
      <c r="AC152" s="73"/>
      <c r="AD152" s="73"/>
      <c r="AE152" s="73"/>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row>
    <row r="153" spans="3:54">
      <c r="C153" s="74"/>
      <c r="Q153" s="72"/>
      <c r="R153" s="72"/>
      <c r="S153" s="72"/>
      <c r="T153" s="72"/>
      <c r="U153" s="72"/>
      <c r="V153" s="72"/>
      <c r="X153" s="72"/>
      <c r="Y153" s="72"/>
      <c r="Z153" s="72"/>
      <c r="AB153" s="73"/>
      <c r="AC153" s="73"/>
      <c r="AD153" s="73"/>
      <c r="AE153" s="73"/>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row>
    <row r="154" spans="3:54">
      <c r="C154" s="74"/>
      <c r="Q154" s="72"/>
      <c r="R154" s="72"/>
      <c r="S154" s="72"/>
      <c r="T154" s="72"/>
      <c r="U154" s="72"/>
      <c r="V154" s="72"/>
      <c r="X154" s="72"/>
      <c r="Y154" s="72"/>
      <c r="Z154" s="72"/>
      <c r="AB154" s="73"/>
      <c r="AC154" s="73"/>
      <c r="AD154" s="73"/>
      <c r="AE154" s="73"/>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row>
    <row r="155" spans="3:54">
      <c r="C155" s="74"/>
      <c r="Q155" s="72"/>
      <c r="R155" s="72"/>
      <c r="S155" s="72"/>
      <c r="T155" s="72"/>
      <c r="U155" s="72"/>
      <c r="V155" s="72"/>
      <c r="X155" s="72"/>
      <c r="Y155" s="72"/>
      <c r="Z155" s="72"/>
      <c r="AB155" s="73"/>
      <c r="AC155" s="73"/>
      <c r="AD155" s="73"/>
      <c r="AE155" s="73"/>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row>
    <row r="156" spans="3:54">
      <c r="C156" s="74"/>
      <c r="Q156" s="72"/>
      <c r="R156" s="72"/>
      <c r="S156" s="72"/>
      <c r="T156" s="72"/>
      <c r="U156" s="72"/>
      <c r="V156" s="72"/>
      <c r="X156" s="72"/>
      <c r="Y156" s="72"/>
      <c r="Z156" s="72"/>
      <c r="AB156" s="73"/>
      <c r="AC156" s="73"/>
      <c r="AD156" s="73"/>
      <c r="AE156" s="73"/>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row>
    <row r="157" spans="3:54">
      <c r="C157" s="74"/>
      <c r="Q157" s="72"/>
      <c r="R157" s="72"/>
      <c r="S157" s="72"/>
      <c r="T157" s="72"/>
      <c r="U157" s="72"/>
      <c r="V157" s="72"/>
      <c r="X157" s="72"/>
      <c r="Y157" s="72"/>
      <c r="Z157" s="72"/>
      <c r="AB157" s="73"/>
      <c r="AC157" s="73"/>
      <c r="AD157" s="73"/>
      <c r="AE157" s="73"/>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row>
    <row r="158" spans="3:54">
      <c r="C158" s="74"/>
      <c r="AB158" s="73"/>
      <c r="AC158" s="73"/>
      <c r="AD158" s="73"/>
      <c r="AE158" s="73"/>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row>
    <row r="159" spans="3:54">
      <c r="C159" s="74"/>
      <c r="AB159" s="73"/>
      <c r="AC159" s="73"/>
      <c r="AD159" s="73"/>
      <c r="AE159" s="73"/>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row>
    <row r="160" spans="3:54">
      <c r="C160" s="74"/>
      <c r="Q160" s="72"/>
      <c r="R160" s="72"/>
      <c r="S160" s="72"/>
      <c r="T160" s="72"/>
      <c r="U160" s="72"/>
      <c r="V160" s="72"/>
      <c r="W160" s="72"/>
      <c r="X160" s="72"/>
      <c r="Y160" s="72"/>
      <c r="Z160" s="72"/>
      <c r="AA160" s="72"/>
      <c r="AB160" s="73"/>
      <c r="AC160" s="73"/>
      <c r="AD160" s="73"/>
      <c r="AE160" s="73"/>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row>
    <row r="161" spans="3:54">
      <c r="C161" s="74"/>
      <c r="Q161" s="72"/>
      <c r="R161" s="72"/>
      <c r="S161" s="72"/>
      <c r="T161" s="72"/>
      <c r="U161" s="72"/>
      <c r="V161" s="72"/>
      <c r="W161" s="72"/>
      <c r="X161" s="72"/>
      <c r="Y161" s="72"/>
      <c r="Z161" s="72"/>
      <c r="AA161" s="72"/>
      <c r="AB161" s="73"/>
      <c r="AC161" s="73"/>
      <c r="AD161" s="73"/>
      <c r="AE161" s="73"/>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row>
    <row r="162" spans="3:54">
      <c r="C162" s="74"/>
      <c r="Q162" s="72"/>
      <c r="R162" s="72"/>
      <c r="S162" s="72"/>
      <c r="T162" s="72"/>
      <c r="U162" s="72"/>
      <c r="V162" s="72"/>
      <c r="W162" s="72"/>
      <c r="X162" s="72"/>
      <c r="Y162" s="72"/>
      <c r="Z162" s="72"/>
      <c r="AA162" s="72"/>
      <c r="AB162" s="73"/>
      <c r="AC162" s="73"/>
      <c r="AD162" s="73"/>
      <c r="AE162" s="73"/>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row>
    <row r="163" spans="3:54">
      <c r="C163" s="74"/>
      <c r="Q163" s="72"/>
      <c r="R163" s="72"/>
      <c r="S163" s="72"/>
      <c r="T163" s="72"/>
      <c r="U163" s="72"/>
      <c r="V163" s="72"/>
      <c r="W163" s="72"/>
      <c r="X163" s="72"/>
      <c r="Y163" s="72"/>
      <c r="Z163" s="72"/>
      <c r="AA163" s="72"/>
      <c r="AB163" s="73"/>
      <c r="AC163" s="73"/>
      <c r="AD163" s="73"/>
      <c r="AE163" s="73"/>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row>
    <row r="164" spans="3:54">
      <c r="C164" s="74"/>
      <c r="Q164" s="72"/>
      <c r="R164" s="72"/>
      <c r="S164" s="72"/>
      <c r="T164" s="72"/>
      <c r="U164" s="72"/>
      <c r="V164" s="72"/>
      <c r="W164" s="72"/>
      <c r="X164" s="72"/>
      <c r="Y164" s="72"/>
      <c r="Z164" s="72"/>
      <c r="AA164" s="72"/>
      <c r="AB164" s="73"/>
      <c r="AC164" s="73"/>
      <c r="AD164" s="73"/>
      <c r="AE164" s="73"/>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row>
    <row r="165" spans="3:54">
      <c r="C165" s="74"/>
      <c r="Q165" s="72"/>
      <c r="R165" s="72"/>
      <c r="S165" s="72"/>
      <c r="T165" s="72"/>
      <c r="U165" s="72"/>
      <c r="V165" s="72"/>
      <c r="X165" s="72"/>
      <c r="Y165" s="72"/>
      <c r="Z165" s="72"/>
      <c r="AB165" s="73"/>
      <c r="AC165" s="73"/>
      <c r="AD165" s="73"/>
      <c r="AE165" s="73"/>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row>
    <row r="166" spans="3:54">
      <c r="C166" s="74"/>
      <c r="Q166" s="72"/>
      <c r="R166" s="72"/>
      <c r="S166" s="72"/>
      <c r="T166" s="72"/>
      <c r="U166" s="72"/>
      <c r="V166" s="72"/>
      <c r="X166" s="72"/>
      <c r="Y166" s="72"/>
      <c r="Z166" s="72"/>
      <c r="AB166" s="73"/>
      <c r="AC166" s="73"/>
      <c r="AD166" s="73"/>
      <c r="AE166" s="73"/>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row>
    <row r="167" spans="3:54">
      <c r="C167" s="74"/>
      <c r="AB167" s="73"/>
      <c r="AC167" s="73"/>
      <c r="AD167" s="73"/>
      <c r="AE167" s="73"/>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row>
    <row r="168" spans="3:54">
      <c r="C168" s="74"/>
      <c r="D168" s="298"/>
      <c r="AB168" s="73"/>
      <c r="AC168" s="73"/>
      <c r="AD168" s="73"/>
      <c r="AE168" s="73"/>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row>
    <row r="169" spans="3:54">
      <c r="C169" s="74"/>
      <c r="D169" s="298"/>
      <c r="AB169" s="73"/>
      <c r="AC169" s="73"/>
      <c r="AD169" s="73"/>
      <c r="AE169" s="73"/>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row>
    <row r="170" spans="3:54">
      <c r="C170" s="74"/>
      <c r="D170" s="298"/>
      <c r="Q170" s="72"/>
      <c r="R170" s="72"/>
      <c r="S170" s="72"/>
      <c r="T170" s="72"/>
      <c r="U170" s="72"/>
      <c r="V170" s="72"/>
      <c r="W170" s="72"/>
      <c r="X170" s="72"/>
      <c r="Y170" s="72"/>
      <c r="Z170" s="72"/>
      <c r="AA170" s="72"/>
      <c r="AB170" s="73"/>
      <c r="AC170" s="73"/>
      <c r="AD170" s="73"/>
      <c r="AE170" s="73"/>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row>
    <row r="171" spans="3:54">
      <c r="C171" s="74"/>
      <c r="D171" s="298"/>
      <c r="Q171" s="72"/>
      <c r="R171" s="72"/>
      <c r="S171" s="72"/>
      <c r="T171" s="72"/>
      <c r="U171" s="72"/>
      <c r="V171" s="72"/>
      <c r="W171" s="72"/>
      <c r="X171" s="72"/>
      <c r="Y171" s="72"/>
      <c r="Z171" s="72"/>
      <c r="AA171" s="72"/>
      <c r="AB171" s="73"/>
      <c r="AC171" s="73"/>
      <c r="AD171" s="73"/>
      <c r="AE171" s="73"/>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row>
    <row r="172" spans="3:54">
      <c r="C172" s="74"/>
      <c r="D172" s="298"/>
      <c r="Q172" s="72"/>
      <c r="R172" s="72"/>
      <c r="S172" s="72"/>
      <c r="T172" s="72"/>
      <c r="U172" s="72"/>
      <c r="V172" s="72"/>
      <c r="W172" s="72"/>
      <c r="X172" s="72"/>
      <c r="Y172" s="72"/>
      <c r="Z172" s="72"/>
      <c r="AA172" s="72"/>
      <c r="AB172" s="73"/>
      <c r="AC172" s="73"/>
      <c r="AD172" s="73"/>
      <c r="AE172" s="73"/>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row>
    <row r="173" spans="3:54">
      <c r="C173" s="74"/>
      <c r="Q173" s="72"/>
      <c r="R173" s="72"/>
      <c r="S173" s="72"/>
      <c r="T173" s="72"/>
      <c r="U173" s="72"/>
      <c r="V173" s="72"/>
      <c r="W173" s="72"/>
      <c r="X173" s="72"/>
      <c r="Y173" s="72"/>
      <c r="Z173" s="72"/>
      <c r="AA173" s="72"/>
      <c r="AB173" s="73"/>
      <c r="AC173" s="73"/>
      <c r="AD173" s="73"/>
      <c r="AE173" s="73"/>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row>
    <row r="174" spans="3:54">
      <c r="C174" s="74"/>
      <c r="Q174" s="72"/>
      <c r="R174" s="72"/>
      <c r="S174" s="72"/>
      <c r="T174" s="72"/>
      <c r="U174" s="72"/>
      <c r="V174" s="72"/>
      <c r="W174" s="72"/>
      <c r="X174" s="72"/>
      <c r="Y174" s="72"/>
      <c r="Z174" s="72"/>
      <c r="AA174" s="72"/>
      <c r="AB174" s="73"/>
      <c r="AC174" s="73"/>
      <c r="AD174" s="73"/>
      <c r="AE174" s="73"/>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row>
    <row r="175" spans="3:54">
      <c r="C175" s="74"/>
      <c r="Q175" s="72"/>
      <c r="R175" s="72"/>
      <c r="S175" s="72"/>
      <c r="T175" s="72"/>
      <c r="U175" s="72"/>
      <c r="V175" s="72"/>
      <c r="W175" s="72"/>
      <c r="X175" s="72"/>
      <c r="Y175" s="72"/>
      <c r="Z175" s="72"/>
      <c r="AA175" s="72"/>
      <c r="AB175" s="73"/>
      <c r="AC175" s="73"/>
      <c r="AD175" s="73"/>
      <c r="AE175" s="73"/>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row>
    <row r="176" spans="3:54">
      <c r="C176" s="74"/>
      <c r="Q176" s="72"/>
      <c r="R176" s="72"/>
      <c r="S176" s="72"/>
      <c r="T176" s="72"/>
      <c r="U176" s="72"/>
      <c r="V176" s="72"/>
      <c r="W176" s="72"/>
      <c r="X176" s="72"/>
      <c r="Y176" s="72"/>
      <c r="Z176" s="72"/>
      <c r="AB176" s="73"/>
      <c r="AC176" s="73"/>
      <c r="AD176" s="73"/>
      <c r="AE176" s="73"/>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row>
    <row r="177" spans="3:54">
      <c r="C177" s="74"/>
      <c r="Q177" s="72"/>
      <c r="R177" s="72"/>
      <c r="S177" s="72"/>
      <c r="T177" s="72"/>
      <c r="U177" s="72"/>
      <c r="V177" s="72"/>
      <c r="W177" s="72"/>
      <c r="X177" s="72"/>
      <c r="Y177" s="72"/>
      <c r="Z177" s="72"/>
      <c r="AA177" s="72"/>
      <c r="AB177" s="73"/>
      <c r="AC177" s="73"/>
      <c r="AD177" s="73"/>
      <c r="AE177" s="73"/>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row>
    <row r="178" spans="3:54">
      <c r="C178" s="74"/>
      <c r="Q178" s="72"/>
      <c r="R178" s="72"/>
      <c r="S178" s="72"/>
      <c r="T178" s="72"/>
      <c r="U178" s="72"/>
      <c r="V178" s="72"/>
      <c r="W178" s="72"/>
      <c r="X178" s="72"/>
      <c r="Y178" s="72"/>
      <c r="Z178" s="72"/>
      <c r="AA178" s="72"/>
      <c r="AB178" s="73"/>
      <c r="AC178" s="73"/>
      <c r="AD178" s="73"/>
      <c r="AE178" s="73"/>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row>
    <row r="179" spans="3:54">
      <c r="C179" s="74"/>
      <c r="Q179" s="72"/>
      <c r="R179" s="72"/>
      <c r="S179" s="72"/>
      <c r="T179" s="72"/>
      <c r="U179" s="72"/>
      <c r="V179" s="72"/>
      <c r="W179" s="72"/>
      <c r="X179" s="72"/>
      <c r="Y179" s="72"/>
      <c r="Z179" s="72"/>
      <c r="AA179" s="72"/>
      <c r="AB179" s="73"/>
      <c r="AC179" s="73"/>
      <c r="AD179" s="73"/>
      <c r="AE179" s="73"/>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row>
    <row r="180" spans="3:54">
      <c r="C180" s="74"/>
      <c r="Q180" s="72"/>
      <c r="R180" s="72"/>
      <c r="S180" s="72"/>
      <c r="T180" s="72"/>
      <c r="U180" s="72"/>
      <c r="V180" s="72"/>
      <c r="W180" s="72"/>
      <c r="X180" s="72"/>
      <c r="Y180" s="72"/>
      <c r="Z180" s="72"/>
      <c r="AA180" s="72"/>
      <c r="AB180" s="73"/>
      <c r="AC180" s="73"/>
      <c r="AD180" s="73"/>
      <c r="AE180" s="73"/>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row>
    <row r="181" spans="3:54">
      <c r="C181" s="74"/>
      <c r="Q181" s="72"/>
      <c r="R181" s="72"/>
      <c r="S181" s="72"/>
      <c r="T181" s="72"/>
      <c r="U181" s="72"/>
      <c r="V181" s="72"/>
      <c r="W181" s="72"/>
      <c r="X181" s="72"/>
      <c r="Y181" s="72"/>
      <c r="Z181" s="72"/>
      <c r="AA181" s="72"/>
      <c r="AB181" s="73"/>
      <c r="AC181" s="73"/>
      <c r="AD181" s="73"/>
      <c r="AE181" s="73"/>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row>
    <row r="182" spans="3:54">
      <c r="C182" s="74"/>
      <c r="Q182" s="72"/>
      <c r="R182" s="72"/>
      <c r="S182" s="72"/>
      <c r="T182" s="72"/>
      <c r="U182" s="72"/>
      <c r="V182" s="72"/>
      <c r="W182" s="72"/>
      <c r="X182" s="72"/>
      <c r="Y182" s="72"/>
      <c r="Z182" s="72"/>
      <c r="AA182" s="72"/>
      <c r="AB182" s="73"/>
      <c r="AC182" s="73"/>
      <c r="AD182" s="73"/>
      <c r="AE182" s="73"/>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row>
    <row r="183" spans="3:54">
      <c r="C183" s="74"/>
      <c r="Q183" s="72"/>
      <c r="R183" s="72"/>
      <c r="S183" s="72"/>
      <c r="T183" s="72"/>
      <c r="U183" s="72"/>
      <c r="V183" s="72"/>
      <c r="W183" s="72"/>
      <c r="X183" s="72"/>
      <c r="Y183" s="72"/>
      <c r="Z183" s="72"/>
      <c r="AA183" s="72"/>
      <c r="AB183" s="73"/>
      <c r="AC183" s="73"/>
      <c r="AD183" s="73"/>
      <c r="AE183" s="73"/>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row>
    <row r="184" spans="3:54">
      <c r="C184" s="74"/>
      <c r="Q184" s="72"/>
      <c r="R184" s="72"/>
      <c r="S184" s="72"/>
      <c r="T184" s="72"/>
      <c r="U184" s="72"/>
      <c r="V184" s="72"/>
      <c r="W184" s="72"/>
      <c r="X184" s="72"/>
      <c r="Y184" s="72"/>
      <c r="Z184" s="72"/>
      <c r="AA184" s="72"/>
      <c r="AB184" s="73"/>
      <c r="AC184" s="73"/>
      <c r="AD184" s="73"/>
      <c r="AE184" s="73"/>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row>
    <row r="185" spans="3:54">
      <c r="C185" s="74"/>
      <c r="Q185" s="72"/>
      <c r="R185" s="72"/>
      <c r="S185" s="72"/>
      <c r="T185" s="72"/>
      <c r="U185" s="72"/>
      <c r="V185" s="72"/>
      <c r="W185" s="72"/>
      <c r="X185" s="72"/>
      <c r="Y185" s="72"/>
      <c r="Z185" s="72"/>
      <c r="AA185" s="72"/>
      <c r="AB185" s="73"/>
      <c r="AC185" s="73"/>
      <c r="AD185" s="73"/>
      <c r="AE185" s="73"/>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row>
    <row r="186" spans="3:54">
      <c r="C186" s="74"/>
      <c r="Q186" s="72"/>
      <c r="R186" s="72"/>
      <c r="S186" s="72"/>
      <c r="T186" s="72"/>
      <c r="U186" s="72"/>
      <c r="V186" s="72"/>
      <c r="W186" s="72"/>
      <c r="X186" s="72"/>
      <c r="Y186" s="72"/>
      <c r="Z186" s="72"/>
      <c r="AA186" s="72"/>
      <c r="AB186" s="73"/>
      <c r="AC186" s="73"/>
      <c r="AD186" s="73"/>
      <c r="AE186" s="73"/>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row>
    <row r="187" spans="3:54">
      <c r="C187" s="74"/>
      <c r="Q187" s="72"/>
      <c r="R187" s="72"/>
      <c r="S187" s="72"/>
      <c r="T187" s="72"/>
      <c r="U187" s="72"/>
      <c r="V187" s="72"/>
      <c r="W187" s="72"/>
      <c r="X187" s="72"/>
      <c r="Y187" s="72"/>
      <c r="Z187" s="72"/>
      <c r="AA187" s="72"/>
      <c r="AB187" s="73"/>
      <c r="AC187" s="73"/>
      <c r="AD187" s="73"/>
      <c r="AE187" s="73"/>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row>
    <row r="188" spans="3:54">
      <c r="C188" s="74"/>
      <c r="Q188" s="72"/>
      <c r="R188" s="72"/>
      <c r="S188" s="72"/>
      <c r="T188" s="72"/>
      <c r="U188" s="72"/>
      <c r="V188" s="72"/>
      <c r="W188" s="72"/>
      <c r="X188" s="72"/>
      <c r="Y188" s="72"/>
      <c r="Z188" s="72"/>
      <c r="AA188" s="72"/>
      <c r="AB188" s="73"/>
      <c r="AC188" s="73"/>
      <c r="AD188" s="73"/>
      <c r="AE188" s="73"/>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row>
    <row r="189" spans="3:54">
      <c r="C189" s="74"/>
      <c r="Q189" s="72"/>
      <c r="R189" s="72"/>
      <c r="S189" s="72"/>
      <c r="T189" s="72"/>
      <c r="U189" s="72"/>
      <c r="V189" s="72"/>
      <c r="W189" s="72"/>
      <c r="X189" s="72"/>
      <c r="Y189" s="72"/>
      <c r="Z189" s="72"/>
      <c r="AA189" s="72"/>
      <c r="AB189" s="73"/>
      <c r="AC189" s="73"/>
      <c r="AD189" s="73"/>
      <c r="AE189" s="73"/>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row>
    <row r="190" spans="3:54">
      <c r="C190" s="74"/>
      <c r="Q190" s="72"/>
      <c r="R190" s="72"/>
      <c r="S190" s="72"/>
      <c r="T190" s="72"/>
      <c r="U190" s="72"/>
      <c r="V190" s="72"/>
      <c r="W190" s="72"/>
      <c r="X190" s="72"/>
      <c r="Y190" s="72"/>
      <c r="Z190" s="72"/>
      <c r="AA190" s="72"/>
      <c r="AB190" s="73"/>
      <c r="AC190" s="73"/>
      <c r="AD190" s="73"/>
      <c r="AE190" s="73"/>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row>
    <row r="191" spans="3:54">
      <c r="C191" s="74"/>
      <c r="Q191" s="72"/>
      <c r="R191" s="72"/>
      <c r="S191" s="72"/>
      <c r="T191" s="72"/>
      <c r="U191" s="72"/>
      <c r="V191" s="72"/>
      <c r="W191" s="72"/>
      <c r="X191" s="72"/>
      <c r="Y191" s="72"/>
      <c r="Z191" s="72"/>
      <c r="AA191" s="72"/>
      <c r="AB191" s="73"/>
      <c r="AC191" s="73"/>
      <c r="AD191" s="73"/>
      <c r="AE191" s="73"/>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row>
    <row r="192" spans="3:54">
      <c r="C192" s="74"/>
      <c r="Q192" s="72"/>
      <c r="R192" s="72"/>
      <c r="S192" s="72"/>
      <c r="T192" s="72"/>
      <c r="U192" s="72"/>
      <c r="V192" s="72"/>
      <c r="W192" s="72"/>
      <c r="X192" s="72"/>
      <c r="Y192" s="72"/>
      <c r="Z192" s="72"/>
      <c r="AA192" s="72"/>
      <c r="AB192" s="73"/>
      <c r="AC192" s="73"/>
      <c r="AD192" s="73"/>
      <c r="AE192" s="73"/>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row>
    <row r="193" spans="3:54">
      <c r="C193" s="74"/>
      <c r="Q193" s="72"/>
      <c r="R193" s="72"/>
      <c r="S193" s="72"/>
      <c r="T193" s="72"/>
      <c r="U193" s="72"/>
      <c r="V193" s="72"/>
      <c r="W193" s="72"/>
      <c r="X193" s="72"/>
      <c r="Y193" s="72"/>
      <c r="Z193" s="72"/>
      <c r="AA193" s="72"/>
      <c r="AB193" s="73"/>
      <c r="AC193" s="73"/>
      <c r="AD193" s="73"/>
      <c r="AE193" s="73"/>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row>
    <row r="194" spans="3:54">
      <c r="C194" s="74"/>
      <c r="Q194" s="72"/>
      <c r="R194" s="72"/>
      <c r="S194" s="72"/>
      <c r="T194" s="72"/>
      <c r="U194" s="72"/>
      <c r="V194" s="72"/>
      <c r="W194" s="72"/>
      <c r="X194" s="72"/>
      <c r="Y194" s="72"/>
      <c r="Z194" s="72"/>
      <c r="AA194" s="72"/>
      <c r="AB194" s="73"/>
      <c r="AC194" s="73"/>
      <c r="AD194" s="73"/>
      <c r="AE194" s="73"/>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row>
    <row r="195" spans="3:54">
      <c r="C195" s="74"/>
      <c r="Q195" s="72"/>
      <c r="R195" s="72"/>
      <c r="S195" s="72"/>
      <c r="T195" s="72"/>
      <c r="U195" s="72"/>
      <c r="V195" s="72"/>
      <c r="W195" s="72"/>
      <c r="X195" s="72"/>
      <c r="Y195" s="72"/>
      <c r="Z195" s="72"/>
      <c r="AA195" s="72"/>
      <c r="AB195" s="73"/>
      <c r="AC195" s="73"/>
      <c r="AD195" s="73"/>
      <c r="AE195" s="73"/>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row>
    <row r="196" spans="3:54">
      <c r="C196" s="74"/>
      <c r="Q196" s="72"/>
      <c r="R196" s="72"/>
      <c r="S196" s="72"/>
      <c r="T196" s="72"/>
      <c r="U196" s="72"/>
      <c r="V196" s="72"/>
      <c r="W196" s="72"/>
      <c r="X196" s="72"/>
      <c r="Y196" s="72"/>
      <c r="Z196" s="72"/>
      <c r="AA196" s="72"/>
      <c r="AB196" s="73"/>
      <c r="AC196" s="73"/>
      <c r="AD196" s="73"/>
      <c r="AE196" s="73"/>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row>
    <row r="197" spans="3:54">
      <c r="C197" s="74"/>
      <c r="Q197" s="72"/>
      <c r="R197" s="72"/>
      <c r="S197" s="72"/>
      <c r="T197" s="72"/>
      <c r="U197" s="72"/>
      <c r="V197" s="72"/>
      <c r="W197" s="72"/>
      <c r="X197" s="72"/>
      <c r="Y197" s="72"/>
      <c r="Z197" s="72"/>
      <c r="AA197" s="72"/>
      <c r="AB197" s="73"/>
      <c r="AC197" s="73"/>
      <c r="AD197" s="73"/>
      <c r="AE197" s="73"/>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row>
    <row r="198" spans="3:54">
      <c r="C198" s="74"/>
      <c r="Q198" s="72"/>
      <c r="R198" s="72"/>
      <c r="S198" s="72"/>
      <c r="T198" s="72"/>
      <c r="U198" s="72"/>
      <c r="V198" s="72"/>
      <c r="W198" s="72"/>
      <c r="X198" s="72"/>
      <c r="Y198" s="72"/>
      <c r="Z198" s="72"/>
      <c r="AA198" s="72"/>
      <c r="AB198" s="73"/>
      <c r="AC198" s="73"/>
      <c r="AD198" s="73"/>
      <c r="AE198" s="73"/>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row>
    <row r="199" spans="3:54">
      <c r="C199" s="74"/>
      <c r="Q199" s="72"/>
      <c r="R199" s="72"/>
      <c r="S199" s="72"/>
      <c r="T199" s="72"/>
      <c r="U199" s="72"/>
      <c r="V199" s="72"/>
      <c r="W199" s="72"/>
      <c r="X199" s="72"/>
      <c r="Y199" s="72"/>
      <c r="Z199" s="72"/>
      <c r="AA199" s="72"/>
      <c r="AB199" s="73"/>
      <c r="AC199" s="73"/>
      <c r="AD199" s="73"/>
      <c r="AE199" s="73"/>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row>
    <row r="200" spans="3:54">
      <c r="C200" s="74"/>
      <c r="Q200" s="72"/>
      <c r="R200" s="72"/>
      <c r="S200" s="72"/>
      <c r="T200" s="72"/>
      <c r="U200" s="72"/>
      <c r="V200" s="72"/>
      <c r="W200" s="72"/>
      <c r="X200" s="72"/>
      <c r="Y200" s="72"/>
      <c r="Z200" s="72"/>
      <c r="AA200" s="72"/>
      <c r="AB200" s="73"/>
      <c r="AC200" s="73"/>
      <c r="AD200" s="73"/>
      <c r="AE200" s="73"/>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row>
    <row r="201" spans="3:54">
      <c r="C201" s="74"/>
      <c r="Q201" s="72"/>
      <c r="R201" s="72"/>
      <c r="S201" s="72"/>
      <c r="T201" s="72"/>
      <c r="U201" s="72"/>
      <c r="V201" s="72"/>
      <c r="W201" s="72"/>
      <c r="X201" s="72"/>
      <c r="Y201" s="72"/>
      <c r="Z201" s="72"/>
      <c r="AA201" s="72"/>
      <c r="AB201" s="73"/>
      <c r="AC201" s="73"/>
      <c r="AD201" s="73"/>
      <c r="AE201" s="73"/>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row>
    <row r="202" spans="3:54">
      <c r="C202" s="74"/>
      <c r="Q202" s="72"/>
      <c r="R202" s="72"/>
      <c r="S202" s="72"/>
      <c r="T202" s="72"/>
      <c r="U202" s="72"/>
      <c r="V202" s="72"/>
      <c r="W202" s="72"/>
      <c r="X202" s="72"/>
      <c r="Y202" s="72"/>
      <c r="Z202" s="72"/>
      <c r="AA202" s="72"/>
      <c r="AB202" s="73"/>
      <c r="AC202" s="73"/>
      <c r="AD202" s="73"/>
      <c r="AE202" s="73"/>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row>
    <row r="203" spans="3:54">
      <c r="C203" s="74"/>
      <c r="Q203" s="72"/>
      <c r="R203" s="72"/>
      <c r="S203" s="72"/>
      <c r="T203" s="72"/>
      <c r="U203" s="72"/>
      <c r="V203" s="72"/>
      <c r="W203" s="72"/>
      <c r="X203" s="72"/>
      <c r="Y203" s="72"/>
      <c r="Z203" s="72"/>
      <c r="AA203" s="72"/>
      <c r="AB203" s="73"/>
      <c r="AC203" s="73"/>
      <c r="AD203" s="73"/>
      <c r="AE203" s="73"/>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row>
    <row r="204" spans="3:54">
      <c r="C204" s="74"/>
      <c r="Q204" s="72"/>
      <c r="R204" s="72"/>
      <c r="S204" s="72"/>
      <c r="T204" s="72"/>
      <c r="U204" s="72"/>
      <c r="V204" s="72"/>
      <c r="W204" s="72"/>
      <c r="X204" s="72"/>
      <c r="Y204" s="72"/>
      <c r="Z204" s="72"/>
      <c r="AA204" s="72"/>
      <c r="AB204" s="73"/>
      <c r="AC204" s="73"/>
      <c r="AD204" s="73"/>
      <c r="AE204" s="73"/>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row>
    <row r="205" spans="3:54">
      <c r="C205" s="74"/>
      <c r="Q205" s="72"/>
      <c r="R205" s="72"/>
      <c r="S205" s="72"/>
      <c r="T205" s="72"/>
      <c r="U205" s="72"/>
      <c r="V205" s="72"/>
      <c r="W205" s="72"/>
      <c r="X205" s="72"/>
      <c r="Y205" s="72"/>
      <c r="Z205" s="72"/>
      <c r="AA205" s="72"/>
      <c r="AB205" s="73"/>
      <c r="AC205" s="73"/>
      <c r="AD205" s="73"/>
      <c r="AE205" s="73"/>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row>
    <row r="206" spans="3:54">
      <c r="C206" s="74"/>
      <c r="Q206" s="72"/>
      <c r="R206" s="72"/>
      <c r="S206" s="72"/>
      <c r="T206" s="72"/>
      <c r="U206" s="72"/>
      <c r="V206" s="72"/>
      <c r="W206" s="72"/>
      <c r="X206" s="72"/>
      <c r="Y206" s="72"/>
      <c r="Z206" s="72"/>
      <c r="AA206" s="72"/>
      <c r="AB206" s="73"/>
      <c r="AC206" s="73"/>
      <c r="AD206" s="73"/>
      <c r="AE206" s="73"/>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row>
    <row r="207" spans="3:54">
      <c r="C207" s="74"/>
      <c r="Q207" s="72"/>
      <c r="R207" s="72"/>
      <c r="S207" s="72"/>
      <c r="T207" s="72"/>
      <c r="U207" s="72"/>
      <c r="V207" s="72"/>
      <c r="W207" s="72"/>
      <c r="X207" s="72"/>
      <c r="Y207" s="72"/>
      <c r="Z207" s="72"/>
      <c r="AA207" s="72"/>
      <c r="AB207" s="73"/>
      <c r="AC207" s="73"/>
      <c r="AD207" s="73"/>
      <c r="AE207" s="73"/>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row>
    <row r="208" spans="3:54">
      <c r="C208" s="74"/>
      <c r="Q208" s="72"/>
      <c r="R208" s="72"/>
      <c r="S208" s="72"/>
      <c r="T208" s="72"/>
      <c r="U208" s="72"/>
      <c r="V208" s="72"/>
      <c r="W208" s="72"/>
      <c r="X208" s="72"/>
      <c r="Y208" s="72"/>
      <c r="Z208" s="72"/>
      <c r="AA208" s="72"/>
      <c r="AB208" s="73"/>
      <c r="AC208" s="73"/>
      <c r="AD208" s="73"/>
      <c r="AE208" s="73"/>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row>
    <row r="209" spans="3:54">
      <c r="C209" s="74"/>
      <c r="Q209" s="72"/>
      <c r="R209" s="72"/>
      <c r="S209" s="72"/>
      <c r="T209" s="72"/>
      <c r="U209" s="72"/>
      <c r="V209" s="72"/>
      <c r="W209" s="72"/>
      <c r="X209" s="72"/>
      <c r="Y209" s="72"/>
      <c r="Z209" s="72"/>
      <c r="AA209" s="72"/>
      <c r="AB209" s="73"/>
      <c r="AC209" s="73"/>
      <c r="AD209" s="73"/>
      <c r="AE209" s="73"/>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row>
    <row r="210" spans="3:54">
      <c r="C210" s="74"/>
      <c r="Q210" s="72"/>
      <c r="R210" s="72"/>
      <c r="S210" s="72"/>
      <c r="T210" s="72"/>
      <c r="U210" s="72"/>
      <c r="V210" s="72"/>
      <c r="W210" s="72"/>
      <c r="X210" s="72"/>
      <c r="Y210" s="72"/>
      <c r="Z210" s="72"/>
      <c r="AA210" s="72"/>
      <c r="AB210" s="73"/>
      <c r="AC210" s="73"/>
      <c r="AD210" s="73"/>
      <c r="AE210" s="73"/>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row>
    <row r="211" spans="3:54">
      <c r="C211" s="74"/>
      <c r="Q211" s="72"/>
      <c r="R211" s="72"/>
      <c r="S211" s="72"/>
      <c r="T211" s="72"/>
      <c r="U211" s="72"/>
      <c r="V211" s="72"/>
      <c r="W211" s="72"/>
      <c r="X211" s="72"/>
      <c r="Y211" s="72"/>
      <c r="Z211" s="72"/>
      <c r="AA211" s="72"/>
      <c r="AB211" s="73"/>
      <c r="AC211" s="73"/>
      <c r="AD211" s="73"/>
      <c r="AE211" s="73"/>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row>
    <row r="212" spans="3:54">
      <c r="C212" s="74"/>
      <c r="Q212" s="72"/>
      <c r="R212" s="72"/>
      <c r="S212" s="72"/>
      <c r="T212" s="72"/>
      <c r="U212" s="72"/>
      <c r="V212" s="72"/>
      <c r="W212" s="72"/>
      <c r="X212" s="72"/>
      <c r="Y212" s="72"/>
      <c r="Z212" s="72"/>
      <c r="AA212" s="72"/>
      <c r="AB212" s="73"/>
      <c r="AC212" s="73"/>
      <c r="AD212" s="73"/>
      <c r="AE212" s="73"/>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row>
    <row r="213" spans="3:54">
      <c r="C213" s="74"/>
      <c r="Q213" s="72"/>
      <c r="R213" s="72"/>
      <c r="S213" s="72"/>
      <c r="T213" s="72"/>
      <c r="U213" s="72"/>
      <c r="V213" s="72"/>
      <c r="W213" s="72"/>
      <c r="X213" s="72"/>
      <c r="Y213" s="72"/>
      <c r="Z213" s="72"/>
      <c r="AA213" s="72"/>
      <c r="AB213" s="73"/>
      <c r="AC213" s="73"/>
      <c r="AD213" s="73"/>
      <c r="AE213" s="73"/>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row>
    <row r="214" spans="3:54">
      <c r="C214" s="74"/>
      <c r="Q214" s="72"/>
      <c r="R214" s="72"/>
      <c r="S214" s="72"/>
      <c r="T214" s="72"/>
      <c r="U214" s="72"/>
      <c r="V214" s="72"/>
      <c r="W214" s="72"/>
      <c r="X214" s="72"/>
      <c r="Y214" s="72"/>
      <c r="Z214" s="72"/>
      <c r="AA214" s="72"/>
      <c r="AB214" s="73"/>
      <c r="AC214" s="73"/>
      <c r="AD214" s="73"/>
      <c r="AE214" s="73"/>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row>
    <row r="215" spans="3:54">
      <c r="C215" s="74"/>
      <c r="Q215" s="72"/>
      <c r="R215" s="72"/>
      <c r="S215" s="72"/>
      <c r="T215" s="72"/>
      <c r="U215" s="72"/>
      <c r="V215" s="72"/>
      <c r="W215" s="72"/>
      <c r="X215" s="72"/>
      <c r="Y215" s="72"/>
      <c r="Z215" s="72"/>
      <c r="AA215" s="72"/>
      <c r="AB215" s="73"/>
      <c r="AC215" s="73"/>
      <c r="AD215" s="73"/>
      <c r="AE215" s="73"/>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row>
    <row r="216" spans="3:54">
      <c r="C216" s="74"/>
      <c r="Q216" s="72"/>
      <c r="R216" s="72"/>
      <c r="S216" s="72"/>
      <c r="T216" s="72"/>
      <c r="U216" s="72"/>
      <c r="V216" s="72"/>
      <c r="W216" s="72"/>
      <c r="X216" s="72"/>
      <c r="Y216" s="72"/>
      <c r="Z216" s="72"/>
      <c r="AA216" s="72"/>
      <c r="AB216" s="73"/>
      <c r="AC216" s="73"/>
      <c r="AD216" s="73"/>
      <c r="AE216" s="73"/>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row>
    <row r="217" spans="3:54">
      <c r="C217" s="74"/>
      <c r="Q217" s="72"/>
      <c r="R217" s="72"/>
      <c r="S217" s="72"/>
      <c r="T217" s="72"/>
      <c r="U217" s="72"/>
      <c r="V217" s="72"/>
      <c r="W217" s="72"/>
      <c r="X217" s="72"/>
      <c r="Y217" s="72"/>
      <c r="Z217" s="72"/>
      <c r="AA217" s="72"/>
      <c r="AB217" s="73"/>
      <c r="AC217" s="73"/>
      <c r="AD217" s="73"/>
      <c r="AE217" s="73"/>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row>
    <row r="218" spans="3:54">
      <c r="C218" s="74"/>
      <c r="Q218" s="72"/>
      <c r="R218" s="72"/>
      <c r="S218" s="72"/>
      <c r="T218" s="72"/>
      <c r="U218" s="72"/>
      <c r="V218" s="72"/>
      <c r="W218" s="72"/>
      <c r="X218" s="72"/>
      <c r="Y218" s="72"/>
      <c r="Z218" s="72"/>
      <c r="AA218" s="72"/>
      <c r="AB218" s="73"/>
      <c r="AC218" s="73"/>
      <c r="AD218" s="73"/>
      <c r="AE218" s="73"/>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row>
    <row r="219" spans="3:54">
      <c r="C219" s="74"/>
      <c r="Q219" s="72"/>
      <c r="R219" s="72"/>
      <c r="S219" s="72"/>
      <c r="T219" s="72"/>
      <c r="U219" s="72"/>
      <c r="V219" s="72"/>
      <c r="W219" s="72"/>
      <c r="X219" s="72"/>
      <c r="Y219" s="72"/>
      <c r="Z219" s="72"/>
      <c r="AA219" s="72"/>
      <c r="AB219" s="73"/>
      <c r="AC219" s="73"/>
      <c r="AD219" s="73"/>
      <c r="AE219" s="73"/>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row>
    <row r="220" spans="3:54">
      <c r="C220" s="74"/>
      <c r="Q220" s="72"/>
      <c r="R220" s="72"/>
      <c r="S220" s="72"/>
      <c r="T220" s="72"/>
      <c r="U220" s="72"/>
      <c r="V220" s="72"/>
      <c r="W220" s="72"/>
      <c r="X220" s="72"/>
      <c r="Y220" s="72"/>
      <c r="Z220" s="72"/>
      <c r="AA220" s="72"/>
      <c r="AB220" s="73"/>
      <c r="AC220" s="73"/>
      <c r="AD220" s="73"/>
      <c r="AE220" s="73"/>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row>
    <row r="221" spans="3:54">
      <c r="C221" s="74"/>
      <c r="Q221" s="72"/>
      <c r="R221" s="72"/>
      <c r="S221" s="72"/>
      <c r="T221" s="72"/>
      <c r="U221" s="72"/>
      <c r="V221" s="72"/>
      <c r="W221" s="72"/>
      <c r="X221" s="72"/>
      <c r="Y221" s="72"/>
      <c r="Z221" s="72"/>
      <c r="AA221" s="72"/>
      <c r="AB221" s="73"/>
      <c r="AC221" s="73"/>
      <c r="AD221" s="73"/>
      <c r="AE221" s="73"/>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row>
    <row r="222" spans="3:54">
      <c r="C222" s="74"/>
      <c r="Q222" s="72"/>
      <c r="R222" s="72"/>
      <c r="S222" s="72"/>
      <c r="T222" s="72"/>
      <c r="U222" s="72"/>
      <c r="V222" s="72"/>
      <c r="W222" s="72"/>
      <c r="X222" s="72"/>
      <c r="Y222" s="72"/>
      <c r="Z222" s="72"/>
      <c r="AA222" s="72"/>
      <c r="AB222" s="73"/>
      <c r="AC222" s="73"/>
      <c r="AD222" s="73"/>
      <c r="AE222" s="73"/>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row>
    <row r="223" spans="3:54">
      <c r="C223" s="74"/>
      <c r="Q223" s="72"/>
      <c r="R223" s="72"/>
      <c r="S223" s="72"/>
      <c r="T223" s="72"/>
      <c r="U223" s="72"/>
      <c r="V223" s="72"/>
      <c r="W223" s="72"/>
      <c r="X223" s="72"/>
      <c r="Y223" s="72"/>
      <c r="Z223" s="72"/>
      <c r="AA223" s="72"/>
      <c r="AB223" s="73"/>
      <c r="AC223" s="73"/>
      <c r="AD223" s="73"/>
      <c r="AE223" s="73"/>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row>
    <row r="224" spans="3:54">
      <c r="C224" s="74"/>
      <c r="Q224" s="72"/>
      <c r="R224" s="72"/>
      <c r="S224" s="72"/>
      <c r="T224" s="72"/>
      <c r="U224" s="72"/>
      <c r="V224" s="72"/>
      <c r="W224" s="72"/>
      <c r="X224" s="72"/>
      <c r="Y224" s="72"/>
      <c r="Z224" s="72"/>
      <c r="AA224" s="72"/>
      <c r="AB224" s="73"/>
      <c r="AC224" s="73"/>
      <c r="AD224" s="73"/>
      <c r="AE224" s="73"/>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row>
    <row r="225" spans="3:54">
      <c r="C225" s="74"/>
      <c r="Q225" s="72"/>
      <c r="R225" s="72"/>
      <c r="S225" s="72"/>
      <c r="T225" s="72"/>
      <c r="U225" s="72"/>
      <c r="V225" s="72"/>
      <c r="W225" s="72"/>
      <c r="X225" s="72"/>
      <c r="Y225" s="72"/>
      <c r="Z225" s="72"/>
      <c r="AA225" s="72"/>
      <c r="AB225" s="73"/>
      <c r="AC225" s="73"/>
      <c r="AD225" s="73"/>
      <c r="AE225" s="73"/>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row>
    <row r="226" spans="3:54">
      <c r="C226" s="74"/>
      <c r="Q226" s="72"/>
      <c r="R226" s="72"/>
      <c r="S226" s="72"/>
      <c r="T226" s="72"/>
      <c r="U226" s="72"/>
      <c r="V226" s="72"/>
      <c r="W226" s="72"/>
      <c r="X226" s="72"/>
      <c r="Y226" s="72"/>
      <c r="Z226" s="72"/>
      <c r="AA226" s="72"/>
      <c r="AB226" s="73"/>
      <c r="AC226" s="73"/>
      <c r="AD226" s="73"/>
      <c r="AE226" s="73"/>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row>
    <row r="227" spans="3:54">
      <c r="C227" s="74"/>
      <c r="Q227" s="72"/>
      <c r="R227" s="72"/>
      <c r="S227" s="72"/>
      <c r="T227" s="72"/>
      <c r="U227" s="72"/>
      <c r="V227" s="72"/>
      <c r="W227" s="72"/>
      <c r="X227" s="72"/>
      <c r="Y227" s="72"/>
      <c r="Z227" s="72"/>
      <c r="AA227" s="72"/>
      <c r="AB227" s="73"/>
      <c r="AC227" s="73"/>
      <c r="AD227" s="73"/>
      <c r="AE227" s="73"/>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row>
    <row r="228" spans="3:54">
      <c r="C228" s="74"/>
      <c r="Q228" s="72"/>
      <c r="R228" s="72"/>
      <c r="S228" s="72"/>
      <c r="T228" s="72"/>
      <c r="U228" s="72"/>
      <c r="V228" s="72"/>
      <c r="W228" s="72"/>
      <c r="X228" s="72"/>
      <c r="Y228" s="72"/>
      <c r="Z228" s="72"/>
      <c r="AA228" s="72"/>
      <c r="AB228" s="73"/>
      <c r="AC228" s="73"/>
      <c r="AD228" s="73"/>
      <c r="AE228" s="73"/>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row>
    <row r="229" spans="3:54">
      <c r="C229" s="74"/>
      <c r="Q229" s="72"/>
      <c r="R229" s="72"/>
      <c r="S229" s="72"/>
      <c r="T229" s="72"/>
      <c r="U229" s="72"/>
      <c r="V229" s="72"/>
      <c r="W229" s="72"/>
      <c r="X229" s="72"/>
      <c r="Y229" s="72"/>
      <c r="Z229" s="72"/>
      <c r="AA229" s="72"/>
      <c r="AB229" s="73"/>
      <c r="AC229" s="73"/>
      <c r="AD229" s="73"/>
      <c r="AE229" s="73"/>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row>
    <row r="230" spans="3:54">
      <c r="C230" s="74"/>
      <c r="Q230" s="72"/>
      <c r="R230" s="72"/>
      <c r="S230" s="72"/>
      <c r="T230" s="72"/>
      <c r="U230" s="72"/>
      <c r="V230" s="72"/>
      <c r="W230" s="72"/>
      <c r="X230" s="72"/>
      <c r="Y230" s="72"/>
      <c r="Z230" s="72"/>
      <c r="AA230" s="72"/>
      <c r="AB230" s="73"/>
      <c r="AC230" s="73"/>
      <c r="AD230" s="73"/>
      <c r="AE230" s="73"/>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row>
    <row r="231" spans="3:54">
      <c r="C231" s="74"/>
      <c r="Q231" s="72"/>
      <c r="R231" s="72"/>
      <c r="S231" s="72"/>
      <c r="T231" s="72"/>
      <c r="U231" s="72"/>
      <c r="V231" s="72"/>
      <c r="W231" s="72"/>
      <c r="X231" s="72"/>
      <c r="Y231" s="72"/>
      <c r="Z231" s="72"/>
      <c r="AA231" s="72"/>
      <c r="AB231" s="73"/>
      <c r="AC231" s="73"/>
      <c r="AD231" s="73"/>
      <c r="AE231" s="73"/>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row>
    <row r="232" spans="3:54">
      <c r="C232" s="74"/>
      <c r="Q232" s="72"/>
      <c r="R232" s="72"/>
      <c r="S232" s="72"/>
      <c r="T232" s="72"/>
      <c r="U232" s="72"/>
      <c r="V232" s="72"/>
      <c r="W232" s="72"/>
      <c r="X232" s="72"/>
      <c r="Y232" s="72"/>
      <c r="Z232" s="72"/>
      <c r="AA232" s="72"/>
      <c r="AB232" s="73"/>
      <c r="AC232" s="73"/>
      <c r="AD232" s="73"/>
      <c r="AE232" s="73"/>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row>
    <row r="233" spans="3:54">
      <c r="C233" s="74"/>
      <c r="Q233" s="72"/>
      <c r="R233" s="72"/>
      <c r="S233" s="72"/>
      <c r="T233" s="72"/>
      <c r="U233" s="72"/>
      <c r="V233" s="72"/>
      <c r="W233" s="72"/>
      <c r="X233" s="72"/>
      <c r="Y233" s="72"/>
      <c r="Z233" s="72"/>
      <c r="AA233" s="72"/>
      <c r="AB233" s="73"/>
      <c r="AC233" s="73"/>
      <c r="AD233" s="73"/>
      <c r="AE233" s="73"/>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row>
    <row r="234" spans="3:54">
      <c r="C234" s="74"/>
      <c r="Q234" s="72"/>
      <c r="R234" s="72"/>
      <c r="S234" s="72"/>
      <c r="T234" s="72"/>
      <c r="U234" s="72"/>
      <c r="V234" s="72"/>
      <c r="W234" s="72"/>
      <c r="X234" s="72"/>
      <c r="Y234" s="72"/>
      <c r="Z234" s="72"/>
      <c r="AA234" s="72"/>
      <c r="AB234" s="73"/>
      <c r="AC234" s="73"/>
      <c r="AD234" s="73"/>
      <c r="AE234" s="73"/>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row>
    <row r="235" spans="3:54">
      <c r="C235" s="74"/>
      <c r="Q235" s="72"/>
      <c r="R235" s="72"/>
      <c r="S235" s="72"/>
      <c r="T235" s="72"/>
      <c r="U235" s="72"/>
      <c r="V235" s="72"/>
      <c r="W235" s="72"/>
      <c r="X235" s="72"/>
      <c r="Y235" s="72"/>
      <c r="Z235" s="72"/>
      <c r="AA235" s="72"/>
      <c r="AB235" s="73"/>
      <c r="AC235" s="73"/>
      <c r="AD235" s="73"/>
      <c r="AE235" s="73"/>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row>
    <row r="236" spans="3:54">
      <c r="C236" s="74"/>
      <c r="Q236" s="72"/>
      <c r="R236" s="72"/>
      <c r="S236" s="72"/>
      <c r="T236" s="72"/>
      <c r="U236" s="72"/>
      <c r="V236" s="72"/>
      <c r="W236" s="72"/>
      <c r="X236" s="72"/>
      <c r="Y236" s="72"/>
      <c r="Z236" s="72"/>
      <c r="AA236" s="72"/>
      <c r="AB236" s="73"/>
      <c r="AC236" s="73"/>
      <c r="AD236" s="73"/>
      <c r="AE236" s="73"/>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row>
    <row r="237" spans="3:54">
      <c r="C237" s="74"/>
      <c r="Q237" s="72"/>
      <c r="R237" s="72"/>
      <c r="S237" s="72"/>
      <c r="T237" s="72"/>
      <c r="U237" s="72"/>
      <c r="V237" s="72"/>
      <c r="W237" s="72"/>
      <c r="X237" s="72"/>
      <c r="Y237" s="72"/>
      <c r="Z237" s="72"/>
      <c r="AA237" s="72"/>
      <c r="AB237" s="73"/>
      <c r="AC237" s="73"/>
      <c r="AD237" s="73"/>
      <c r="AE237" s="73"/>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row>
    <row r="238" spans="3:54">
      <c r="C238" s="74"/>
      <c r="Q238" s="72"/>
      <c r="R238" s="72"/>
      <c r="S238" s="72"/>
      <c r="T238" s="72"/>
      <c r="U238" s="72"/>
      <c r="V238" s="72"/>
      <c r="W238" s="72"/>
      <c r="X238" s="72"/>
      <c r="Y238" s="72"/>
      <c r="Z238" s="72"/>
      <c r="AA238" s="72"/>
      <c r="AB238" s="73"/>
      <c r="AC238" s="73"/>
      <c r="AD238" s="73"/>
      <c r="AE238" s="73"/>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row>
    <row r="239" spans="3:54">
      <c r="C239" s="74"/>
      <c r="Q239" s="72"/>
      <c r="R239" s="72"/>
      <c r="S239" s="72"/>
      <c r="T239" s="72"/>
      <c r="U239" s="72"/>
      <c r="V239" s="72"/>
      <c r="W239" s="72"/>
      <c r="X239" s="72"/>
      <c r="Y239" s="72"/>
      <c r="Z239" s="72"/>
      <c r="AA239" s="72"/>
      <c r="AB239" s="73"/>
      <c r="AC239" s="73"/>
      <c r="AD239" s="73"/>
      <c r="AE239" s="73"/>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row>
    <row r="240" spans="3:54">
      <c r="C240" s="74"/>
      <c r="Q240" s="72"/>
      <c r="R240" s="72"/>
      <c r="S240" s="72"/>
      <c r="T240" s="72"/>
      <c r="U240" s="72"/>
      <c r="V240" s="72"/>
      <c r="W240" s="72"/>
      <c r="X240" s="72"/>
      <c r="Y240" s="72"/>
      <c r="Z240" s="72"/>
      <c r="AA240" s="72"/>
      <c r="AB240" s="73"/>
      <c r="AC240" s="73"/>
      <c r="AD240" s="73"/>
      <c r="AE240" s="73"/>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row>
    <row r="241" spans="3:54">
      <c r="C241" s="74"/>
      <c r="Q241" s="72"/>
      <c r="R241" s="72"/>
      <c r="S241" s="72"/>
      <c r="T241" s="72"/>
      <c r="U241" s="72"/>
      <c r="V241" s="72"/>
      <c r="W241" s="72"/>
      <c r="X241" s="72"/>
      <c r="Y241" s="72"/>
      <c r="Z241" s="72"/>
      <c r="AA241" s="72"/>
      <c r="AB241" s="73"/>
      <c r="AC241" s="73"/>
      <c r="AD241" s="73"/>
      <c r="AE241" s="73"/>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row>
    <row r="242" spans="3:54">
      <c r="C242" s="74"/>
      <c r="Q242" s="72"/>
      <c r="R242" s="72"/>
      <c r="S242" s="72"/>
      <c r="T242" s="72"/>
      <c r="U242" s="72"/>
      <c r="V242" s="72"/>
      <c r="W242" s="72"/>
      <c r="X242" s="72"/>
      <c r="Y242" s="72"/>
      <c r="Z242" s="72"/>
      <c r="AA242" s="72"/>
      <c r="AB242" s="73"/>
      <c r="AC242" s="73"/>
      <c r="AD242" s="73"/>
      <c r="AE242" s="73"/>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row>
    <row r="243" spans="3:54">
      <c r="C243" s="74"/>
      <c r="Q243" s="72"/>
      <c r="R243" s="72"/>
      <c r="S243" s="72"/>
      <c r="T243" s="72"/>
      <c r="U243" s="72"/>
      <c r="V243" s="72"/>
      <c r="W243" s="72"/>
      <c r="X243" s="72"/>
      <c r="Y243" s="72"/>
      <c r="Z243" s="72"/>
      <c r="AA243" s="72"/>
      <c r="AB243" s="73"/>
      <c r="AC243" s="73"/>
      <c r="AD243" s="73"/>
      <c r="AE243" s="73"/>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row>
    <row r="244" spans="3:54">
      <c r="C244" s="74"/>
      <c r="Q244" s="72"/>
      <c r="R244" s="72"/>
      <c r="S244" s="72"/>
      <c r="T244" s="72"/>
      <c r="U244" s="72"/>
      <c r="V244" s="72"/>
      <c r="W244" s="72"/>
      <c r="X244" s="72"/>
      <c r="Y244" s="72"/>
      <c r="Z244" s="72"/>
      <c r="AA244" s="72"/>
      <c r="AB244" s="73"/>
      <c r="AC244" s="73"/>
      <c r="AD244" s="73"/>
      <c r="AE244" s="73"/>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row>
    <row r="245" spans="3:54">
      <c r="C245" s="74"/>
      <c r="Q245" s="72"/>
      <c r="R245" s="72"/>
      <c r="S245" s="72"/>
      <c r="T245" s="72"/>
      <c r="U245" s="72"/>
      <c r="V245" s="72"/>
      <c r="W245" s="72"/>
      <c r="X245" s="72"/>
      <c r="Y245" s="72"/>
      <c r="Z245" s="72"/>
      <c r="AA245" s="72"/>
      <c r="AB245" s="73"/>
      <c r="AC245" s="73"/>
      <c r="AD245" s="73"/>
      <c r="AE245" s="73"/>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row>
    <row r="246" spans="3:54">
      <c r="C246" s="74"/>
      <c r="Q246" s="72"/>
      <c r="R246" s="72"/>
      <c r="S246" s="72"/>
      <c r="T246" s="72"/>
      <c r="U246" s="72"/>
      <c r="V246" s="72"/>
      <c r="W246" s="72"/>
      <c r="X246" s="72"/>
      <c r="Y246" s="72"/>
      <c r="Z246" s="72"/>
      <c r="AA246" s="72"/>
      <c r="AB246" s="73"/>
      <c r="AC246" s="73"/>
      <c r="AD246" s="73"/>
      <c r="AE246" s="73"/>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row>
    <row r="247" spans="3:54">
      <c r="C247" s="74"/>
      <c r="Q247" s="72"/>
      <c r="R247" s="72"/>
      <c r="S247" s="72"/>
      <c r="T247" s="72"/>
      <c r="U247" s="72"/>
      <c r="V247" s="72"/>
      <c r="W247" s="72"/>
      <c r="X247" s="72"/>
      <c r="Y247" s="72"/>
      <c r="Z247" s="72"/>
      <c r="AA247" s="72"/>
      <c r="AB247" s="73"/>
      <c r="AC247" s="73"/>
      <c r="AD247" s="73"/>
      <c r="AE247" s="73"/>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row>
    <row r="248" spans="3:54">
      <c r="C248" s="74"/>
      <c r="Q248" s="72"/>
      <c r="R248" s="72"/>
      <c r="S248" s="72"/>
      <c r="T248" s="72"/>
      <c r="U248" s="72"/>
      <c r="V248" s="72"/>
      <c r="W248" s="72"/>
      <c r="X248" s="72"/>
      <c r="Y248" s="72"/>
      <c r="Z248" s="72"/>
      <c r="AA248" s="72"/>
      <c r="AB248" s="73"/>
      <c r="AC248" s="73"/>
      <c r="AD248" s="73"/>
      <c r="AE248" s="73"/>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row>
    <row r="249" spans="3:54">
      <c r="C249" s="74"/>
      <c r="Q249" s="72"/>
      <c r="R249" s="72"/>
      <c r="S249" s="72"/>
      <c r="T249" s="72"/>
      <c r="U249" s="72"/>
      <c r="V249" s="72"/>
      <c r="W249" s="72"/>
      <c r="X249" s="72"/>
      <c r="Y249" s="72"/>
      <c r="Z249" s="72"/>
      <c r="AA249" s="72"/>
      <c r="AB249" s="73"/>
      <c r="AC249" s="73"/>
      <c r="AD249" s="73"/>
      <c r="AE249" s="73"/>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row>
    <row r="250" spans="3:54">
      <c r="C250" s="74"/>
      <c r="Q250" s="72"/>
      <c r="R250" s="72"/>
      <c r="S250" s="72"/>
      <c r="T250" s="72"/>
      <c r="U250" s="72"/>
      <c r="V250" s="72"/>
      <c r="W250" s="72"/>
      <c r="X250" s="72"/>
      <c r="Y250" s="72"/>
      <c r="Z250" s="72"/>
      <c r="AA250" s="72"/>
      <c r="AB250" s="73"/>
      <c r="AC250" s="73"/>
      <c r="AD250" s="73"/>
      <c r="AE250" s="73"/>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row>
    <row r="251" spans="3:54">
      <c r="C251" s="74"/>
      <c r="Q251" s="72"/>
      <c r="R251" s="72"/>
      <c r="S251" s="72"/>
      <c r="T251" s="72"/>
      <c r="U251" s="72"/>
      <c r="V251" s="72"/>
      <c r="W251" s="72"/>
      <c r="X251" s="72"/>
      <c r="Y251" s="72"/>
      <c r="Z251" s="72"/>
      <c r="AA251" s="72"/>
      <c r="AB251" s="73"/>
      <c r="AC251" s="73"/>
      <c r="AD251" s="73"/>
      <c r="AE251" s="73"/>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row>
    <row r="252" spans="3:54">
      <c r="C252" s="74"/>
      <c r="Q252" s="72"/>
      <c r="R252" s="72"/>
      <c r="S252" s="72"/>
      <c r="T252" s="72"/>
      <c r="U252" s="72"/>
      <c r="V252" s="72"/>
      <c r="W252" s="72"/>
      <c r="X252" s="72"/>
      <c r="Y252" s="72"/>
      <c r="Z252" s="72"/>
      <c r="AA252" s="72"/>
      <c r="AB252" s="73"/>
      <c r="AC252" s="73"/>
      <c r="AD252" s="73"/>
      <c r="AE252" s="73"/>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row>
    <row r="253" spans="3:54">
      <c r="C253" s="74"/>
      <c r="Q253" s="72"/>
      <c r="R253" s="72"/>
      <c r="S253" s="72"/>
      <c r="T253" s="72"/>
      <c r="U253" s="72"/>
      <c r="V253" s="72"/>
      <c r="W253" s="72"/>
      <c r="X253" s="72"/>
      <c r="Y253" s="72"/>
      <c r="Z253" s="72"/>
      <c r="AA253" s="72"/>
      <c r="AB253" s="73"/>
      <c r="AC253" s="73"/>
      <c r="AD253" s="73"/>
      <c r="AE253" s="73"/>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row>
    <row r="254" spans="3:54">
      <c r="C254" s="74"/>
      <c r="Q254" s="72"/>
      <c r="R254" s="72"/>
      <c r="S254" s="72"/>
      <c r="T254" s="72"/>
      <c r="U254" s="72"/>
      <c r="V254" s="72"/>
      <c r="W254" s="72"/>
      <c r="X254" s="72"/>
      <c r="Y254" s="72"/>
      <c r="Z254" s="72"/>
      <c r="AA254" s="72"/>
      <c r="AB254" s="73"/>
      <c r="AC254" s="73"/>
      <c r="AD254" s="73"/>
      <c r="AE254" s="73"/>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row>
    <row r="255" spans="3:54">
      <c r="C255" s="74"/>
      <c r="Q255" s="72"/>
      <c r="R255" s="72"/>
      <c r="S255" s="72"/>
      <c r="T255" s="72"/>
      <c r="U255" s="72"/>
      <c r="V255" s="72"/>
      <c r="W255" s="72"/>
      <c r="X255" s="72"/>
      <c r="Y255" s="72"/>
      <c r="Z255" s="72"/>
      <c r="AA255" s="72"/>
      <c r="AB255" s="73"/>
      <c r="AC255" s="73"/>
      <c r="AD255" s="73"/>
      <c r="AE255" s="73"/>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row>
    <row r="256" spans="3:54">
      <c r="C256" s="74"/>
      <c r="Q256" s="72"/>
      <c r="R256" s="72"/>
      <c r="S256" s="72"/>
      <c r="T256" s="72"/>
      <c r="U256" s="72"/>
      <c r="V256" s="72"/>
      <c r="W256" s="72"/>
      <c r="X256" s="72"/>
      <c r="Y256" s="72"/>
      <c r="Z256" s="72"/>
      <c r="AA256" s="72"/>
      <c r="AB256" s="73"/>
      <c r="AC256" s="73"/>
      <c r="AD256" s="73"/>
      <c r="AE256" s="73"/>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row>
    <row r="257" spans="3:54">
      <c r="C257" s="74"/>
      <c r="Q257" s="72"/>
      <c r="R257" s="72"/>
      <c r="S257" s="72"/>
      <c r="T257" s="72"/>
      <c r="U257" s="72"/>
      <c r="V257" s="72"/>
      <c r="W257" s="72"/>
      <c r="X257" s="72"/>
      <c r="Y257" s="72"/>
      <c r="Z257" s="72"/>
      <c r="AA257" s="72"/>
      <c r="AB257" s="73"/>
      <c r="AC257" s="73"/>
      <c r="AD257" s="73"/>
      <c r="AE257" s="73"/>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row>
    <row r="258" spans="3:54">
      <c r="C258" s="74"/>
      <c r="Q258" s="72"/>
      <c r="R258" s="72"/>
      <c r="S258" s="72"/>
      <c r="T258" s="72"/>
      <c r="U258" s="72"/>
      <c r="V258" s="72"/>
      <c r="W258" s="72"/>
      <c r="X258" s="72"/>
      <c r="Y258" s="72"/>
      <c r="Z258" s="72"/>
      <c r="AA258" s="72"/>
      <c r="AB258" s="73"/>
      <c r="AC258" s="73"/>
      <c r="AD258" s="73"/>
      <c r="AE258" s="73"/>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row>
    <row r="259" spans="3:54">
      <c r="C259" s="74"/>
      <c r="Q259" s="72"/>
      <c r="R259" s="72"/>
      <c r="S259" s="72"/>
      <c r="T259" s="72"/>
      <c r="U259" s="72"/>
      <c r="V259" s="72"/>
      <c r="W259" s="72"/>
      <c r="X259" s="72"/>
      <c r="Y259" s="72"/>
      <c r="Z259" s="72"/>
      <c r="AA259" s="72"/>
      <c r="AB259" s="73"/>
      <c r="AC259" s="73"/>
      <c r="AD259" s="73"/>
      <c r="AE259" s="73"/>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row>
    <row r="260" spans="3:54">
      <c r="C260" s="74"/>
      <c r="Q260" s="72"/>
      <c r="R260" s="72"/>
      <c r="S260" s="72"/>
      <c r="T260" s="72"/>
      <c r="U260" s="72"/>
      <c r="V260" s="72"/>
      <c r="W260" s="72"/>
      <c r="X260" s="72"/>
      <c r="Y260" s="72"/>
      <c r="Z260" s="72"/>
      <c r="AA260" s="72"/>
      <c r="AB260" s="73"/>
      <c r="AC260" s="73"/>
      <c r="AD260" s="73"/>
      <c r="AE260" s="73"/>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row>
    <row r="261" spans="3:54">
      <c r="C261" s="74"/>
      <c r="Q261" s="72"/>
      <c r="R261" s="72"/>
      <c r="S261" s="72"/>
      <c r="T261" s="72"/>
      <c r="U261" s="72"/>
      <c r="V261" s="72"/>
      <c r="W261" s="72"/>
      <c r="X261" s="72"/>
      <c r="Y261" s="72"/>
      <c r="Z261" s="72"/>
      <c r="AA261" s="72"/>
      <c r="AB261" s="73"/>
      <c r="AC261" s="73"/>
      <c r="AD261" s="73"/>
      <c r="AE261" s="73"/>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row>
    <row r="262" spans="3:54">
      <c r="C262" s="74"/>
      <c r="Q262" s="72"/>
      <c r="R262" s="72"/>
      <c r="S262" s="72"/>
      <c r="T262" s="72"/>
      <c r="U262" s="72"/>
      <c r="V262" s="72"/>
      <c r="W262" s="72"/>
      <c r="X262" s="72"/>
      <c r="Y262" s="72"/>
      <c r="Z262" s="72"/>
      <c r="AA262" s="72"/>
      <c r="AB262" s="73"/>
      <c r="AC262" s="73"/>
      <c r="AD262" s="73"/>
      <c r="AE262" s="73"/>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row>
    <row r="263" spans="3:54">
      <c r="C263" s="74"/>
      <c r="Q263" s="72"/>
      <c r="R263" s="72"/>
      <c r="S263" s="72"/>
      <c r="T263" s="72"/>
      <c r="U263" s="72"/>
      <c r="V263" s="72"/>
      <c r="W263" s="72"/>
      <c r="X263" s="72"/>
      <c r="Y263" s="72"/>
      <c r="Z263" s="72"/>
      <c r="AA263" s="72"/>
      <c r="AB263" s="73"/>
      <c r="AC263" s="73"/>
      <c r="AD263" s="73"/>
      <c r="AE263" s="73"/>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row>
    <row r="264" spans="3:54">
      <c r="C264" s="74"/>
      <c r="Q264" s="72"/>
      <c r="R264" s="72"/>
      <c r="S264" s="72"/>
      <c r="T264" s="72"/>
      <c r="U264" s="72"/>
      <c r="V264" s="72"/>
      <c r="W264" s="72"/>
      <c r="X264" s="72"/>
      <c r="Y264" s="72"/>
      <c r="Z264" s="72"/>
      <c r="AA264" s="72"/>
      <c r="AB264" s="73"/>
      <c r="AC264" s="73"/>
      <c r="AD264" s="73"/>
      <c r="AE264" s="73"/>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row>
    <row r="265" spans="3:54">
      <c r="C265" s="74"/>
      <c r="Q265" s="72"/>
      <c r="R265" s="72"/>
      <c r="S265" s="72"/>
      <c r="T265" s="72"/>
      <c r="U265" s="72"/>
      <c r="V265" s="72"/>
      <c r="W265" s="72"/>
      <c r="X265" s="72"/>
      <c r="Y265" s="72"/>
      <c r="Z265" s="72"/>
      <c r="AA265" s="72"/>
      <c r="AB265" s="73"/>
      <c r="AC265" s="73"/>
      <c r="AD265" s="73"/>
      <c r="AE265" s="73"/>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row>
    <row r="266" spans="3:54">
      <c r="C266" s="74"/>
      <c r="Q266" s="72"/>
      <c r="R266" s="72"/>
      <c r="S266" s="72"/>
      <c r="T266" s="72"/>
      <c r="U266" s="72"/>
      <c r="V266" s="72"/>
      <c r="W266" s="72"/>
      <c r="X266" s="72"/>
      <c r="Y266" s="72"/>
      <c r="Z266" s="72"/>
      <c r="AA266" s="72"/>
      <c r="AB266" s="73"/>
      <c r="AC266" s="73"/>
      <c r="AD266" s="73"/>
      <c r="AE266" s="73"/>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row>
    <row r="267" spans="3:54">
      <c r="C267" s="74"/>
      <c r="P267" s="72"/>
      <c r="Q267" s="72"/>
      <c r="R267" s="72"/>
      <c r="S267" s="72"/>
      <c r="T267" s="72"/>
      <c r="U267" s="72"/>
      <c r="V267" s="72"/>
      <c r="W267" s="72"/>
      <c r="X267" s="72"/>
      <c r="Y267" s="72"/>
      <c r="Z267" s="72"/>
      <c r="AA267" s="73"/>
      <c r="AB267" s="73"/>
      <c r="AC267" s="73"/>
      <c r="AD267" s="73"/>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row>
    <row r="268" spans="3:54">
      <c r="C268" s="74"/>
      <c r="P268" s="72"/>
      <c r="Q268" s="72"/>
      <c r="R268" s="72"/>
      <c r="S268" s="72"/>
      <c r="T268" s="72"/>
      <c r="U268" s="72"/>
      <c r="V268" s="72"/>
      <c r="W268" s="72"/>
      <c r="X268" s="72"/>
      <c r="Y268" s="72"/>
      <c r="Z268" s="72"/>
      <c r="AA268" s="73"/>
      <c r="AB268" s="73"/>
      <c r="AC268" s="73"/>
      <c r="AD268" s="73"/>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row>
    <row r="269" spans="3:54">
      <c r="C269" s="74"/>
      <c r="P269" s="72"/>
      <c r="Q269" s="72"/>
      <c r="R269" s="72"/>
      <c r="S269" s="72"/>
      <c r="T269" s="72"/>
      <c r="U269" s="72"/>
      <c r="V269" s="72"/>
      <c r="W269" s="72"/>
      <c r="X269" s="72"/>
      <c r="Y269" s="72"/>
      <c r="Z269" s="72"/>
      <c r="AA269" s="73"/>
      <c r="AB269" s="73"/>
      <c r="AC269" s="73"/>
      <c r="AD269" s="73"/>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row>
    <row r="270" spans="3:54">
      <c r="C270" s="74"/>
      <c r="P270" s="72"/>
      <c r="Q270" s="72"/>
      <c r="R270" s="72"/>
      <c r="S270" s="72"/>
      <c r="T270" s="72"/>
      <c r="U270" s="72"/>
      <c r="V270" s="72"/>
      <c r="W270" s="72"/>
      <c r="X270" s="72"/>
      <c r="Y270" s="72"/>
      <c r="Z270" s="72"/>
      <c r="AA270" s="73"/>
      <c r="AB270" s="73"/>
      <c r="AC270" s="73"/>
      <c r="AD270" s="73"/>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row>
    <row r="271" spans="3:54">
      <c r="C271" s="74"/>
      <c r="P271" s="72"/>
      <c r="Q271" s="72"/>
      <c r="R271" s="72"/>
      <c r="S271" s="72"/>
      <c r="T271" s="72"/>
      <c r="U271" s="72"/>
      <c r="V271" s="72"/>
      <c r="W271" s="72"/>
      <c r="X271" s="72"/>
      <c r="Y271" s="72"/>
      <c r="Z271" s="72"/>
      <c r="AA271" s="73"/>
      <c r="AB271" s="73"/>
      <c r="AC271" s="73"/>
      <c r="AD271" s="73"/>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row>
    <row r="272" spans="3:54">
      <c r="C272" s="74"/>
      <c r="P272" s="72"/>
      <c r="Q272" s="72"/>
      <c r="R272" s="72"/>
      <c r="S272" s="72"/>
      <c r="T272" s="72"/>
      <c r="U272" s="72"/>
      <c r="V272" s="72"/>
      <c r="W272" s="72"/>
      <c r="X272" s="72"/>
      <c r="Y272" s="72"/>
      <c r="Z272" s="72"/>
      <c r="AA272" s="73"/>
      <c r="AB272" s="73"/>
      <c r="AC272" s="73"/>
      <c r="AD272" s="73"/>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row>
    <row r="273" spans="3:54">
      <c r="C273" s="74"/>
      <c r="P273" s="72"/>
      <c r="Q273" s="72"/>
      <c r="R273" s="72"/>
      <c r="S273" s="72"/>
      <c r="T273" s="72"/>
      <c r="U273" s="72"/>
      <c r="V273" s="72"/>
      <c r="W273" s="72"/>
      <c r="X273" s="72"/>
      <c r="Y273" s="72"/>
      <c r="Z273" s="72"/>
      <c r="AA273" s="73"/>
      <c r="AB273" s="73"/>
      <c r="AC273" s="73"/>
      <c r="AD273" s="73"/>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row>
    <row r="274" spans="3:54">
      <c r="C274" s="74"/>
      <c r="P274" s="72"/>
      <c r="Q274" s="72"/>
      <c r="R274" s="72"/>
      <c r="S274" s="72"/>
      <c r="T274" s="72"/>
      <c r="U274" s="72"/>
      <c r="V274" s="72"/>
      <c r="W274" s="72"/>
      <c r="X274" s="72"/>
      <c r="Y274" s="72"/>
      <c r="Z274" s="72"/>
      <c r="AA274" s="73"/>
      <c r="AB274" s="73"/>
      <c r="AC274" s="73"/>
      <c r="AD274" s="73"/>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row>
    <row r="275" spans="3:54">
      <c r="C275" s="74"/>
      <c r="P275" s="72"/>
      <c r="Q275" s="72"/>
      <c r="R275" s="72"/>
      <c r="S275" s="72"/>
      <c r="T275" s="72"/>
      <c r="U275" s="72"/>
      <c r="V275" s="72"/>
      <c r="W275" s="72"/>
      <c r="X275" s="72"/>
      <c r="Y275" s="72"/>
      <c r="Z275" s="72"/>
      <c r="AA275" s="73"/>
      <c r="AB275" s="73"/>
      <c r="AC275" s="73"/>
      <c r="AD275" s="73"/>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row>
    <row r="276" spans="3:54">
      <c r="C276" s="74"/>
      <c r="P276" s="72"/>
      <c r="Q276" s="72"/>
      <c r="R276" s="72"/>
      <c r="S276" s="72"/>
      <c r="T276" s="72"/>
      <c r="U276" s="72"/>
      <c r="V276" s="72"/>
      <c r="W276" s="72"/>
      <c r="X276" s="72"/>
      <c r="Y276" s="72"/>
      <c r="Z276" s="72"/>
      <c r="AA276" s="73"/>
      <c r="AB276" s="73"/>
      <c r="AC276" s="73"/>
      <c r="AD276" s="73"/>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row>
    <row r="277" spans="3:54">
      <c r="C277" s="74"/>
      <c r="P277" s="72"/>
      <c r="Q277" s="72"/>
      <c r="R277" s="72"/>
      <c r="S277" s="72"/>
      <c r="T277" s="72"/>
      <c r="U277" s="72"/>
      <c r="V277" s="72"/>
      <c r="W277" s="72"/>
      <c r="X277" s="72"/>
      <c r="Y277" s="72"/>
      <c r="Z277" s="72"/>
      <c r="AA277" s="73"/>
      <c r="AB277" s="73"/>
      <c r="AC277" s="73"/>
      <c r="AD277" s="73"/>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row>
    <row r="278" spans="3:54">
      <c r="C278" s="74"/>
      <c r="P278" s="72"/>
      <c r="Q278" s="72"/>
      <c r="R278" s="72"/>
      <c r="S278" s="72"/>
      <c r="T278" s="72"/>
      <c r="U278" s="72"/>
      <c r="V278" s="72"/>
      <c r="W278" s="72"/>
      <c r="X278" s="72"/>
      <c r="Y278" s="72"/>
      <c r="Z278" s="72"/>
      <c r="AA278" s="73"/>
      <c r="AB278" s="73"/>
      <c r="AC278" s="73"/>
      <c r="AD278" s="73"/>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row>
    <row r="279" spans="3:54">
      <c r="C279" s="74"/>
      <c r="P279" s="72"/>
      <c r="Q279" s="72"/>
      <c r="R279" s="72"/>
      <c r="S279" s="72"/>
      <c r="T279" s="72"/>
      <c r="U279" s="72"/>
      <c r="V279" s="72"/>
      <c r="W279" s="72"/>
      <c r="X279" s="72"/>
      <c r="Y279" s="72"/>
      <c r="Z279" s="72"/>
      <c r="AA279" s="73"/>
      <c r="AB279" s="73"/>
      <c r="AC279" s="73"/>
      <c r="AD279" s="73"/>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row>
    <row r="280" spans="3:54">
      <c r="C280" s="74"/>
      <c r="P280" s="72"/>
      <c r="Q280" s="72"/>
      <c r="R280" s="72"/>
      <c r="S280" s="72"/>
      <c r="T280" s="72"/>
      <c r="U280" s="72"/>
      <c r="V280" s="72"/>
      <c r="W280" s="72"/>
      <c r="X280" s="72"/>
      <c r="Y280" s="72"/>
      <c r="Z280" s="72"/>
      <c r="AA280" s="73"/>
      <c r="AB280" s="73"/>
      <c r="AC280" s="73"/>
      <c r="AD280" s="73"/>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row>
    <row r="281" spans="3:54">
      <c r="C281" s="74"/>
      <c r="P281" s="72"/>
      <c r="Q281" s="72"/>
      <c r="R281" s="72"/>
      <c r="S281" s="72"/>
      <c r="T281" s="72"/>
      <c r="U281" s="72"/>
      <c r="V281" s="72"/>
      <c r="W281" s="72"/>
      <c r="X281" s="72"/>
      <c r="Y281" s="72"/>
      <c r="Z281" s="72"/>
      <c r="AA281" s="73"/>
      <c r="AB281" s="73"/>
      <c r="AC281" s="73"/>
      <c r="AD281" s="73"/>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row>
    <row r="282" spans="3:54">
      <c r="C282" s="74"/>
      <c r="P282" s="72"/>
      <c r="Q282" s="72"/>
      <c r="R282" s="72"/>
      <c r="S282" s="72"/>
      <c r="T282" s="72"/>
      <c r="U282" s="72"/>
      <c r="V282" s="72"/>
      <c r="W282" s="72"/>
      <c r="X282" s="72"/>
      <c r="Y282" s="72"/>
      <c r="Z282" s="72"/>
      <c r="AA282" s="73"/>
      <c r="AB282" s="73"/>
      <c r="AC282" s="73"/>
      <c r="AD282" s="73"/>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row>
    <row r="283" spans="3:54">
      <c r="C283" s="74"/>
      <c r="P283" s="72"/>
      <c r="Q283" s="72"/>
      <c r="R283" s="72"/>
      <c r="S283" s="72"/>
      <c r="T283" s="72"/>
      <c r="U283" s="72"/>
      <c r="V283" s="72"/>
      <c r="W283" s="72"/>
      <c r="X283" s="72"/>
      <c r="Y283" s="72"/>
      <c r="Z283" s="72"/>
      <c r="AA283" s="73"/>
      <c r="AB283" s="73"/>
      <c r="AC283" s="73"/>
      <c r="AD283" s="73"/>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row>
    <row r="284" spans="3:54">
      <c r="C284" s="74"/>
      <c r="P284" s="72"/>
      <c r="Q284" s="72"/>
      <c r="R284" s="72"/>
      <c r="S284" s="72"/>
      <c r="T284" s="72"/>
      <c r="U284" s="72"/>
      <c r="V284" s="72"/>
      <c r="W284" s="72"/>
      <c r="X284" s="72"/>
      <c r="Y284" s="72"/>
      <c r="Z284" s="72"/>
      <c r="AA284" s="73"/>
      <c r="AB284" s="73"/>
      <c r="AC284" s="73"/>
      <c r="AD284" s="73"/>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row>
    <row r="285" spans="3:54">
      <c r="C285" s="74"/>
      <c r="P285" s="72"/>
      <c r="Q285" s="72"/>
      <c r="R285" s="72"/>
      <c r="S285" s="72"/>
      <c r="T285" s="72"/>
      <c r="U285" s="72"/>
      <c r="V285" s="72"/>
      <c r="W285" s="72"/>
      <c r="X285" s="72"/>
      <c r="Y285" s="72"/>
      <c r="Z285" s="72"/>
      <c r="AA285" s="73"/>
      <c r="AB285" s="73"/>
      <c r="AC285" s="73"/>
      <c r="AD285" s="73"/>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row>
    <row r="286" spans="3:54">
      <c r="C286" s="74"/>
      <c r="P286" s="72"/>
      <c r="Q286" s="72"/>
      <c r="R286" s="72"/>
      <c r="S286" s="72"/>
      <c r="T286" s="72"/>
      <c r="U286" s="72"/>
      <c r="V286" s="72"/>
      <c r="W286" s="72"/>
      <c r="X286" s="72"/>
      <c r="Y286" s="72"/>
      <c r="Z286" s="72"/>
      <c r="AA286" s="73"/>
      <c r="AB286" s="73"/>
      <c r="AC286" s="73"/>
      <c r="AD286" s="73"/>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row>
    <row r="287" spans="3:54">
      <c r="C287" s="74"/>
      <c r="P287" s="72"/>
      <c r="Q287" s="72"/>
      <c r="R287" s="72"/>
      <c r="S287" s="72"/>
      <c r="T287" s="72"/>
      <c r="U287" s="72"/>
      <c r="V287" s="72"/>
      <c r="W287" s="72"/>
      <c r="X287" s="72"/>
      <c r="Y287" s="72"/>
      <c r="Z287" s="72"/>
      <c r="AA287" s="73"/>
      <c r="AB287" s="73"/>
      <c r="AC287" s="73"/>
      <c r="AD287" s="73"/>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row>
    <row r="288" spans="3:54">
      <c r="C288" s="74"/>
      <c r="P288" s="72"/>
      <c r="Q288" s="72"/>
      <c r="R288" s="72"/>
      <c r="S288" s="72"/>
      <c r="T288" s="72"/>
      <c r="U288" s="72"/>
      <c r="V288" s="72"/>
      <c r="W288" s="72"/>
      <c r="X288" s="72"/>
      <c r="Y288" s="72"/>
      <c r="Z288" s="72"/>
      <c r="AA288" s="73"/>
      <c r="AB288" s="73"/>
      <c r="AC288" s="73"/>
      <c r="AD288" s="73"/>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row>
    <row r="289" spans="3:58">
      <c r="C289" s="74"/>
      <c r="P289" s="72"/>
      <c r="Q289" s="72"/>
      <c r="R289" s="72"/>
      <c r="S289" s="72"/>
      <c r="T289" s="72"/>
      <c r="U289" s="72"/>
      <c r="V289" s="72"/>
      <c r="W289" s="72"/>
      <c r="X289" s="72"/>
      <c r="Y289" s="72"/>
      <c r="Z289" s="72"/>
      <c r="AA289" s="73"/>
      <c r="AB289" s="73"/>
      <c r="AC289" s="73"/>
      <c r="AD289" s="73"/>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row>
    <row r="290" spans="3:58">
      <c r="C290" s="74"/>
      <c r="P290" s="72"/>
      <c r="Q290" s="72"/>
      <c r="R290" s="72"/>
      <c r="S290" s="72"/>
      <c r="T290" s="72"/>
      <c r="U290" s="72"/>
      <c r="V290" s="72"/>
      <c r="W290" s="72"/>
      <c r="X290" s="72"/>
      <c r="Y290" s="72"/>
      <c r="Z290" s="72"/>
      <c r="AA290" s="73"/>
      <c r="AB290" s="73"/>
      <c r="AC290" s="73"/>
      <c r="AD290" s="73"/>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row>
    <row r="291" spans="3:58">
      <c r="C291" s="74"/>
      <c r="P291" s="72"/>
      <c r="Q291" s="72"/>
      <c r="R291" s="72"/>
      <c r="S291" s="72"/>
      <c r="T291" s="72"/>
      <c r="U291" s="72"/>
      <c r="V291" s="72"/>
      <c r="W291" s="72"/>
      <c r="X291" s="72"/>
      <c r="Y291" s="72"/>
      <c r="Z291" s="72"/>
      <c r="AA291" s="73"/>
      <c r="AB291" s="73"/>
      <c r="AC291" s="73"/>
      <c r="AD291" s="73"/>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row>
    <row r="292" spans="3:58">
      <c r="C292" s="74"/>
      <c r="P292" s="72"/>
      <c r="Q292" s="72"/>
      <c r="R292" s="72"/>
      <c r="S292" s="72"/>
      <c r="T292" s="72"/>
      <c r="U292" s="72"/>
      <c r="V292" s="72"/>
      <c r="W292" s="72"/>
      <c r="X292" s="72"/>
      <c r="Y292" s="72"/>
      <c r="Z292" s="72"/>
      <c r="AA292" s="73"/>
      <c r="AB292" s="73"/>
      <c r="AC292" s="73"/>
      <c r="AD292" s="73"/>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row>
    <row r="293" spans="3:58">
      <c r="C293" s="74"/>
      <c r="P293" s="72"/>
      <c r="Q293" s="72"/>
      <c r="R293" s="72"/>
      <c r="S293" s="72"/>
      <c r="T293" s="72"/>
      <c r="U293" s="72"/>
      <c r="V293" s="72"/>
      <c r="W293" s="72"/>
      <c r="X293" s="72"/>
      <c r="Y293" s="72"/>
      <c r="Z293" s="72"/>
      <c r="AA293" s="73"/>
      <c r="AB293" s="73"/>
      <c r="AC293" s="73"/>
      <c r="AD293" s="73"/>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row>
    <row r="294" spans="3:58">
      <c r="C294" s="74"/>
      <c r="P294" s="72"/>
      <c r="Q294" s="72"/>
      <c r="R294" s="72"/>
      <c r="S294" s="72"/>
      <c r="T294" s="72"/>
      <c r="U294" s="72"/>
      <c r="V294" s="72"/>
      <c r="W294" s="72"/>
      <c r="X294" s="72"/>
      <c r="Y294" s="72"/>
      <c r="Z294" s="72"/>
      <c r="AA294" s="73"/>
      <c r="AB294" s="73"/>
      <c r="AC294" s="73"/>
      <c r="AD294" s="73"/>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row>
    <row r="295" spans="3:58">
      <c r="C295" s="74"/>
      <c r="P295" s="72"/>
      <c r="Q295" s="72"/>
      <c r="R295" s="72"/>
      <c r="S295" s="72"/>
      <c r="T295" s="72"/>
      <c r="U295" s="72"/>
      <c r="V295" s="72"/>
      <c r="W295" s="72"/>
      <c r="X295" s="72"/>
      <c r="Y295" s="72"/>
      <c r="Z295" s="72"/>
      <c r="AA295" s="73"/>
      <c r="AB295" s="73"/>
      <c r="AC295" s="73"/>
      <c r="AD295" s="73"/>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row>
    <row r="296" spans="3:58">
      <c r="C296" s="74"/>
      <c r="P296" s="72"/>
      <c r="Q296" s="72"/>
      <c r="R296" s="72"/>
      <c r="S296" s="72"/>
      <c r="T296" s="72"/>
      <c r="U296" s="72"/>
      <c r="V296" s="72"/>
      <c r="W296" s="72"/>
      <c r="X296" s="72"/>
      <c r="Y296" s="72"/>
      <c r="Z296" s="72"/>
      <c r="AA296" s="73"/>
      <c r="AB296" s="73"/>
      <c r="AC296" s="73"/>
      <c r="AD296" s="73"/>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row>
    <row r="297" spans="3:58">
      <c r="C297" s="74"/>
      <c r="P297" s="72"/>
      <c r="Q297" s="72"/>
      <c r="R297" s="72"/>
      <c r="S297" s="72"/>
      <c r="T297" s="72"/>
      <c r="U297" s="72"/>
      <c r="V297" s="72"/>
      <c r="W297" s="72"/>
      <c r="X297" s="72"/>
      <c r="Y297" s="72"/>
      <c r="Z297" s="72"/>
      <c r="AA297" s="73"/>
      <c r="AB297" s="73"/>
      <c r="AC297" s="73"/>
      <c r="AD297" s="73"/>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row>
    <row r="298" spans="3:58">
      <c r="C298" s="74"/>
      <c r="P298" s="72"/>
      <c r="Q298" s="72"/>
      <c r="R298" s="72"/>
      <c r="S298" s="72"/>
      <c r="T298" s="72"/>
      <c r="U298" s="72"/>
      <c r="V298" s="72"/>
      <c r="W298" s="72"/>
      <c r="X298" s="72"/>
      <c r="Y298" s="72"/>
      <c r="Z298" s="72"/>
      <c r="AA298" s="73"/>
      <c r="AB298" s="73"/>
      <c r="AC298" s="73"/>
      <c r="AD298" s="73"/>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row>
    <row r="299" spans="3:58">
      <c r="C299" s="74"/>
      <c r="Q299" s="72"/>
      <c r="R299" s="72"/>
      <c r="S299" s="72"/>
      <c r="T299" s="72"/>
      <c r="U299" s="72"/>
      <c r="V299" s="72"/>
      <c r="W299" s="72"/>
      <c r="X299" s="72"/>
      <c r="Y299" s="72"/>
      <c r="Z299" s="72"/>
      <c r="AA299" s="72"/>
      <c r="AB299" s="73"/>
      <c r="AC299" s="73"/>
      <c r="AD299" s="73"/>
      <c r="AE299" s="73"/>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row>
    <row r="300" spans="3:58">
      <c r="C300" s="74"/>
      <c r="Q300" s="72"/>
      <c r="R300" s="72"/>
      <c r="S300" s="72"/>
      <c r="T300" s="72"/>
      <c r="U300" s="72"/>
      <c r="V300" s="72"/>
      <c r="W300" s="72"/>
      <c r="X300" s="72"/>
      <c r="Y300" s="72"/>
      <c r="Z300" s="72"/>
      <c r="AA300" s="72"/>
      <c r="AB300" s="73"/>
      <c r="AC300" s="73"/>
      <c r="AD300" s="73"/>
      <c r="AE300" s="73"/>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row>
    <row r="301" spans="3:58">
      <c r="C301" s="74"/>
      <c r="Q301" s="72"/>
      <c r="R301" s="72"/>
      <c r="S301" s="72"/>
      <c r="T301" s="72"/>
      <c r="U301" s="72"/>
      <c r="V301" s="72"/>
      <c r="W301" s="72"/>
      <c r="X301" s="72"/>
      <c r="Y301" s="72"/>
      <c r="Z301" s="72"/>
      <c r="AA301" s="72"/>
      <c r="AB301" s="73"/>
      <c r="AC301" s="73"/>
      <c r="AD301" s="73"/>
      <c r="AE301" s="73"/>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row>
    <row r="302" spans="3:58">
      <c r="C302" s="74"/>
      <c r="Q302" s="72"/>
      <c r="R302" s="72"/>
      <c r="S302" s="72"/>
      <c r="T302" s="72"/>
      <c r="U302" s="72"/>
      <c r="V302" s="72"/>
      <c r="W302" s="72"/>
      <c r="X302" s="72"/>
      <c r="Y302" s="72"/>
      <c r="Z302" s="72"/>
      <c r="AA302" s="72"/>
      <c r="AB302" s="73"/>
      <c r="AC302" s="73"/>
      <c r="AD302" s="73"/>
      <c r="AE302" s="73"/>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c r="BC302" s="72"/>
      <c r="BD302" s="72"/>
      <c r="BE302" s="72"/>
      <c r="BF302" s="72"/>
    </row>
    <row r="303" spans="3:58">
      <c r="C303" s="74"/>
      <c r="Q303" s="72"/>
      <c r="R303" s="72"/>
      <c r="S303" s="72"/>
      <c r="T303" s="72"/>
      <c r="U303" s="72"/>
      <c r="V303" s="72"/>
      <c r="W303" s="72"/>
      <c r="X303" s="72"/>
      <c r="Y303" s="72"/>
      <c r="Z303" s="72"/>
      <c r="AA303" s="72"/>
      <c r="AB303" s="73"/>
      <c r="AC303" s="73"/>
      <c r="AD303" s="73"/>
      <c r="AE303" s="73"/>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row>
    <row r="304" spans="3:58">
      <c r="C304" s="74"/>
      <c r="Q304" s="72"/>
      <c r="R304" s="72"/>
      <c r="S304" s="72"/>
      <c r="T304" s="72"/>
      <c r="U304" s="72"/>
      <c r="V304" s="72"/>
      <c r="W304" s="72"/>
      <c r="X304" s="72"/>
      <c r="Y304" s="72"/>
      <c r="Z304" s="72"/>
      <c r="AA304" s="72"/>
      <c r="AB304" s="73"/>
      <c r="AC304" s="73"/>
      <c r="AD304" s="73"/>
      <c r="AE304" s="73"/>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row>
    <row r="305" spans="3:58">
      <c r="C305" s="74"/>
      <c r="Q305" s="72"/>
      <c r="R305" s="72"/>
      <c r="S305" s="72"/>
      <c r="T305" s="72"/>
      <c r="U305" s="72"/>
      <c r="V305" s="72"/>
      <c r="W305" s="72"/>
      <c r="X305" s="72"/>
      <c r="Y305" s="72"/>
      <c r="Z305" s="72"/>
      <c r="AA305" s="72"/>
      <c r="AB305" s="73"/>
      <c r="AC305" s="73"/>
      <c r="AD305" s="73"/>
      <c r="AE305" s="73"/>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c r="BC305" s="72"/>
      <c r="BD305" s="72"/>
      <c r="BE305" s="72"/>
      <c r="BF305" s="72"/>
    </row>
    <row r="306" spans="3:58">
      <c r="C306" s="74"/>
      <c r="Q306" s="72"/>
      <c r="R306" s="72"/>
      <c r="S306" s="72"/>
      <c r="T306" s="72"/>
      <c r="U306" s="72"/>
      <c r="V306" s="72"/>
      <c r="W306" s="72"/>
      <c r="X306" s="72"/>
      <c r="Y306" s="72"/>
      <c r="Z306" s="72"/>
      <c r="AA306" s="72"/>
      <c r="AB306" s="73"/>
      <c r="AC306" s="73"/>
      <c r="AD306" s="73"/>
      <c r="AE306" s="73"/>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row>
    <row r="307" spans="3:58">
      <c r="C307" s="74"/>
      <c r="Q307" s="72"/>
      <c r="R307" s="72"/>
      <c r="S307" s="72"/>
      <c r="T307" s="72"/>
      <c r="U307" s="72"/>
      <c r="V307" s="72"/>
      <c r="W307" s="72"/>
      <c r="X307" s="72"/>
      <c r="Y307" s="72"/>
      <c r="Z307" s="72"/>
      <c r="AA307" s="72"/>
      <c r="AB307" s="73"/>
      <c r="AC307" s="73"/>
      <c r="AD307" s="73"/>
      <c r="AE307" s="73"/>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row>
    <row r="308" spans="3:58">
      <c r="C308" s="74"/>
      <c r="Q308" s="72"/>
      <c r="R308" s="72"/>
      <c r="S308" s="72"/>
      <c r="T308" s="72"/>
      <c r="U308" s="72"/>
      <c r="V308" s="72"/>
      <c r="W308" s="72"/>
      <c r="X308" s="72"/>
      <c r="Y308" s="72"/>
      <c r="Z308" s="72"/>
      <c r="AA308" s="72"/>
      <c r="AB308" s="73"/>
      <c r="AC308" s="73"/>
      <c r="AD308" s="73"/>
      <c r="AE308" s="73"/>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row>
    <row r="309" spans="3:58">
      <c r="C309" s="74"/>
      <c r="Q309" s="72"/>
      <c r="R309" s="72"/>
      <c r="S309" s="72"/>
      <c r="T309" s="72"/>
      <c r="U309" s="72"/>
      <c r="V309" s="72"/>
      <c r="W309" s="72"/>
      <c r="X309" s="72"/>
      <c r="Y309" s="72"/>
      <c r="Z309" s="72"/>
      <c r="AA309" s="72"/>
      <c r="AB309" s="73"/>
      <c r="AC309" s="73"/>
      <c r="AD309" s="73"/>
      <c r="AE309" s="73"/>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row>
    <row r="310" spans="3:58">
      <c r="C310" s="74"/>
      <c r="Q310" s="72"/>
      <c r="R310" s="72"/>
      <c r="S310" s="72"/>
      <c r="T310" s="72"/>
      <c r="U310" s="72"/>
      <c r="V310" s="72"/>
      <c r="W310" s="72"/>
      <c r="X310" s="72"/>
      <c r="Y310" s="72"/>
      <c r="Z310" s="72"/>
      <c r="AA310" s="72"/>
      <c r="AB310" s="73"/>
      <c r="AC310" s="73"/>
      <c r="AD310" s="73"/>
      <c r="AE310" s="73"/>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row>
    <row r="311" spans="3:58">
      <c r="C311" s="74"/>
      <c r="Q311" s="72"/>
      <c r="R311" s="72"/>
      <c r="S311" s="72"/>
      <c r="T311" s="72"/>
      <c r="U311" s="72"/>
      <c r="V311" s="72"/>
      <c r="W311" s="72"/>
      <c r="X311" s="72"/>
      <c r="Y311" s="72"/>
      <c r="Z311" s="72"/>
      <c r="AA311" s="72"/>
      <c r="AB311" s="73"/>
      <c r="AC311" s="73"/>
      <c r="AD311" s="73"/>
      <c r="AE311" s="73"/>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row>
    <row r="312" spans="3:58">
      <c r="C312" s="74"/>
      <c r="Q312" s="72"/>
      <c r="R312" s="72"/>
      <c r="S312" s="72"/>
      <c r="T312" s="72"/>
      <c r="U312" s="72"/>
      <c r="V312" s="72"/>
      <c r="W312" s="72"/>
      <c r="X312" s="72"/>
      <c r="Y312" s="72"/>
      <c r="Z312" s="72"/>
      <c r="AA312" s="72"/>
      <c r="AB312" s="73"/>
      <c r="AC312" s="73"/>
      <c r="AD312" s="73"/>
      <c r="AE312" s="73"/>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row>
    <row r="313" spans="3:58">
      <c r="C313" s="74"/>
      <c r="Q313" s="72"/>
      <c r="R313" s="72"/>
      <c r="S313" s="72"/>
      <c r="T313" s="72"/>
      <c r="U313" s="72"/>
      <c r="V313" s="72"/>
      <c r="W313" s="72"/>
      <c r="X313" s="72"/>
      <c r="Y313" s="72"/>
      <c r="Z313" s="72"/>
      <c r="AA313" s="72"/>
      <c r="AB313" s="73"/>
      <c r="AC313" s="73"/>
      <c r="AD313" s="73"/>
      <c r="AE313" s="73"/>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row>
    <row r="314" spans="3:58">
      <c r="C314" s="74"/>
      <c r="Q314" s="72"/>
      <c r="R314" s="72"/>
      <c r="S314" s="72"/>
      <c r="T314" s="72"/>
      <c r="U314" s="72"/>
      <c r="V314" s="72"/>
      <c r="W314" s="72"/>
      <c r="X314" s="72"/>
      <c r="Y314" s="72"/>
      <c r="Z314" s="72"/>
      <c r="AA314" s="72"/>
      <c r="AB314" s="73"/>
      <c r="AC314" s="73"/>
      <c r="AD314" s="73"/>
      <c r="AE314" s="73"/>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row>
    <row r="315" spans="3:58">
      <c r="C315" s="74"/>
      <c r="Q315" s="72"/>
      <c r="R315" s="72"/>
      <c r="S315" s="72"/>
      <c r="T315" s="72"/>
      <c r="U315" s="72"/>
      <c r="V315" s="72"/>
      <c r="W315" s="72"/>
      <c r="X315" s="72"/>
      <c r="Y315" s="72"/>
      <c r="Z315" s="72"/>
      <c r="AA315" s="72"/>
      <c r="AB315" s="73"/>
      <c r="AC315" s="73"/>
      <c r="AD315" s="73"/>
      <c r="AE315" s="73"/>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row>
    <row r="316" spans="3:58">
      <c r="C316" s="74"/>
      <c r="Q316" s="72"/>
      <c r="R316" s="72"/>
      <c r="S316" s="72"/>
      <c r="T316" s="72"/>
      <c r="U316" s="72"/>
      <c r="V316" s="72"/>
      <c r="W316" s="72"/>
      <c r="X316" s="72"/>
      <c r="Y316" s="72"/>
      <c r="Z316" s="72"/>
      <c r="AA316" s="72"/>
      <c r="AB316" s="73"/>
      <c r="AC316" s="73"/>
      <c r="AD316" s="73"/>
      <c r="AE316" s="73"/>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row>
    <row r="317" spans="3:58">
      <c r="C317" s="74"/>
      <c r="Q317" s="72"/>
      <c r="R317" s="72"/>
      <c r="S317" s="72"/>
      <c r="T317" s="72"/>
      <c r="U317" s="72"/>
      <c r="V317" s="72"/>
      <c r="W317" s="72"/>
      <c r="X317" s="72"/>
      <c r="Y317" s="72"/>
      <c r="Z317" s="72"/>
      <c r="AA317" s="72"/>
      <c r="AB317" s="73"/>
      <c r="AC317" s="73"/>
      <c r="AD317" s="73"/>
      <c r="AE317" s="73"/>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row>
    <row r="318" spans="3:58">
      <c r="C318" s="74"/>
      <c r="Q318" s="72"/>
      <c r="R318" s="72"/>
      <c r="S318" s="72"/>
      <c r="T318" s="72"/>
      <c r="U318" s="72"/>
      <c r="V318" s="72"/>
      <c r="W318" s="72"/>
      <c r="X318" s="72"/>
      <c r="Y318" s="72"/>
      <c r="Z318" s="72"/>
      <c r="AA318" s="72"/>
      <c r="AB318" s="73"/>
      <c r="AC318" s="73"/>
      <c r="AD318" s="73"/>
      <c r="AE318" s="73"/>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row>
    <row r="319" spans="3:58">
      <c r="C319" s="74"/>
      <c r="Q319" s="72"/>
      <c r="R319" s="72"/>
      <c r="S319" s="72"/>
      <c r="T319" s="72"/>
      <c r="U319" s="72"/>
      <c r="V319" s="72"/>
      <c r="W319" s="72"/>
      <c r="X319" s="72"/>
      <c r="Y319" s="72"/>
      <c r="Z319" s="72"/>
      <c r="AA319" s="72"/>
      <c r="AB319" s="73"/>
      <c r="AC319" s="73"/>
      <c r="AD319" s="73"/>
      <c r="AE319" s="73"/>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row>
    <row r="320" spans="3:58">
      <c r="C320" s="74"/>
      <c r="Q320" s="72"/>
      <c r="R320" s="72"/>
      <c r="S320" s="72"/>
      <c r="T320" s="72"/>
      <c r="U320" s="72"/>
      <c r="V320" s="72"/>
      <c r="W320" s="72"/>
      <c r="X320" s="72"/>
      <c r="Y320" s="72"/>
      <c r="Z320" s="72"/>
      <c r="AA320" s="72"/>
      <c r="AB320" s="73"/>
      <c r="AC320" s="73"/>
      <c r="AD320" s="73"/>
      <c r="AE320" s="73"/>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row>
    <row r="321" spans="3:58">
      <c r="C321" s="74"/>
      <c r="Q321" s="72"/>
      <c r="R321" s="72"/>
      <c r="S321" s="72"/>
      <c r="T321" s="72"/>
      <c r="U321" s="72"/>
      <c r="V321" s="72"/>
      <c r="W321" s="72"/>
      <c r="X321" s="72"/>
      <c r="Y321" s="72"/>
      <c r="Z321" s="72"/>
      <c r="AA321" s="72"/>
      <c r="AB321" s="73"/>
      <c r="AC321" s="73"/>
      <c r="AD321" s="73"/>
      <c r="AE321" s="73"/>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row>
    <row r="322" spans="3:58">
      <c r="C322" s="74"/>
      <c r="Q322" s="72"/>
      <c r="R322" s="72"/>
      <c r="S322" s="72"/>
      <c r="T322" s="72"/>
      <c r="U322" s="72"/>
      <c r="V322" s="72"/>
      <c r="W322" s="72"/>
      <c r="X322" s="72"/>
      <c r="Y322" s="72"/>
      <c r="Z322" s="72"/>
      <c r="AA322" s="72"/>
      <c r="AB322" s="73"/>
      <c r="AC322" s="73"/>
      <c r="AD322" s="73"/>
      <c r="AE322" s="73"/>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row>
    <row r="323" spans="3:58">
      <c r="C323" s="74"/>
      <c r="Q323" s="72"/>
      <c r="R323" s="72"/>
      <c r="S323" s="72"/>
      <c r="T323" s="72"/>
      <c r="U323" s="72"/>
      <c r="V323" s="72"/>
      <c r="W323" s="72"/>
      <c r="X323" s="72"/>
      <c r="Y323" s="72"/>
      <c r="Z323" s="72"/>
      <c r="AA323" s="72"/>
      <c r="AB323" s="73"/>
      <c r="AC323" s="73"/>
      <c r="AD323" s="73"/>
      <c r="AE323" s="73"/>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row>
    <row r="324" spans="3:58">
      <c r="C324" s="74"/>
      <c r="Q324" s="72"/>
      <c r="R324" s="72"/>
      <c r="S324" s="72"/>
      <c r="T324" s="72"/>
      <c r="U324" s="72"/>
      <c r="V324" s="72"/>
      <c r="W324" s="72"/>
      <c r="X324" s="72"/>
      <c r="Y324" s="72"/>
      <c r="Z324" s="72"/>
      <c r="AA324" s="72"/>
      <c r="AB324" s="73"/>
      <c r="AC324" s="73"/>
      <c r="AD324" s="73"/>
      <c r="AE324" s="73"/>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row>
    <row r="325" spans="3:58">
      <c r="C325" s="74"/>
      <c r="Q325" s="72"/>
      <c r="R325" s="72"/>
      <c r="S325" s="72"/>
      <c r="T325" s="72"/>
      <c r="U325" s="72"/>
      <c r="V325" s="72"/>
      <c r="W325" s="72"/>
      <c r="X325" s="72"/>
      <c r="Y325" s="72"/>
      <c r="Z325" s="72"/>
      <c r="AA325" s="72"/>
      <c r="AB325" s="73"/>
      <c r="AC325" s="73"/>
      <c r="AD325" s="73"/>
      <c r="AE325" s="73"/>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row>
    <row r="326" spans="3:58">
      <c r="C326" s="74"/>
      <c r="Q326" s="72"/>
      <c r="R326" s="72"/>
      <c r="S326" s="72"/>
      <c r="T326" s="72"/>
      <c r="U326" s="72"/>
      <c r="V326" s="72"/>
      <c r="W326" s="72"/>
      <c r="X326" s="72"/>
      <c r="Y326" s="72"/>
      <c r="Z326" s="72"/>
      <c r="AA326" s="72"/>
      <c r="AB326" s="73"/>
      <c r="AC326" s="73"/>
      <c r="AD326" s="73"/>
      <c r="AE326" s="73"/>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c r="BC326" s="72"/>
      <c r="BD326" s="72"/>
      <c r="BE326" s="72"/>
      <c r="BF326" s="72"/>
    </row>
    <row r="327" spans="3:58">
      <c r="C327" s="74"/>
      <c r="Q327" s="72"/>
      <c r="R327" s="72"/>
      <c r="S327" s="72"/>
      <c r="T327" s="72"/>
      <c r="U327" s="72"/>
      <c r="V327" s="72"/>
      <c r="W327" s="72"/>
      <c r="X327" s="72"/>
      <c r="Y327" s="72"/>
      <c r="Z327" s="72"/>
      <c r="AA327" s="72"/>
      <c r="AB327" s="73"/>
      <c r="AC327" s="73"/>
      <c r="AD327" s="73"/>
      <c r="AE327" s="73"/>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c r="BC327" s="72"/>
      <c r="BD327" s="72"/>
      <c r="BE327" s="72"/>
      <c r="BF327" s="72"/>
    </row>
    <row r="328" spans="3:58">
      <c r="C328" s="74"/>
      <c r="Q328" s="72"/>
      <c r="R328" s="72"/>
      <c r="S328" s="72"/>
      <c r="T328" s="72"/>
      <c r="U328" s="72"/>
      <c r="V328" s="72"/>
      <c r="W328" s="72"/>
      <c r="X328" s="72"/>
      <c r="Y328" s="72"/>
      <c r="Z328" s="72"/>
      <c r="AA328" s="72"/>
      <c r="AB328" s="73"/>
      <c r="AC328" s="73"/>
      <c r="AD328" s="73"/>
      <c r="AE328" s="73"/>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c r="BC328" s="72"/>
      <c r="BD328" s="72"/>
      <c r="BE328" s="72"/>
      <c r="BF328" s="72"/>
    </row>
    <row r="329" spans="3:58">
      <c r="C329" s="74"/>
      <c r="Q329" s="72"/>
      <c r="R329" s="72"/>
      <c r="S329" s="72"/>
      <c r="T329" s="72"/>
      <c r="U329" s="72"/>
      <c r="V329" s="72"/>
      <c r="W329" s="72"/>
      <c r="X329" s="72"/>
      <c r="Y329" s="72"/>
      <c r="Z329" s="72"/>
      <c r="AA329" s="72"/>
      <c r="AB329" s="73"/>
      <c r="AC329" s="73"/>
      <c r="AD329" s="73"/>
      <c r="AE329" s="73"/>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c r="BC329" s="72"/>
      <c r="BD329" s="72"/>
      <c r="BE329" s="72"/>
      <c r="BF329" s="72"/>
    </row>
    <row r="330" spans="3:58">
      <c r="C330" s="74"/>
      <c r="Q330" s="72"/>
      <c r="R330" s="72"/>
      <c r="S330" s="72"/>
      <c r="T330" s="72"/>
      <c r="U330" s="72"/>
      <c r="V330" s="72"/>
      <c r="W330" s="72"/>
      <c r="X330" s="72"/>
      <c r="Y330" s="72"/>
      <c r="Z330" s="72"/>
      <c r="AA330" s="72"/>
      <c r="AB330" s="73"/>
      <c r="AC330" s="73"/>
      <c r="AD330" s="73"/>
      <c r="AE330" s="73"/>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c r="BC330" s="72"/>
      <c r="BD330" s="72"/>
      <c r="BE330" s="72"/>
      <c r="BF330" s="72"/>
    </row>
    <row r="331" spans="3:58">
      <c r="C331" s="74"/>
      <c r="Q331" s="72"/>
      <c r="R331" s="72"/>
      <c r="S331" s="72"/>
      <c r="T331" s="72"/>
      <c r="U331" s="72"/>
      <c r="V331" s="72"/>
      <c r="W331" s="72"/>
      <c r="X331" s="72"/>
      <c r="Y331" s="72"/>
      <c r="Z331" s="72"/>
      <c r="AA331" s="72"/>
      <c r="AB331" s="73"/>
      <c r="AC331" s="73"/>
      <c r="AD331" s="73"/>
      <c r="AE331" s="73"/>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row>
    <row r="332" spans="3:58">
      <c r="C332" s="74"/>
      <c r="Q332" s="72"/>
      <c r="R332" s="72"/>
      <c r="S332" s="72"/>
      <c r="T332" s="72"/>
      <c r="U332" s="72"/>
      <c r="V332" s="72"/>
      <c r="W332" s="72"/>
      <c r="X332" s="72"/>
      <c r="Y332" s="72"/>
      <c r="Z332" s="72"/>
      <c r="AA332" s="72"/>
      <c r="AB332" s="73"/>
      <c r="AC332" s="73"/>
      <c r="AD332" s="73"/>
      <c r="AE332" s="73"/>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row>
    <row r="333" spans="3:58">
      <c r="C333" s="74"/>
      <c r="Q333" s="72"/>
      <c r="R333" s="72"/>
      <c r="S333" s="72"/>
      <c r="T333" s="72"/>
      <c r="U333" s="72"/>
      <c r="V333" s="72"/>
      <c r="W333" s="72"/>
      <c r="X333" s="72"/>
      <c r="Y333" s="72"/>
      <c r="Z333" s="72"/>
      <c r="AA333" s="72"/>
      <c r="AB333" s="73"/>
      <c r="AC333" s="73"/>
      <c r="AD333" s="73"/>
      <c r="AE333" s="73"/>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row>
    <row r="334" spans="3:58">
      <c r="C334" s="74"/>
      <c r="Q334" s="72"/>
      <c r="R334" s="72"/>
      <c r="S334" s="72"/>
      <c r="T334" s="72"/>
      <c r="U334" s="72"/>
      <c r="V334" s="72"/>
      <c r="W334" s="72"/>
      <c r="X334" s="72"/>
      <c r="Y334" s="72"/>
      <c r="Z334" s="72"/>
      <c r="AA334" s="72"/>
      <c r="AB334" s="73"/>
      <c r="AC334" s="73"/>
      <c r="AD334" s="73"/>
      <c r="AE334" s="73"/>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row>
    <row r="335" spans="3:58">
      <c r="C335" s="74"/>
      <c r="Q335" s="72"/>
      <c r="R335" s="72"/>
      <c r="S335" s="72"/>
      <c r="T335" s="72"/>
      <c r="U335" s="72"/>
      <c r="V335" s="72"/>
      <c r="W335" s="72"/>
      <c r="X335" s="72"/>
      <c r="Y335" s="72"/>
      <c r="Z335" s="72"/>
      <c r="AA335" s="72"/>
      <c r="AB335" s="73"/>
      <c r="AC335" s="73"/>
      <c r="AD335" s="73"/>
      <c r="AE335" s="73"/>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c r="BC335" s="72"/>
      <c r="BD335" s="72"/>
      <c r="BE335" s="72"/>
      <c r="BF335" s="72"/>
    </row>
    <row r="336" spans="3:58">
      <c r="C336" s="74"/>
      <c r="Q336" s="72"/>
      <c r="R336" s="72"/>
      <c r="S336" s="72"/>
      <c r="T336" s="72"/>
      <c r="U336" s="72"/>
      <c r="V336" s="72"/>
      <c r="W336" s="72"/>
      <c r="X336" s="72"/>
      <c r="Y336" s="72"/>
      <c r="Z336" s="72"/>
      <c r="AA336" s="72"/>
      <c r="AB336" s="73"/>
      <c r="AC336" s="73"/>
      <c r="AD336" s="73"/>
      <c r="AE336" s="73"/>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c r="BC336" s="72"/>
      <c r="BD336" s="72"/>
      <c r="BE336" s="72"/>
      <c r="BF336" s="72"/>
    </row>
    <row r="337" spans="3:58">
      <c r="C337" s="74"/>
      <c r="Q337" s="72"/>
      <c r="R337" s="72"/>
      <c r="S337" s="72"/>
      <c r="T337" s="72"/>
      <c r="U337" s="72"/>
      <c r="V337" s="72"/>
      <c r="W337" s="72"/>
      <c r="X337" s="72"/>
      <c r="Y337" s="72"/>
      <c r="Z337" s="72"/>
      <c r="AA337" s="72"/>
      <c r="AB337" s="73"/>
      <c r="AC337" s="73"/>
      <c r="AD337" s="73"/>
      <c r="AE337" s="73"/>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c r="BC337" s="72"/>
      <c r="BD337" s="72"/>
      <c r="BE337" s="72"/>
      <c r="BF337" s="72"/>
    </row>
    <row r="338" spans="3:58">
      <c r="C338" s="74"/>
      <c r="Q338" s="72"/>
      <c r="R338" s="72"/>
      <c r="S338" s="72"/>
      <c r="T338" s="72"/>
      <c r="U338" s="72"/>
      <c r="V338" s="72"/>
      <c r="W338" s="72"/>
      <c r="X338" s="72"/>
      <c r="Y338" s="72"/>
      <c r="Z338" s="72"/>
      <c r="AA338" s="72"/>
      <c r="AB338" s="73"/>
      <c r="AC338" s="73"/>
      <c r="AD338" s="73"/>
      <c r="AE338" s="73"/>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row>
    <row r="339" spans="3:58">
      <c r="C339" s="74"/>
      <c r="Q339" s="72"/>
      <c r="R339" s="72"/>
      <c r="S339" s="72"/>
      <c r="T339" s="72"/>
      <c r="U339" s="72"/>
      <c r="V339" s="72"/>
      <c r="W339" s="72"/>
      <c r="X339" s="72"/>
      <c r="Y339" s="72"/>
      <c r="Z339" s="72"/>
      <c r="AA339" s="72"/>
      <c r="AB339" s="73"/>
      <c r="AC339" s="73"/>
      <c r="AD339" s="73"/>
      <c r="AE339" s="73"/>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row>
    <row r="340" spans="3:58">
      <c r="C340" s="74"/>
      <c r="Q340" s="72"/>
      <c r="R340" s="72"/>
      <c r="S340" s="72"/>
      <c r="T340" s="72"/>
      <c r="U340" s="72"/>
      <c r="V340" s="72"/>
      <c r="W340" s="72"/>
      <c r="X340" s="72"/>
      <c r="Y340" s="72"/>
      <c r="Z340" s="72"/>
      <c r="AA340" s="72"/>
      <c r="AB340" s="73"/>
      <c r="AC340" s="73"/>
      <c r="AD340" s="73"/>
      <c r="AE340" s="73"/>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row>
    <row r="341" spans="3:58">
      <c r="C341" s="74"/>
      <c r="Q341" s="72"/>
      <c r="R341" s="72"/>
      <c r="S341" s="72"/>
      <c r="T341" s="72"/>
      <c r="U341" s="72"/>
      <c r="V341" s="72"/>
      <c r="W341" s="72"/>
      <c r="X341" s="72"/>
      <c r="Y341" s="72"/>
      <c r="Z341" s="72"/>
      <c r="AA341" s="72"/>
      <c r="AB341" s="73"/>
      <c r="AC341" s="73"/>
      <c r="AD341" s="73"/>
      <c r="AE341" s="73"/>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row>
    <row r="342" spans="3:58">
      <c r="C342" s="74"/>
      <c r="Q342" s="72"/>
      <c r="R342" s="72"/>
      <c r="S342" s="72"/>
      <c r="T342" s="72"/>
      <c r="U342" s="72"/>
      <c r="V342" s="72"/>
      <c r="W342" s="72"/>
      <c r="X342" s="72"/>
      <c r="Y342" s="72"/>
      <c r="Z342" s="72"/>
      <c r="AA342" s="72"/>
      <c r="AB342" s="73"/>
      <c r="AC342" s="73"/>
      <c r="AD342" s="73"/>
      <c r="AE342" s="73"/>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row>
    <row r="343" spans="3:58">
      <c r="C343" s="74"/>
      <c r="Q343" s="72"/>
      <c r="R343" s="72"/>
      <c r="S343" s="72"/>
      <c r="T343" s="72"/>
      <c r="U343" s="72"/>
      <c r="V343" s="72"/>
      <c r="W343" s="72"/>
      <c r="X343" s="72"/>
      <c r="Y343" s="72"/>
      <c r="Z343" s="72"/>
      <c r="AA343" s="72"/>
      <c r="AB343" s="73"/>
      <c r="AC343" s="73"/>
      <c r="AD343" s="73"/>
      <c r="AE343" s="73"/>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c r="BC343" s="72"/>
      <c r="BD343" s="72"/>
      <c r="BE343" s="72"/>
      <c r="BF343" s="72"/>
    </row>
    <row r="344" spans="3:58">
      <c r="C344" s="74"/>
      <c r="Q344" s="72"/>
      <c r="R344" s="72"/>
      <c r="S344" s="72"/>
      <c r="T344" s="72"/>
      <c r="U344" s="72"/>
      <c r="V344" s="72"/>
      <c r="W344" s="72"/>
      <c r="X344" s="72"/>
      <c r="Y344" s="72"/>
      <c r="Z344" s="72"/>
      <c r="AA344" s="72"/>
      <c r="AB344" s="73"/>
      <c r="AC344" s="73"/>
      <c r="AD344" s="73"/>
      <c r="AE344" s="73"/>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c r="BC344" s="72"/>
      <c r="BD344" s="72"/>
      <c r="BE344" s="72"/>
      <c r="BF344" s="72"/>
    </row>
    <row r="345" spans="3:58">
      <c r="C345" s="74"/>
      <c r="Q345" s="72"/>
      <c r="R345" s="72"/>
      <c r="S345" s="72"/>
      <c r="T345" s="72"/>
      <c r="U345" s="72"/>
      <c r="V345" s="72"/>
      <c r="W345" s="72"/>
      <c r="X345" s="72"/>
      <c r="Y345" s="72"/>
      <c r="Z345" s="72"/>
      <c r="AA345" s="72"/>
      <c r="AB345" s="73"/>
      <c r="AC345" s="73"/>
      <c r="AD345" s="73"/>
      <c r="AE345" s="73"/>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c r="BC345" s="72"/>
      <c r="BD345" s="72"/>
      <c r="BE345" s="72"/>
      <c r="BF345" s="72"/>
    </row>
    <row r="346" spans="3:58">
      <c r="C346" s="74"/>
      <c r="Q346" s="72"/>
      <c r="R346" s="72"/>
      <c r="S346" s="72"/>
      <c r="T346" s="72"/>
      <c r="U346" s="72"/>
      <c r="V346" s="72"/>
      <c r="W346" s="72"/>
      <c r="X346" s="72"/>
      <c r="Y346" s="72"/>
      <c r="Z346" s="72"/>
      <c r="AA346" s="72"/>
      <c r="AB346" s="73"/>
      <c r="AC346" s="73"/>
      <c r="AD346" s="73"/>
      <c r="AE346" s="73"/>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row>
    <row r="347" spans="3:58">
      <c r="C347" s="74"/>
      <c r="Q347" s="72"/>
      <c r="R347" s="72"/>
      <c r="S347" s="72"/>
      <c r="T347" s="72"/>
      <c r="U347" s="72"/>
      <c r="V347" s="72"/>
      <c r="W347" s="72"/>
      <c r="X347" s="72"/>
      <c r="Y347" s="72"/>
      <c r="Z347" s="72"/>
      <c r="AA347" s="72"/>
      <c r="AB347" s="73"/>
      <c r="AC347" s="73"/>
      <c r="AD347" s="73"/>
      <c r="AE347" s="73"/>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row>
    <row r="348" spans="3:58">
      <c r="C348" s="74"/>
      <c r="Q348" s="72"/>
      <c r="R348" s="72"/>
      <c r="S348" s="72"/>
      <c r="T348" s="72"/>
      <c r="U348" s="72"/>
      <c r="V348" s="72"/>
      <c r="W348" s="72"/>
      <c r="X348" s="72"/>
      <c r="Y348" s="72"/>
      <c r="Z348" s="72"/>
      <c r="AA348" s="72"/>
      <c r="AB348" s="73"/>
      <c r="AC348" s="73"/>
      <c r="AD348" s="73"/>
      <c r="AE348" s="73"/>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row>
    <row r="349" spans="3:58">
      <c r="C349" s="74"/>
      <c r="Q349" s="72"/>
      <c r="R349" s="72"/>
      <c r="S349" s="72"/>
      <c r="T349" s="72"/>
      <c r="U349" s="72"/>
      <c r="V349" s="72"/>
      <c r="W349" s="72"/>
      <c r="X349" s="72"/>
      <c r="Y349" s="72"/>
      <c r="Z349" s="72"/>
      <c r="AA349" s="72"/>
      <c r="AB349" s="73"/>
      <c r="AC349" s="73"/>
      <c r="AD349" s="73"/>
      <c r="AE349" s="73"/>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c r="BC349" s="72"/>
      <c r="BD349" s="72"/>
      <c r="BE349" s="72"/>
      <c r="BF349" s="72"/>
    </row>
    <row r="350" spans="3:58">
      <c r="C350" s="74"/>
      <c r="Q350" s="72"/>
      <c r="R350" s="72"/>
      <c r="S350" s="72"/>
      <c r="T350" s="72"/>
      <c r="U350" s="72"/>
      <c r="V350" s="72"/>
      <c r="W350" s="72"/>
      <c r="X350" s="72"/>
      <c r="Y350" s="72"/>
      <c r="Z350" s="72"/>
      <c r="AA350" s="72"/>
      <c r="AB350" s="73"/>
      <c r="AC350" s="73"/>
      <c r="AD350" s="73"/>
      <c r="AE350" s="73"/>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c r="BC350" s="72"/>
      <c r="BD350" s="72"/>
      <c r="BE350" s="72"/>
      <c r="BF350" s="72"/>
    </row>
    <row r="351" spans="3:58">
      <c r="C351" s="74"/>
      <c r="Q351" s="72"/>
      <c r="R351" s="72"/>
      <c r="S351" s="72"/>
      <c r="T351" s="72"/>
      <c r="U351" s="72"/>
      <c r="V351" s="72"/>
      <c r="W351" s="72"/>
      <c r="X351" s="72"/>
      <c r="Y351" s="72"/>
      <c r="Z351" s="72"/>
      <c r="AA351" s="72"/>
      <c r="AB351" s="73"/>
      <c r="AC351" s="73"/>
      <c r="AD351" s="73"/>
      <c r="AE351" s="73"/>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c r="BC351" s="72"/>
      <c r="BD351" s="72"/>
      <c r="BE351" s="72"/>
      <c r="BF351" s="72"/>
    </row>
    <row r="352" spans="3:58">
      <c r="C352" s="74"/>
      <c r="Q352" s="72"/>
      <c r="R352" s="72"/>
      <c r="S352" s="72"/>
      <c r="T352" s="72"/>
      <c r="U352" s="72"/>
      <c r="V352" s="72"/>
      <c r="W352" s="72"/>
      <c r="X352" s="72"/>
      <c r="Y352" s="72"/>
      <c r="Z352" s="72"/>
      <c r="AA352" s="72"/>
      <c r="AB352" s="73"/>
      <c r="AC352" s="73"/>
      <c r="AD352" s="73"/>
      <c r="AE352" s="73"/>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c r="BC352" s="72"/>
      <c r="BD352" s="72"/>
      <c r="BE352" s="72"/>
      <c r="BF352" s="72"/>
    </row>
    <row r="353" spans="3:58">
      <c r="C353" s="74"/>
      <c r="Q353" s="72"/>
      <c r="R353" s="72"/>
      <c r="S353" s="72"/>
      <c r="T353" s="72"/>
      <c r="U353" s="72"/>
      <c r="V353" s="72"/>
      <c r="W353" s="72"/>
      <c r="X353" s="72"/>
      <c r="Y353" s="72"/>
      <c r="Z353" s="72"/>
      <c r="AA353" s="72"/>
      <c r="AB353" s="73"/>
      <c r="AC353" s="73"/>
      <c r="AD353" s="73"/>
      <c r="AE353" s="73"/>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row>
    <row r="354" spans="3:58">
      <c r="C354" s="74"/>
      <c r="Q354" s="72"/>
      <c r="R354" s="72"/>
      <c r="S354" s="72"/>
      <c r="T354" s="72"/>
      <c r="U354" s="72"/>
      <c r="V354" s="72"/>
      <c r="W354" s="72"/>
      <c r="X354" s="72"/>
      <c r="Y354" s="72"/>
      <c r="Z354" s="72"/>
      <c r="AA354" s="72"/>
      <c r="AB354" s="73"/>
      <c r="AC354" s="73"/>
      <c r="AD354" s="73"/>
      <c r="AE354" s="73"/>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row>
    <row r="355" spans="3:58">
      <c r="C355" s="74"/>
      <c r="Q355" s="72"/>
      <c r="R355" s="72"/>
      <c r="S355" s="72"/>
      <c r="T355" s="72"/>
      <c r="U355" s="72"/>
      <c r="V355" s="72"/>
      <c r="W355" s="72"/>
      <c r="X355" s="72"/>
      <c r="Y355" s="72"/>
      <c r="Z355" s="72"/>
      <c r="AA355" s="72"/>
      <c r="AB355" s="73"/>
      <c r="AC355" s="73"/>
      <c r="AD355" s="73"/>
      <c r="AE355" s="73"/>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c r="BC355" s="72"/>
      <c r="BD355" s="72"/>
      <c r="BE355" s="72"/>
      <c r="BF355" s="72"/>
    </row>
    <row r="356" spans="3:58">
      <c r="C356" s="74"/>
      <c r="Q356" s="72"/>
      <c r="R356" s="72"/>
      <c r="S356" s="72"/>
      <c r="T356" s="72"/>
      <c r="U356" s="72"/>
      <c r="V356" s="72"/>
      <c r="W356" s="72"/>
      <c r="X356" s="72"/>
      <c r="Y356" s="72"/>
      <c r="Z356" s="72"/>
      <c r="AA356" s="72"/>
      <c r="AB356" s="73"/>
      <c r="AC356" s="73"/>
      <c r="AD356" s="73"/>
      <c r="AE356" s="73"/>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c r="BC356" s="72"/>
      <c r="BD356" s="72"/>
      <c r="BE356" s="72"/>
      <c r="BF356" s="72"/>
    </row>
    <row r="357" spans="3:58">
      <c r="C357" s="74"/>
      <c r="Q357" s="72"/>
      <c r="R357" s="72"/>
      <c r="S357" s="72"/>
      <c r="T357" s="72"/>
      <c r="U357" s="72"/>
      <c r="V357" s="72"/>
      <c r="W357" s="72"/>
      <c r="X357" s="72"/>
      <c r="Y357" s="72"/>
      <c r="Z357" s="72"/>
      <c r="AA357" s="72"/>
      <c r="AB357" s="73"/>
      <c r="AC357" s="73"/>
      <c r="AD357" s="73"/>
      <c r="AE357" s="73"/>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c r="BC357" s="72"/>
      <c r="BD357" s="72"/>
      <c r="BE357" s="72"/>
      <c r="BF357" s="72"/>
    </row>
    <row r="358" spans="3:58">
      <c r="C358" s="74"/>
      <c r="Q358" s="72"/>
      <c r="R358" s="72"/>
      <c r="S358" s="72"/>
      <c r="T358" s="72"/>
      <c r="U358" s="72"/>
      <c r="V358" s="72"/>
      <c r="W358" s="72"/>
      <c r="X358" s="72"/>
      <c r="Y358" s="72"/>
      <c r="Z358" s="72"/>
      <c r="AA358" s="72"/>
      <c r="AB358" s="73"/>
      <c r="AC358" s="73"/>
      <c r="AD358" s="73"/>
      <c r="AE358" s="73"/>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row>
    <row r="359" spans="3:58">
      <c r="C359" s="74"/>
      <c r="Q359" s="72"/>
      <c r="R359" s="72"/>
      <c r="S359" s="72"/>
      <c r="T359" s="72"/>
      <c r="U359" s="72"/>
      <c r="V359" s="72"/>
      <c r="W359" s="72"/>
      <c r="X359" s="72"/>
      <c r="Y359" s="72"/>
      <c r="Z359" s="72"/>
      <c r="AA359" s="72"/>
      <c r="AB359" s="73"/>
      <c r="AC359" s="73"/>
      <c r="AD359" s="73"/>
      <c r="AE359" s="73"/>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row>
    <row r="360" spans="3:58">
      <c r="C360" s="74"/>
      <c r="Q360" s="72"/>
      <c r="R360" s="72"/>
      <c r="S360" s="72"/>
      <c r="T360" s="72"/>
      <c r="U360" s="72"/>
      <c r="V360" s="72"/>
      <c r="W360" s="72"/>
      <c r="X360" s="72"/>
      <c r="Y360" s="72"/>
      <c r="Z360" s="72"/>
      <c r="AA360" s="72"/>
      <c r="AB360" s="73"/>
      <c r="AC360" s="73"/>
      <c r="AD360" s="73"/>
      <c r="AE360" s="73"/>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c r="BC360" s="72"/>
      <c r="BD360" s="72"/>
      <c r="BE360" s="72"/>
      <c r="BF360" s="72"/>
    </row>
    <row r="361" spans="3:58">
      <c r="C361" s="74"/>
      <c r="Q361" s="72"/>
      <c r="R361" s="72"/>
      <c r="S361" s="72"/>
      <c r="T361" s="72"/>
      <c r="U361" s="72"/>
      <c r="V361" s="72"/>
      <c r="W361" s="72"/>
      <c r="X361" s="72"/>
      <c r="Y361" s="72"/>
      <c r="Z361" s="72"/>
      <c r="AA361" s="72"/>
      <c r="AB361" s="73"/>
      <c r="AC361" s="73"/>
      <c r="AD361" s="73"/>
      <c r="AE361" s="73"/>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c r="BC361" s="72"/>
      <c r="BD361" s="72"/>
      <c r="BE361" s="72"/>
      <c r="BF361" s="72"/>
    </row>
    <row r="362" spans="3:58">
      <c r="C362" s="74"/>
      <c r="Q362" s="72"/>
      <c r="R362" s="72"/>
      <c r="S362" s="72"/>
      <c r="T362" s="72"/>
      <c r="U362" s="72"/>
      <c r="V362" s="72"/>
      <c r="W362" s="72"/>
      <c r="X362" s="72"/>
      <c r="Y362" s="72"/>
      <c r="Z362" s="72"/>
      <c r="AA362" s="72"/>
      <c r="AB362" s="73"/>
      <c r="AC362" s="73"/>
      <c r="AD362" s="73"/>
      <c r="AE362" s="73"/>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c r="BC362" s="72"/>
      <c r="BD362" s="72"/>
      <c r="BE362" s="72"/>
      <c r="BF362" s="72"/>
    </row>
    <row r="363" spans="3:58">
      <c r="C363" s="74"/>
      <c r="Q363" s="72"/>
      <c r="R363" s="72"/>
      <c r="S363" s="72"/>
      <c r="T363" s="72"/>
      <c r="U363" s="72"/>
      <c r="V363" s="72"/>
      <c r="W363" s="72"/>
      <c r="X363" s="72"/>
      <c r="Y363" s="72"/>
      <c r="Z363" s="72"/>
      <c r="AA363" s="72"/>
      <c r="AB363" s="73"/>
      <c r="AC363" s="73"/>
      <c r="AD363" s="73"/>
      <c r="AE363" s="73"/>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c r="BC363" s="72"/>
      <c r="BD363" s="72"/>
      <c r="BE363" s="72"/>
      <c r="BF363" s="72"/>
    </row>
    <row r="364" spans="3:58">
      <c r="C364" s="74"/>
      <c r="Q364" s="72"/>
      <c r="R364" s="72"/>
      <c r="S364" s="72"/>
      <c r="T364" s="72"/>
      <c r="U364" s="72"/>
      <c r="V364" s="72"/>
      <c r="W364" s="72"/>
      <c r="X364" s="72"/>
      <c r="Y364" s="72"/>
      <c r="Z364" s="72"/>
      <c r="AA364" s="72"/>
      <c r="AB364" s="73"/>
      <c r="AC364" s="73"/>
      <c r="AD364" s="73"/>
      <c r="AE364" s="73"/>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c r="BC364" s="72"/>
      <c r="BD364" s="72"/>
      <c r="BE364" s="72"/>
      <c r="BF364" s="72"/>
    </row>
    <row r="365" spans="3:58">
      <c r="C365" s="74"/>
      <c r="Q365" s="72"/>
      <c r="R365" s="72"/>
      <c r="S365" s="72"/>
      <c r="T365" s="72"/>
      <c r="U365" s="72"/>
      <c r="V365" s="72"/>
      <c r="W365" s="72"/>
      <c r="X365" s="72"/>
      <c r="Y365" s="72"/>
      <c r="Z365" s="72"/>
      <c r="AA365" s="72"/>
      <c r="AB365" s="73"/>
      <c r="AC365" s="73"/>
      <c r="AD365" s="73"/>
      <c r="AE365" s="73"/>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c r="BC365" s="72"/>
      <c r="BD365" s="72"/>
      <c r="BE365" s="72"/>
      <c r="BF365" s="72"/>
    </row>
    <row r="366" spans="3:58">
      <c r="C366" s="74"/>
      <c r="Q366" s="72"/>
      <c r="R366" s="72"/>
      <c r="S366" s="72"/>
      <c r="T366" s="72"/>
      <c r="U366" s="72"/>
      <c r="V366" s="72"/>
      <c r="W366" s="72"/>
      <c r="X366" s="72"/>
      <c r="Y366" s="72"/>
      <c r="Z366" s="72"/>
      <c r="AA366" s="72"/>
      <c r="AB366" s="73"/>
      <c r="AC366" s="73"/>
      <c r="AD366" s="73"/>
      <c r="AE366" s="73"/>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c r="BC366" s="72"/>
      <c r="BD366" s="72"/>
      <c r="BE366" s="72"/>
      <c r="BF366" s="72"/>
    </row>
    <row r="367" spans="3:58">
      <c r="C367" s="74"/>
      <c r="Q367" s="72"/>
      <c r="R367" s="72"/>
      <c r="S367" s="72"/>
      <c r="T367" s="72"/>
      <c r="U367" s="72"/>
      <c r="V367" s="72"/>
      <c r="W367" s="72"/>
      <c r="X367" s="72"/>
      <c r="Y367" s="72"/>
      <c r="Z367" s="72"/>
      <c r="AA367" s="72"/>
      <c r="AB367" s="73"/>
      <c r="AC367" s="73"/>
      <c r="AD367" s="73"/>
      <c r="AE367" s="73"/>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c r="BC367" s="72"/>
      <c r="BD367" s="72"/>
      <c r="BE367" s="72"/>
      <c r="BF367" s="72"/>
    </row>
    <row r="368" spans="3:58">
      <c r="C368" s="74"/>
      <c r="Q368" s="72"/>
      <c r="R368" s="72"/>
      <c r="S368" s="72"/>
      <c r="T368" s="72"/>
      <c r="U368" s="72"/>
      <c r="V368" s="72"/>
      <c r="W368" s="72"/>
      <c r="X368" s="72"/>
      <c r="Y368" s="72"/>
      <c r="Z368" s="72"/>
      <c r="AA368" s="72"/>
      <c r="AB368" s="73"/>
      <c r="AC368" s="73"/>
      <c r="AD368" s="73"/>
      <c r="AE368" s="73"/>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c r="BC368" s="72"/>
      <c r="BD368" s="72"/>
      <c r="BE368" s="72"/>
      <c r="BF368" s="72"/>
    </row>
    <row r="369" spans="3:58">
      <c r="C369" s="74"/>
      <c r="Q369" s="72"/>
      <c r="R369" s="72"/>
      <c r="S369" s="72"/>
      <c r="T369" s="72"/>
      <c r="U369" s="72"/>
      <c r="V369" s="72"/>
      <c r="W369" s="72"/>
      <c r="X369" s="72"/>
      <c r="Y369" s="72"/>
      <c r="Z369" s="72"/>
      <c r="AA369" s="72"/>
      <c r="AB369" s="73"/>
      <c r="AC369" s="73"/>
      <c r="AD369" s="73"/>
      <c r="AE369" s="73"/>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c r="BC369" s="72"/>
      <c r="BD369" s="72"/>
      <c r="BE369" s="72"/>
      <c r="BF369" s="72"/>
    </row>
    <row r="370" spans="3:58">
      <c r="C370" s="74"/>
      <c r="Q370" s="72"/>
      <c r="R370" s="72"/>
      <c r="S370" s="72"/>
      <c r="T370" s="72"/>
      <c r="U370" s="72"/>
      <c r="V370" s="72"/>
      <c r="W370" s="72"/>
      <c r="X370" s="72"/>
      <c r="Y370" s="72"/>
      <c r="Z370" s="72"/>
      <c r="AA370" s="72"/>
      <c r="AB370" s="73"/>
      <c r="AC370" s="73"/>
      <c r="AD370" s="73"/>
      <c r="AE370" s="73"/>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c r="BC370" s="72"/>
      <c r="BD370" s="72"/>
      <c r="BE370" s="72"/>
      <c r="BF370" s="72"/>
    </row>
    <row r="371" spans="3:58">
      <c r="C371" s="74"/>
      <c r="Q371" s="72"/>
      <c r="R371" s="72"/>
      <c r="S371" s="72"/>
      <c r="T371" s="72"/>
      <c r="U371" s="72"/>
      <c r="V371" s="72"/>
      <c r="W371" s="72"/>
      <c r="X371" s="72"/>
      <c r="Y371" s="72"/>
      <c r="Z371" s="72"/>
      <c r="AA371" s="72"/>
      <c r="AB371" s="73"/>
      <c r="AC371" s="73"/>
      <c r="AD371" s="73"/>
      <c r="AE371" s="73"/>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c r="BC371" s="72"/>
      <c r="BD371" s="72"/>
      <c r="BE371" s="72"/>
      <c r="BF371" s="72"/>
    </row>
    <row r="372" spans="3:58">
      <c r="C372" s="74"/>
      <c r="Q372" s="72"/>
      <c r="R372" s="72"/>
      <c r="S372" s="72"/>
      <c r="T372" s="72"/>
      <c r="U372" s="72"/>
      <c r="V372" s="72"/>
      <c r="W372" s="72"/>
      <c r="X372" s="72"/>
      <c r="Y372" s="72"/>
      <c r="Z372" s="72"/>
      <c r="AA372" s="72"/>
      <c r="AB372" s="73"/>
      <c r="AC372" s="73"/>
      <c r="AD372" s="73"/>
      <c r="AE372" s="73"/>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c r="BC372" s="72"/>
      <c r="BD372" s="72"/>
      <c r="BE372" s="72"/>
      <c r="BF372" s="72"/>
    </row>
    <row r="373" spans="3:58">
      <c r="C373" s="74"/>
      <c r="Q373" s="72"/>
      <c r="R373" s="72"/>
      <c r="S373" s="72"/>
      <c r="T373" s="72"/>
      <c r="U373" s="72"/>
      <c r="V373" s="72"/>
      <c r="W373" s="72"/>
      <c r="X373" s="72"/>
      <c r="Y373" s="72"/>
      <c r="Z373" s="72"/>
      <c r="AA373" s="72"/>
      <c r="AB373" s="73"/>
      <c r="AC373" s="73"/>
      <c r="AD373" s="73"/>
      <c r="AE373" s="73"/>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c r="BC373" s="72"/>
      <c r="BD373" s="72"/>
      <c r="BE373" s="72"/>
      <c r="BF373" s="72"/>
    </row>
    <row r="374" spans="3:58">
      <c r="C374" s="74"/>
      <c r="Q374" s="72"/>
      <c r="R374" s="72"/>
      <c r="S374" s="72"/>
      <c r="T374" s="72"/>
      <c r="U374" s="72"/>
      <c r="V374" s="72"/>
      <c r="W374" s="72"/>
      <c r="X374" s="72"/>
      <c r="Y374" s="72"/>
      <c r="Z374" s="72"/>
      <c r="AA374" s="72"/>
      <c r="AB374" s="73"/>
      <c r="AC374" s="73"/>
      <c r="AD374" s="73"/>
      <c r="AE374" s="73"/>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c r="BC374" s="72"/>
      <c r="BD374" s="72"/>
      <c r="BE374" s="72"/>
      <c r="BF374" s="72"/>
    </row>
    <row r="375" spans="3:58">
      <c r="C375" s="74"/>
      <c r="Q375" s="72"/>
      <c r="R375" s="72"/>
      <c r="S375" s="72"/>
      <c r="T375" s="72"/>
      <c r="U375" s="72"/>
      <c r="V375" s="72"/>
      <c r="W375" s="72"/>
      <c r="X375" s="72"/>
      <c r="Y375" s="72"/>
      <c r="Z375" s="72"/>
      <c r="AA375" s="72"/>
      <c r="AB375" s="73"/>
      <c r="AC375" s="73"/>
      <c r="AD375" s="73"/>
      <c r="AE375" s="73"/>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row>
    <row r="376" spans="3:58">
      <c r="C376" s="74"/>
      <c r="Q376" s="72"/>
      <c r="R376" s="72"/>
      <c r="S376" s="72"/>
      <c r="T376" s="72"/>
      <c r="U376" s="72"/>
      <c r="V376" s="72"/>
      <c r="W376" s="72"/>
      <c r="X376" s="72"/>
      <c r="Y376" s="72"/>
      <c r="Z376" s="72"/>
      <c r="AA376" s="72"/>
      <c r="AB376" s="73"/>
      <c r="AC376" s="73"/>
      <c r="AD376" s="73"/>
      <c r="AE376" s="73"/>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row>
    <row r="377" spans="3:58">
      <c r="C377" s="74"/>
      <c r="Q377" s="72"/>
      <c r="R377" s="72"/>
      <c r="S377" s="72"/>
      <c r="T377" s="72"/>
      <c r="U377" s="72"/>
      <c r="V377" s="72"/>
      <c r="W377" s="72"/>
      <c r="X377" s="72"/>
      <c r="Y377" s="72"/>
      <c r="Z377" s="72"/>
      <c r="AA377" s="72"/>
      <c r="AB377" s="73"/>
      <c r="AC377" s="73"/>
      <c r="AD377" s="73"/>
      <c r="AE377" s="73"/>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row>
    <row r="378" spans="3:58">
      <c r="C378" s="74"/>
      <c r="Q378" s="72"/>
      <c r="R378" s="72"/>
      <c r="S378" s="72"/>
      <c r="T378" s="72"/>
      <c r="U378" s="72"/>
      <c r="V378" s="72"/>
      <c r="W378" s="72"/>
      <c r="X378" s="72"/>
      <c r="Y378" s="72"/>
      <c r="Z378" s="72"/>
      <c r="AA378" s="72"/>
      <c r="AB378" s="73"/>
      <c r="AC378" s="73"/>
      <c r="AD378" s="73"/>
      <c r="AE378" s="73"/>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c r="BC378" s="72"/>
      <c r="BD378" s="72"/>
      <c r="BE378" s="72"/>
      <c r="BF378" s="72"/>
    </row>
    <row r="379" spans="3:58">
      <c r="C379" s="74"/>
      <c r="Q379" s="72"/>
      <c r="R379" s="72"/>
      <c r="S379" s="72"/>
      <c r="T379" s="72"/>
      <c r="U379" s="72"/>
      <c r="V379" s="72"/>
      <c r="W379" s="72"/>
      <c r="X379" s="72"/>
      <c r="Y379" s="72"/>
      <c r="Z379" s="72"/>
      <c r="AA379" s="72"/>
      <c r="AB379" s="73"/>
      <c r="AC379" s="73"/>
      <c r="AD379" s="73"/>
      <c r="AE379" s="73"/>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c r="BC379" s="72"/>
      <c r="BD379" s="72"/>
      <c r="BE379" s="72"/>
      <c r="BF379" s="72"/>
    </row>
    <row r="380" spans="3:58">
      <c r="C380" s="74"/>
      <c r="Q380" s="72"/>
      <c r="R380" s="72"/>
      <c r="S380" s="72"/>
      <c r="T380" s="72"/>
      <c r="U380" s="72"/>
      <c r="V380" s="72"/>
      <c r="W380" s="72"/>
      <c r="X380" s="72"/>
      <c r="Y380" s="72"/>
      <c r="Z380" s="72"/>
      <c r="AA380" s="72"/>
      <c r="AB380" s="73"/>
      <c r="AC380" s="73"/>
      <c r="AD380" s="73"/>
      <c r="AE380" s="73"/>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c r="BC380" s="72"/>
      <c r="BD380" s="72"/>
      <c r="BE380" s="72"/>
      <c r="BF380" s="72"/>
    </row>
    <row r="381" spans="3:58">
      <c r="C381" s="74"/>
      <c r="Q381" s="72"/>
      <c r="R381" s="72"/>
      <c r="S381" s="72"/>
      <c r="T381" s="72"/>
      <c r="U381" s="72"/>
      <c r="V381" s="72"/>
      <c r="W381" s="72"/>
      <c r="X381" s="72"/>
      <c r="Y381" s="72"/>
      <c r="Z381" s="72"/>
      <c r="AA381" s="72"/>
      <c r="AB381" s="73"/>
      <c r="AC381" s="73"/>
      <c r="AD381" s="73"/>
      <c r="AE381" s="73"/>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c r="BC381" s="72"/>
      <c r="BD381" s="72"/>
      <c r="BE381" s="72"/>
      <c r="BF381" s="72"/>
    </row>
    <row r="382" spans="3:58">
      <c r="C382" s="74"/>
      <c r="Q382" s="72"/>
      <c r="R382" s="72"/>
      <c r="S382" s="72"/>
      <c r="T382" s="72"/>
      <c r="U382" s="72"/>
      <c r="V382" s="72"/>
      <c r="W382" s="72"/>
      <c r="X382" s="72"/>
      <c r="Y382" s="72"/>
      <c r="Z382" s="72"/>
      <c r="AA382" s="72"/>
      <c r="AB382" s="73"/>
      <c r="AC382" s="73"/>
      <c r="AD382" s="73"/>
      <c r="AE382" s="73"/>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c r="BC382" s="72"/>
      <c r="BD382" s="72"/>
      <c r="BE382" s="72"/>
      <c r="BF382" s="72"/>
    </row>
    <row r="383" spans="3:58">
      <c r="C383" s="74"/>
      <c r="Q383" s="72"/>
      <c r="R383" s="72"/>
      <c r="S383" s="72"/>
      <c r="T383" s="72"/>
      <c r="U383" s="72"/>
      <c r="V383" s="72"/>
      <c r="W383" s="72"/>
      <c r="X383" s="72"/>
      <c r="Y383" s="72"/>
      <c r="Z383" s="72"/>
      <c r="AA383" s="72"/>
      <c r="AB383" s="73"/>
      <c r="AC383" s="73"/>
      <c r="AD383" s="73"/>
      <c r="AE383" s="73"/>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row>
    <row r="384" spans="3:58">
      <c r="C384" s="74"/>
      <c r="Q384" s="72"/>
      <c r="R384" s="72"/>
      <c r="S384" s="72"/>
      <c r="T384" s="72"/>
      <c r="U384" s="72"/>
      <c r="V384" s="72"/>
      <c r="W384" s="72"/>
      <c r="X384" s="72"/>
      <c r="Y384" s="72"/>
      <c r="Z384" s="72"/>
      <c r="AA384" s="72"/>
      <c r="AB384" s="73"/>
      <c r="AC384" s="73"/>
      <c r="AD384" s="73"/>
      <c r="AE384" s="73"/>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c r="BC384" s="72"/>
      <c r="BD384" s="72"/>
      <c r="BE384" s="72"/>
      <c r="BF384" s="72"/>
    </row>
    <row r="385" spans="3:58">
      <c r="C385" s="74"/>
      <c r="Q385" s="72"/>
      <c r="R385" s="72"/>
      <c r="S385" s="72"/>
      <c r="T385" s="72"/>
      <c r="U385" s="72"/>
      <c r="V385" s="72"/>
      <c r="W385" s="72"/>
      <c r="X385" s="72"/>
      <c r="Y385" s="72"/>
      <c r="Z385" s="72"/>
      <c r="AA385" s="72"/>
      <c r="AB385" s="73"/>
      <c r="AC385" s="73"/>
      <c r="AD385" s="73"/>
      <c r="AE385" s="73"/>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c r="BC385" s="72"/>
      <c r="BD385" s="72"/>
      <c r="BE385" s="72"/>
      <c r="BF385" s="72"/>
    </row>
    <row r="386" spans="3:58">
      <c r="C386" s="74"/>
      <c r="Q386" s="72"/>
      <c r="R386" s="72"/>
      <c r="S386" s="72"/>
      <c r="T386" s="72"/>
      <c r="U386" s="72"/>
      <c r="V386" s="72"/>
      <c r="W386" s="72"/>
      <c r="X386" s="72"/>
      <c r="Y386" s="72"/>
      <c r="Z386" s="72"/>
      <c r="AA386" s="72"/>
      <c r="AB386" s="73"/>
      <c r="AC386" s="73"/>
      <c r="AD386" s="73"/>
      <c r="AE386" s="73"/>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c r="BC386" s="72"/>
      <c r="BD386" s="72"/>
      <c r="BE386" s="72"/>
      <c r="BF386" s="72"/>
    </row>
    <row r="387" spans="3:58">
      <c r="C387" s="74"/>
      <c r="Q387" s="72"/>
      <c r="R387" s="72"/>
      <c r="S387" s="72"/>
      <c r="T387" s="72"/>
      <c r="U387" s="72"/>
      <c r="V387" s="72"/>
      <c r="W387" s="72"/>
      <c r="X387" s="72"/>
      <c r="Y387" s="72"/>
      <c r="Z387" s="72"/>
      <c r="AA387" s="72"/>
      <c r="AB387" s="73"/>
      <c r="AC387" s="73"/>
      <c r="AD387" s="73"/>
      <c r="AE387" s="73"/>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c r="BC387" s="72"/>
      <c r="BD387" s="72"/>
      <c r="BE387" s="72"/>
      <c r="BF387" s="72"/>
    </row>
    <row r="388" spans="3:58">
      <c r="C388" s="74"/>
      <c r="Q388" s="72"/>
      <c r="R388" s="72"/>
      <c r="S388" s="72"/>
      <c r="T388" s="72"/>
      <c r="U388" s="72"/>
      <c r="V388" s="72"/>
      <c r="W388" s="72"/>
      <c r="X388" s="72"/>
      <c r="Y388" s="72"/>
      <c r="Z388" s="72"/>
      <c r="AA388" s="72"/>
      <c r="AB388" s="73"/>
      <c r="AC388" s="73"/>
      <c r="AD388" s="73"/>
      <c r="AE388" s="73"/>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row>
    <row r="389" spans="3:58">
      <c r="C389" s="74"/>
      <c r="Q389" s="72"/>
      <c r="R389" s="72"/>
      <c r="S389" s="72"/>
      <c r="T389" s="72"/>
      <c r="U389" s="72"/>
      <c r="V389" s="72"/>
      <c r="W389" s="72"/>
      <c r="X389" s="72"/>
      <c r="Y389" s="72"/>
      <c r="Z389" s="72"/>
      <c r="AA389" s="72"/>
      <c r="AB389" s="73"/>
      <c r="AC389" s="73"/>
      <c r="AD389" s="73"/>
      <c r="AE389" s="73"/>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row>
    <row r="390" spans="3:58">
      <c r="C390" s="74"/>
      <c r="Q390" s="72"/>
      <c r="R390" s="72"/>
      <c r="S390" s="72"/>
      <c r="T390" s="72"/>
      <c r="U390" s="72"/>
      <c r="V390" s="72"/>
      <c r="W390" s="72"/>
      <c r="X390" s="72"/>
      <c r="Y390" s="72"/>
      <c r="Z390" s="72"/>
      <c r="AA390" s="72"/>
      <c r="AB390" s="73"/>
      <c r="AC390" s="73"/>
      <c r="AD390" s="73"/>
      <c r="AE390" s="73"/>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row>
    <row r="391" spans="3:58">
      <c r="C391" s="74"/>
      <c r="Q391" s="72"/>
      <c r="R391" s="72"/>
      <c r="S391" s="72"/>
      <c r="T391" s="72"/>
      <c r="U391" s="72"/>
      <c r="V391" s="72"/>
      <c r="W391" s="72"/>
      <c r="X391" s="72"/>
      <c r="Y391" s="72"/>
      <c r="Z391" s="72"/>
      <c r="AA391" s="72"/>
      <c r="AB391" s="73"/>
      <c r="AC391" s="73"/>
      <c r="AD391" s="73"/>
      <c r="AE391" s="73"/>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row>
    <row r="392" spans="3:58">
      <c r="C392" s="74"/>
      <c r="Q392" s="72"/>
      <c r="R392" s="72"/>
      <c r="S392" s="72"/>
      <c r="T392" s="72"/>
      <c r="U392" s="72"/>
      <c r="V392" s="72"/>
      <c r="W392" s="72"/>
      <c r="X392" s="72"/>
      <c r="Y392" s="72"/>
      <c r="Z392" s="72"/>
      <c r="AA392" s="72"/>
      <c r="AB392" s="73"/>
      <c r="AC392" s="73"/>
      <c r="AD392" s="73"/>
      <c r="AE392" s="73"/>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c r="BC392" s="72"/>
      <c r="BD392" s="72"/>
      <c r="BE392" s="72"/>
      <c r="BF392" s="72"/>
    </row>
    <row r="393" spans="3:58">
      <c r="C393" s="74"/>
      <c r="Q393" s="72"/>
      <c r="R393" s="72"/>
      <c r="S393" s="72"/>
      <c r="T393" s="72"/>
      <c r="U393" s="72"/>
      <c r="V393" s="72"/>
      <c r="W393" s="72"/>
      <c r="X393" s="72"/>
      <c r="Y393" s="72"/>
      <c r="Z393" s="72"/>
      <c r="AA393" s="72"/>
      <c r="AB393" s="73"/>
      <c r="AC393" s="73"/>
      <c r="AD393" s="73"/>
      <c r="AE393" s="73"/>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row>
    <row r="394" spans="3:58">
      <c r="C394" s="74"/>
      <c r="Q394" s="72"/>
      <c r="R394" s="72"/>
      <c r="S394" s="72"/>
      <c r="T394" s="72"/>
      <c r="U394" s="72"/>
      <c r="V394" s="72"/>
      <c r="W394" s="72"/>
      <c r="X394" s="72"/>
      <c r="Y394" s="72"/>
      <c r="Z394" s="72"/>
      <c r="AA394" s="72"/>
      <c r="AB394" s="73"/>
      <c r="AC394" s="73"/>
      <c r="AD394" s="73"/>
      <c r="AE394" s="73"/>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c r="BC394" s="72"/>
      <c r="BD394" s="72"/>
      <c r="BE394" s="72"/>
      <c r="BF394" s="72"/>
    </row>
    <row r="395" spans="3:58">
      <c r="C395" s="74"/>
      <c r="Q395" s="72"/>
      <c r="R395" s="72"/>
      <c r="S395" s="72"/>
      <c r="T395" s="72"/>
      <c r="U395" s="72"/>
      <c r="V395" s="72"/>
      <c r="W395" s="72"/>
      <c r="X395" s="72"/>
      <c r="Y395" s="72"/>
      <c r="Z395" s="72"/>
      <c r="AA395" s="72"/>
      <c r="AB395" s="73"/>
      <c r="AC395" s="73"/>
      <c r="AD395" s="73"/>
      <c r="AE395" s="73"/>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c r="BC395" s="72"/>
      <c r="BD395" s="72"/>
      <c r="BE395" s="72"/>
      <c r="BF395" s="72"/>
    </row>
    <row r="396" spans="3:58">
      <c r="C396" s="74"/>
      <c r="Q396" s="72"/>
      <c r="R396" s="72"/>
      <c r="S396" s="72"/>
      <c r="T396" s="72"/>
      <c r="U396" s="72"/>
      <c r="V396" s="72"/>
      <c r="W396" s="72"/>
      <c r="X396" s="72"/>
      <c r="Y396" s="72"/>
      <c r="Z396" s="72"/>
      <c r="AA396" s="72"/>
      <c r="AB396" s="73"/>
      <c r="AC396" s="73"/>
      <c r="AD396" s="73"/>
      <c r="AE396" s="73"/>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c r="BC396" s="72"/>
      <c r="BD396" s="72"/>
      <c r="BE396" s="72"/>
      <c r="BF396" s="72"/>
    </row>
    <row r="397" spans="3:58">
      <c r="C397" s="74"/>
      <c r="Q397" s="72"/>
      <c r="R397" s="72"/>
      <c r="S397" s="72"/>
      <c r="T397" s="72"/>
      <c r="U397" s="72"/>
      <c r="V397" s="72"/>
      <c r="W397" s="72"/>
      <c r="X397" s="72"/>
      <c r="Y397" s="72"/>
      <c r="Z397" s="72"/>
      <c r="AA397" s="72"/>
      <c r="AB397" s="73"/>
      <c r="AC397" s="73"/>
      <c r="AD397" s="73"/>
      <c r="AE397" s="73"/>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c r="BC397" s="72"/>
      <c r="BD397" s="72"/>
      <c r="BE397" s="72"/>
      <c r="BF397" s="72"/>
    </row>
    <row r="398" spans="3:58">
      <c r="C398" s="74"/>
      <c r="Q398" s="72"/>
      <c r="R398" s="72"/>
      <c r="S398" s="72"/>
      <c r="T398" s="72"/>
      <c r="U398" s="72"/>
      <c r="V398" s="72"/>
      <c r="W398" s="72"/>
      <c r="X398" s="72"/>
      <c r="Y398" s="72"/>
      <c r="Z398" s="72"/>
      <c r="AA398" s="72"/>
      <c r="AB398" s="73"/>
      <c r="AC398" s="73"/>
      <c r="AD398" s="73"/>
      <c r="AE398" s="73"/>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c r="BC398" s="72"/>
      <c r="BD398" s="72"/>
      <c r="BE398" s="72"/>
      <c r="BF398" s="72"/>
    </row>
    <row r="399" spans="3:58">
      <c r="C399" s="74"/>
      <c r="Q399" s="72"/>
      <c r="R399" s="72"/>
      <c r="S399" s="72"/>
      <c r="T399" s="72"/>
      <c r="U399" s="72"/>
      <c r="V399" s="72"/>
      <c r="W399" s="72"/>
      <c r="X399" s="72"/>
      <c r="Y399" s="72"/>
      <c r="Z399" s="72"/>
      <c r="AA399" s="72"/>
      <c r="AB399" s="73"/>
      <c r="AC399" s="73"/>
      <c r="AD399" s="73"/>
      <c r="AE399" s="73"/>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c r="BC399" s="72"/>
      <c r="BD399" s="72"/>
      <c r="BE399" s="72"/>
      <c r="BF399" s="72"/>
    </row>
    <row r="400" spans="3:58">
      <c r="C400" s="74"/>
      <c r="Q400" s="72"/>
      <c r="R400" s="72"/>
      <c r="S400" s="72"/>
      <c r="T400" s="72"/>
      <c r="U400" s="72"/>
      <c r="V400" s="72"/>
      <c r="W400" s="72"/>
      <c r="X400" s="72"/>
      <c r="Y400" s="72"/>
      <c r="Z400" s="72"/>
      <c r="AA400" s="72"/>
      <c r="AB400" s="73"/>
      <c r="AC400" s="73"/>
      <c r="AD400" s="73"/>
      <c r="AE400" s="73"/>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c r="BC400" s="72"/>
      <c r="BD400" s="72"/>
      <c r="BE400" s="72"/>
      <c r="BF400" s="72"/>
    </row>
    <row r="401" spans="3:58">
      <c r="C401" s="74"/>
      <c r="Q401" s="72"/>
      <c r="R401" s="72"/>
      <c r="S401" s="72"/>
      <c r="T401" s="72"/>
      <c r="U401" s="72"/>
      <c r="V401" s="72"/>
      <c r="W401" s="72"/>
      <c r="X401" s="72"/>
      <c r="Y401" s="72"/>
      <c r="Z401" s="72"/>
      <c r="AA401" s="72"/>
      <c r="AB401" s="73"/>
      <c r="AC401" s="73"/>
      <c r="AD401" s="73"/>
      <c r="AE401" s="73"/>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c r="BC401" s="72"/>
      <c r="BD401" s="72"/>
      <c r="BE401" s="72"/>
      <c r="BF401" s="72"/>
    </row>
    <row r="402" spans="3:58">
      <c r="C402" s="74"/>
      <c r="Q402" s="72"/>
      <c r="R402" s="72"/>
      <c r="S402" s="72"/>
      <c r="T402" s="72"/>
      <c r="U402" s="72"/>
      <c r="V402" s="72"/>
      <c r="W402" s="72"/>
      <c r="X402" s="72"/>
      <c r="Y402" s="72"/>
      <c r="Z402" s="72"/>
      <c r="AA402" s="72"/>
      <c r="AB402" s="73"/>
      <c r="AC402" s="73"/>
      <c r="AD402" s="73"/>
      <c r="AE402" s="73"/>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c r="BC402" s="72"/>
      <c r="BD402" s="72"/>
      <c r="BE402" s="72"/>
      <c r="BF402" s="72"/>
    </row>
    <row r="403" spans="3:58">
      <c r="C403" s="74"/>
      <c r="Q403" s="72"/>
      <c r="R403" s="72"/>
      <c r="S403" s="72"/>
      <c r="T403" s="72"/>
      <c r="U403" s="72"/>
      <c r="V403" s="72"/>
      <c r="W403" s="72"/>
      <c r="X403" s="72"/>
      <c r="Y403" s="72"/>
      <c r="Z403" s="72"/>
      <c r="AA403" s="72"/>
      <c r="AB403" s="73"/>
      <c r="AC403" s="73"/>
      <c r="AD403" s="73"/>
      <c r="AE403" s="73"/>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c r="BC403" s="72"/>
      <c r="BD403" s="72"/>
      <c r="BE403" s="72"/>
      <c r="BF403" s="72"/>
    </row>
    <row r="404" spans="3:58">
      <c r="C404" s="74"/>
      <c r="Q404" s="72"/>
      <c r="R404" s="72"/>
      <c r="S404" s="72"/>
      <c r="T404" s="72"/>
      <c r="U404" s="72"/>
      <c r="V404" s="72"/>
      <c r="W404" s="72"/>
      <c r="X404" s="72"/>
      <c r="Y404" s="72"/>
      <c r="Z404" s="72"/>
      <c r="AA404" s="72"/>
      <c r="AB404" s="73"/>
      <c r="AC404" s="73"/>
      <c r="AD404" s="73"/>
      <c r="AE404" s="73"/>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row>
    <row r="405" spans="3:58">
      <c r="C405" s="74"/>
      <c r="Q405" s="72"/>
      <c r="R405" s="72"/>
      <c r="S405" s="72"/>
      <c r="T405" s="72"/>
      <c r="U405" s="72"/>
      <c r="V405" s="72"/>
      <c r="W405" s="72"/>
      <c r="X405" s="72"/>
      <c r="Y405" s="72"/>
      <c r="Z405" s="72"/>
      <c r="AA405" s="72"/>
      <c r="AB405" s="73"/>
      <c r="AC405" s="73"/>
      <c r="AD405" s="73"/>
      <c r="AE405" s="73"/>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row>
    <row r="406" spans="3:58">
      <c r="C406" s="74"/>
      <c r="Q406" s="72"/>
      <c r="R406" s="72"/>
      <c r="S406" s="72"/>
      <c r="T406" s="72"/>
      <c r="U406" s="72"/>
      <c r="V406" s="72"/>
      <c r="W406" s="72"/>
      <c r="X406" s="72"/>
      <c r="Y406" s="72"/>
      <c r="Z406" s="72"/>
      <c r="AA406" s="72"/>
      <c r="AB406" s="73"/>
      <c r="AC406" s="73"/>
      <c r="AD406" s="73"/>
      <c r="AE406" s="73"/>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row>
    <row r="407" spans="3:58">
      <c r="C407" s="74"/>
      <c r="Q407" s="72"/>
      <c r="R407" s="72"/>
      <c r="S407" s="72"/>
      <c r="T407" s="72"/>
      <c r="U407" s="72"/>
      <c r="V407" s="72"/>
      <c r="W407" s="72"/>
      <c r="X407" s="72"/>
      <c r="Y407" s="72"/>
      <c r="Z407" s="72"/>
      <c r="AA407" s="72"/>
      <c r="AB407" s="73"/>
      <c r="AC407" s="73"/>
      <c r="AD407" s="73"/>
      <c r="AE407" s="73"/>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c r="BC407" s="72"/>
      <c r="BD407" s="72"/>
      <c r="BE407" s="72"/>
      <c r="BF407" s="72"/>
    </row>
    <row r="408" spans="3:58">
      <c r="C408" s="74"/>
      <c r="Q408" s="72"/>
      <c r="R408" s="72"/>
      <c r="S408" s="72"/>
      <c r="T408" s="72"/>
      <c r="U408" s="72"/>
      <c r="V408" s="72"/>
      <c r="W408" s="72"/>
      <c r="X408" s="72"/>
      <c r="Y408" s="72"/>
      <c r="Z408" s="72"/>
      <c r="AA408" s="72"/>
      <c r="AB408" s="73"/>
      <c r="AC408" s="73"/>
      <c r="AD408" s="73"/>
      <c r="AE408" s="73"/>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c r="BC408" s="72"/>
      <c r="BD408" s="72"/>
      <c r="BE408" s="72"/>
      <c r="BF408" s="72"/>
    </row>
    <row r="409" spans="3:58">
      <c r="C409" s="74"/>
      <c r="Q409" s="72"/>
      <c r="R409" s="72"/>
      <c r="S409" s="72"/>
      <c r="T409" s="72"/>
      <c r="U409" s="72"/>
      <c r="V409" s="72"/>
      <c r="W409" s="72"/>
      <c r="X409" s="72"/>
      <c r="Y409" s="72"/>
      <c r="Z409" s="72"/>
      <c r="AA409" s="72"/>
      <c r="AB409" s="73"/>
      <c r="AC409" s="73"/>
      <c r="AD409" s="73"/>
      <c r="AE409" s="73"/>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c r="BC409" s="72"/>
      <c r="BD409" s="72"/>
      <c r="BE409" s="72"/>
      <c r="BF409" s="72"/>
    </row>
    <row r="410" spans="3:58">
      <c r="C410" s="74"/>
      <c r="Q410" s="72"/>
      <c r="R410" s="72"/>
      <c r="S410" s="72"/>
      <c r="T410" s="72"/>
      <c r="U410" s="72"/>
      <c r="V410" s="72"/>
      <c r="W410" s="72"/>
      <c r="X410" s="72"/>
      <c r="Y410" s="72"/>
      <c r="Z410" s="72"/>
      <c r="AA410" s="72"/>
      <c r="AB410" s="73"/>
      <c r="AC410" s="73"/>
      <c r="AD410" s="73"/>
      <c r="AE410" s="73"/>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c r="BC410" s="72"/>
      <c r="BD410" s="72"/>
      <c r="BE410" s="72"/>
      <c r="BF410" s="72"/>
    </row>
    <row r="411" spans="3:58">
      <c r="C411" s="74"/>
      <c r="Q411" s="72"/>
      <c r="R411" s="72"/>
      <c r="S411" s="72"/>
      <c r="T411" s="72"/>
      <c r="U411" s="72"/>
      <c r="V411" s="72"/>
      <c r="W411" s="72"/>
      <c r="X411" s="72"/>
      <c r="Y411" s="72"/>
      <c r="Z411" s="72"/>
      <c r="AA411" s="72"/>
      <c r="AB411" s="73"/>
      <c r="AC411" s="73"/>
      <c r="AD411" s="73"/>
      <c r="AE411" s="73"/>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c r="BC411" s="72"/>
      <c r="BD411" s="72"/>
      <c r="BE411" s="72"/>
      <c r="BF411" s="72"/>
    </row>
    <row r="412" spans="3:58">
      <c r="C412" s="74"/>
      <c r="Q412" s="72"/>
      <c r="R412" s="72"/>
      <c r="S412" s="72"/>
      <c r="T412" s="72"/>
      <c r="U412" s="72"/>
      <c r="V412" s="72"/>
      <c r="W412" s="72"/>
      <c r="X412" s="72"/>
      <c r="Y412" s="72"/>
      <c r="Z412" s="72"/>
      <c r="AA412" s="72"/>
      <c r="AB412" s="73"/>
      <c r="AC412" s="73"/>
      <c r="AD412" s="73"/>
      <c r="AE412" s="73"/>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row>
    <row r="413" spans="3:58">
      <c r="C413" s="74"/>
      <c r="Q413" s="72"/>
      <c r="R413" s="72"/>
      <c r="S413" s="72"/>
      <c r="T413" s="72"/>
      <c r="U413" s="72"/>
      <c r="V413" s="72"/>
      <c r="W413" s="72"/>
      <c r="X413" s="72"/>
      <c r="Y413" s="72"/>
      <c r="Z413" s="72"/>
      <c r="AA413" s="72"/>
      <c r="AB413" s="73"/>
      <c r="AC413" s="73"/>
      <c r="AD413" s="73"/>
      <c r="AE413" s="73"/>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c r="BC413" s="72"/>
      <c r="BD413" s="72"/>
      <c r="BE413" s="72"/>
      <c r="BF413" s="72"/>
    </row>
    <row r="414" spans="3:58">
      <c r="C414" s="74"/>
      <c r="Q414" s="72"/>
      <c r="R414" s="72"/>
      <c r="S414" s="72"/>
      <c r="T414" s="72"/>
      <c r="U414" s="72"/>
      <c r="V414" s="72"/>
      <c r="W414" s="72"/>
      <c r="X414" s="72"/>
      <c r="Y414" s="72"/>
      <c r="Z414" s="72"/>
      <c r="AA414" s="72"/>
      <c r="AB414" s="73"/>
      <c r="AC414" s="73"/>
      <c r="AD414" s="73"/>
      <c r="AE414" s="73"/>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c r="BC414" s="72"/>
      <c r="BD414" s="72"/>
      <c r="BE414" s="72"/>
      <c r="BF414" s="72"/>
    </row>
    <row r="415" spans="3:58">
      <c r="C415" s="74"/>
      <c r="Q415" s="72"/>
      <c r="R415" s="72"/>
      <c r="S415" s="72"/>
      <c r="T415" s="72"/>
      <c r="U415" s="72"/>
      <c r="V415" s="72"/>
      <c r="W415" s="72"/>
      <c r="X415" s="72"/>
      <c r="Y415" s="72"/>
      <c r="Z415" s="72"/>
      <c r="AA415" s="72"/>
      <c r="AB415" s="73"/>
      <c r="AC415" s="73"/>
      <c r="AD415" s="73"/>
      <c r="AE415" s="73"/>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c r="BC415" s="72"/>
      <c r="BD415" s="72"/>
      <c r="BE415" s="72"/>
      <c r="BF415" s="72"/>
    </row>
    <row r="416" spans="3:58">
      <c r="C416" s="74"/>
      <c r="Q416" s="72"/>
      <c r="R416" s="72"/>
      <c r="S416" s="72"/>
      <c r="T416" s="72"/>
      <c r="U416" s="72"/>
      <c r="V416" s="72"/>
      <c r="W416" s="72"/>
      <c r="X416" s="72"/>
      <c r="Y416" s="72"/>
      <c r="Z416" s="72"/>
      <c r="AA416" s="72"/>
      <c r="AB416" s="73"/>
      <c r="AC416" s="73"/>
      <c r="AD416" s="73"/>
      <c r="AE416" s="73"/>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row>
    <row r="417" spans="3:58">
      <c r="C417" s="74"/>
      <c r="Q417" s="72"/>
      <c r="R417" s="72"/>
      <c r="S417" s="72"/>
      <c r="T417" s="72"/>
      <c r="U417" s="72"/>
      <c r="V417" s="72"/>
      <c r="W417" s="72"/>
      <c r="X417" s="72"/>
      <c r="Y417" s="72"/>
      <c r="Z417" s="72"/>
      <c r="AA417" s="72"/>
      <c r="AB417" s="73"/>
      <c r="AC417" s="73"/>
      <c r="AD417" s="73"/>
      <c r="AE417" s="73"/>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c r="BC417" s="72"/>
      <c r="BD417" s="72"/>
      <c r="BE417" s="72"/>
      <c r="BF417" s="72"/>
    </row>
    <row r="418" spans="3:58">
      <c r="C418" s="74"/>
      <c r="Q418" s="72"/>
      <c r="R418" s="72"/>
      <c r="S418" s="72"/>
      <c r="T418" s="72"/>
      <c r="U418" s="72"/>
      <c r="V418" s="72"/>
      <c r="W418" s="72"/>
      <c r="X418" s="72"/>
      <c r="Y418" s="72"/>
      <c r="Z418" s="72"/>
      <c r="AA418" s="72"/>
      <c r="AB418" s="73"/>
      <c r="AC418" s="73"/>
      <c r="AD418" s="73"/>
      <c r="AE418" s="73"/>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c r="BC418" s="72"/>
      <c r="BD418" s="72"/>
      <c r="BE418" s="72"/>
      <c r="BF418" s="72"/>
    </row>
    <row r="419" spans="3:58">
      <c r="C419" s="74"/>
      <c r="Q419" s="72"/>
      <c r="R419" s="72"/>
      <c r="S419" s="72"/>
      <c r="T419" s="72"/>
      <c r="U419" s="72"/>
      <c r="V419" s="72"/>
      <c r="W419" s="72"/>
      <c r="X419" s="72"/>
      <c r="Y419" s="72"/>
      <c r="Z419" s="72"/>
      <c r="AA419" s="72"/>
      <c r="AB419" s="73"/>
      <c r="AC419" s="73"/>
      <c r="AD419" s="73"/>
      <c r="AE419" s="73"/>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c r="BC419" s="72"/>
      <c r="BD419" s="72"/>
      <c r="BE419" s="72"/>
      <c r="BF419" s="72"/>
    </row>
    <row r="420" spans="3:58">
      <c r="C420" s="74"/>
      <c r="Q420" s="72"/>
      <c r="R420" s="72"/>
      <c r="S420" s="72"/>
      <c r="T420" s="72"/>
      <c r="U420" s="72"/>
      <c r="V420" s="72"/>
      <c r="W420" s="72"/>
      <c r="X420" s="72"/>
      <c r="Y420" s="72"/>
      <c r="Z420" s="72"/>
      <c r="AA420" s="72"/>
      <c r="AB420" s="73"/>
      <c r="AC420" s="73"/>
      <c r="AD420" s="73"/>
      <c r="AE420" s="73"/>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c r="BC420" s="72"/>
      <c r="BD420" s="72"/>
      <c r="BE420" s="72"/>
      <c r="BF420" s="72"/>
    </row>
    <row r="421" spans="3:58">
      <c r="C421" s="74"/>
      <c r="Q421" s="72"/>
      <c r="R421" s="72"/>
      <c r="S421" s="72"/>
      <c r="T421" s="72"/>
      <c r="U421" s="72"/>
      <c r="V421" s="72"/>
      <c r="W421" s="72"/>
      <c r="X421" s="72"/>
      <c r="Y421" s="72"/>
      <c r="Z421" s="72"/>
      <c r="AA421" s="72"/>
      <c r="AB421" s="73"/>
      <c r="AC421" s="73"/>
      <c r="AD421" s="73"/>
      <c r="AE421" s="73"/>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c r="BC421" s="72"/>
      <c r="BD421" s="72"/>
      <c r="BE421" s="72"/>
      <c r="BF421" s="72"/>
    </row>
    <row r="422" spans="3:58">
      <c r="C422" s="74"/>
      <c r="Q422" s="72"/>
      <c r="R422" s="72"/>
      <c r="S422" s="72"/>
      <c r="T422" s="72"/>
      <c r="U422" s="72"/>
      <c r="V422" s="72"/>
      <c r="W422" s="72"/>
      <c r="X422" s="72"/>
      <c r="Y422" s="72"/>
      <c r="Z422" s="72"/>
      <c r="AA422" s="72"/>
      <c r="AB422" s="73"/>
      <c r="AC422" s="73"/>
      <c r="AD422" s="73"/>
      <c r="AE422" s="73"/>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c r="BC422" s="72"/>
      <c r="BD422" s="72"/>
      <c r="BE422" s="72"/>
      <c r="BF422" s="72"/>
    </row>
    <row r="423" spans="3:58">
      <c r="C423" s="74"/>
      <c r="Q423" s="72"/>
      <c r="R423" s="72"/>
      <c r="S423" s="72"/>
      <c r="T423" s="72"/>
      <c r="U423" s="72"/>
      <c r="V423" s="72"/>
      <c r="W423" s="72"/>
      <c r="X423" s="72"/>
      <c r="Y423" s="72"/>
      <c r="Z423" s="72"/>
      <c r="AA423" s="72"/>
      <c r="AB423" s="73"/>
      <c r="AC423" s="73"/>
      <c r="AD423" s="73"/>
      <c r="AE423" s="73"/>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c r="BC423" s="72"/>
      <c r="BD423" s="72"/>
      <c r="BE423" s="72"/>
      <c r="BF423" s="72"/>
    </row>
    <row r="424" spans="3:58">
      <c r="C424" s="74"/>
      <c r="Q424" s="72"/>
      <c r="R424" s="72"/>
      <c r="S424" s="72"/>
      <c r="T424" s="72"/>
      <c r="U424" s="72"/>
      <c r="V424" s="72"/>
      <c r="W424" s="72"/>
      <c r="X424" s="72"/>
      <c r="Y424" s="72"/>
      <c r="Z424" s="72"/>
      <c r="AA424" s="72"/>
      <c r="AB424" s="73"/>
      <c r="AC424" s="73"/>
      <c r="AD424" s="73"/>
      <c r="AE424" s="73"/>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c r="BC424" s="72"/>
      <c r="BD424" s="72"/>
      <c r="BE424" s="72"/>
      <c r="BF424" s="72"/>
    </row>
    <row r="425" spans="3:58">
      <c r="C425" s="74"/>
      <c r="Q425" s="72"/>
      <c r="R425" s="72"/>
      <c r="S425" s="72"/>
      <c r="T425" s="72"/>
      <c r="U425" s="72"/>
      <c r="V425" s="72"/>
      <c r="W425" s="72"/>
      <c r="X425" s="72"/>
      <c r="Y425" s="72"/>
      <c r="Z425" s="72"/>
      <c r="AA425" s="72"/>
      <c r="AB425" s="73"/>
      <c r="AC425" s="73"/>
      <c r="AD425" s="73"/>
      <c r="AE425" s="73"/>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row>
    <row r="426" spans="3:58">
      <c r="C426" s="74"/>
      <c r="Q426" s="72"/>
      <c r="R426" s="72"/>
      <c r="S426" s="72"/>
      <c r="T426" s="72"/>
      <c r="U426" s="72"/>
      <c r="V426" s="72"/>
      <c r="W426" s="72"/>
      <c r="X426" s="72"/>
      <c r="Y426" s="72"/>
      <c r="Z426" s="72"/>
      <c r="AA426" s="72"/>
      <c r="AB426" s="73"/>
      <c r="AC426" s="73"/>
      <c r="AD426" s="73"/>
      <c r="AE426" s="73"/>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row>
    <row r="427" spans="3:58">
      <c r="C427" s="74"/>
      <c r="Q427" s="72"/>
      <c r="R427" s="72"/>
      <c r="S427" s="72"/>
      <c r="T427" s="72"/>
      <c r="U427" s="72"/>
      <c r="V427" s="72"/>
      <c r="W427" s="72"/>
      <c r="X427" s="72"/>
      <c r="Y427" s="72"/>
      <c r="Z427" s="72"/>
      <c r="AA427" s="72"/>
      <c r="AB427" s="73"/>
      <c r="AC427" s="73"/>
      <c r="AD427" s="73"/>
      <c r="AE427" s="73"/>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row>
    <row r="428" spans="3:58">
      <c r="C428" s="74"/>
      <c r="Q428" s="72"/>
      <c r="R428" s="72"/>
      <c r="S428" s="72"/>
      <c r="T428" s="72"/>
      <c r="U428" s="72"/>
      <c r="V428" s="72"/>
      <c r="W428" s="72"/>
      <c r="X428" s="72"/>
      <c r="Y428" s="72"/>
      <c r="Z428" s="72"/>
      <c r="AA428" s="72"/>
      <c r="AB428" s="73"/>
      <c r="AC428" s="73"/>
      <c r="AD428" s="73"/>
      <c r="AE428" s="73"/>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row>
    <row r="429" spans="3:58">
      <c r="C429" s="74"/>
      <c r="Q429" s="72"/>
      <c r="R429" s="72"/>
      <c r="S429" s="72"/>
      <c r="T429" s="72"/>
      <c r="U429" s="72"/>
      <c r="V429" s="72"/>
      <c r="W429" s="72"/>
      <c r="X429" s="72"/>
      <c r="Y429" s="72"/>
      <c r="Z429" s="72"/>
      <c r="AA429" s="72"/>
      <c r="AB429" s="73"/>
      <c r="AC429" s="73"/>
      <c r="AD429" s="73"/>
      <c r="AE429" s="73"/>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row>
    <row r="430" spans="3:58">
      <c r="C430" s="74"/>
      <c r="Q430" s="72"/>
      <c r="R430" s="72"/>
      <c r="S430" s="72"/>
      <c r="T430" s="72"/>
      <c r="U430" s="72"/>
      <c r="V430" s="72"/>
      <c r="W430" s="72"/>
      <c r="X430" s="72"/>
      <c r="Y430" s="72"/>
      <c r="Z430" s="72"/>
      <c r="AA430" s="72"/>
      <c r="AB430" s="73"/>
      <c r="AC430" s="73"/>
      <c r="AD430" s="73"/>
      <c r="AE430" s="73"/>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c r="BC430" s="72"/>
      <c r="BD430" s="72"/>
      <c r="BE430" s="72"/>
      <c r="BF430" s="72"/>
    </row>
    <row r="431" spans="3:58">
      <c r="C431" s="74"/>
      <c r="Q431" s="72"/>
      <c r="R431" s="72"/>
      <c r="S431" s="72"/>
      <c r="T431" s="72"/>
      <c r="U431" s="72"/>
      <c r="V431" s="72"/>
      <c r="W431" s="72"/>
      <c r="X431" s="72"/>
      <c r="Y431" s="72"/>
      <c r="Z431" s="72"/>
      <c r="AA431" s="72"/>
      <c r="AB431" s="73"/>
      <c r="AC431" s="73"/>
      <c r="AD431" s="73"/>
      <c r="AE431" s="73"/>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c r="BC431" s="72"/>
      <c r="BD431" s="72"/>
      <c r="BE431" s="72"/>
      <c r="BF431" s="72"/>
    </row>
    <row r="432" spans="3:58">
      <c r="C432" s="74"/>
      <c r="Q432" s="72"/>
      <c r="R432" s="72"/>
      <c r="S432" s="72"/>
      <c r="T432" s="72"/>
      <c r="U432" s="72"/>
      <c r="V432" s="72"/>
      <c r="W432" s="72"/>
      <c r="X432" s="72"/>
      <c r="Y432" s="72"/>
      <c r="Z432" s="72"/>
      <c r="AA432" s="72"/>
      <c r="AB432" s="73"/>
      <c r="AC432" s="73"/>
      <c r="AD432" s="73"/>
      <c r="AE432" s="73"/>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c r="BC432" s="72"/>
      <c r="BD432" s="72"/>
      <c r="BE432" s="72"/>
      <c r="BF432" s="72"/>
    </row>
    <row r="433" spans="3:58">
      <c r="C433" s="74"/>
      <c r="Q433" s="72"/>
      <c r="R433" s="72"/>
      <c r="S433" s="72"/>
      <c r="T433" s="72"/>
      <c r="U433" s="72"/>
      <c r="V433" s="72"/>
      <c r="W433" s="72"/>
      <c r="X433" s="72"/>
      <c r="Y433" s="72"/>
      <c r="Z433" s="72"/>
      <c r="AA433" s="72"/>
      <c r="AB433" s="73"/>
      <c r="AC433" s="73"/>
      <c r="AD433" s="73"/>
      <c r="AE433" s="73"/>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row>
    <row r="434" spans="3:58">
      <c r="C434" s="74"/>
      <c r="Q434" s="72"/>
      <c r="R434" s="72"/>
      <c r="S434" s="72"/>
      <c r="T434" s="72"/>
      <c r="U434" s="72"/>
      <c r="V434" s="72"/>
      <c r="W434" s="72"/>
      <c r="X434" s="72"/>
      <c r="Y434" s="72"/>
      <c r="Z434" s="72"/>
      <c r="AA434" s="72"/>
      <c r="AB434" s="73"/>
      <c r="AC434" s="73"/>
      <c r="AD434" s="73"/>
      <c r="AE434" s="73"/>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row>
    <row r="435" spans="3:58">
      <c r="C435" s="74"/>
      <c r="Q435" s="72"/>
      <c r="R435" s="72"/>
      <c r="S435" s="72"/>
      <c r="T435" s="72"/>
      <c r="U435" s="72"/>
      <c r="V435" s="72"/>
      <c r="W435" s="72"/>
      <c r="X435" s="72"/>
      <c r="Y435" s="72"/>
      <c r="Z435" s="72"/>
      <c r="AA435" s="72"/>
      <c r="AB435" s="73"/>
      <c r="AC435" s="73"/>
      <c r="AD435" s="73"/>
      <c r="AE435" s="73"/>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row>
    <row r="436" spans="3:58">
      <c r="C436" s="74"/>
      <c r="Q436" s="72"/>
      <c r="R436" s="72"/>
      <c r="S436" s="72"/>
      <c r="T436" s="72"/>
      <c r="U436" s="72"/>
      <c r="V436" s="72"/>
      <c r="W436" s="72"/>
      <c r="X436" s="72"/>
      <c r="Y436" s="72"/>
      <c r="Z436" s="72"/>
      <c r="AA436" s="72"/>
      <c r="AB436" s="73"/>
      <c r="AC436" s="73"/>
      <c r="AD436" s="73"/>
      <c r="AE436" s="73"/>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row>
    <row r="437" spans="3:58">
      <c r="C437" s="74"/>
      <c r="Q437" s="72"/>
      <c r="R437" s="72"/>
      <c r="S437" s="72"/>
      <c r="T437" s="72"/>
      <c r="U437" s="72"/>
      <c r="V437" s="72"/>
      <c r="W437" s="72"/>
      <c r="X437" s="72"/>
      <c r="Y437" s="72"/>
      <c r="Z437" s="72"/>
      <c r="AA437" s="72"/>
      <c r="AB437" s="73"/>
      <c r="AC437" s="73"/>
      <c r="AD437" s="73"/>
      <c r="AE437" s="73"/>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c r="BC437" s="72"/>
      <c r="BD437" s="72"/>
      <c r="BE437" s="72"/>
      <c r="BF437" s="72"/>
    </row>
    <row r="438" spans="3:58">
      <c r="C438" s="74"/>
      <c r="Q438" s="72"/>
      <c r="R438" s="72"/>
      <c r="S438" s="72"/>
      <c r="T438" s="72"/>
      <c r="U438" s="72"/>
      <c r="V438" s="72"/>
      <c r="W438" s="72"/>
      <c r="X438" s="72"/>
      <c r="Y438" s="72"/>
      <c r="Z438" s="72"/>
      <c r="AA438" s="72"/>
      <c r="AB438" s="73"/>
      <c r="AC438" s="73"/>
      <c r="AD438" s="73"/>
      <c r="AE438" s="73"/>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c r="BC438" s="72"/>
      <c r="BD438" s="72"/>
      <c r="BE438" s="72"/>
      <c r="BF438" s="72"/>
    </row>
    <row r="439" spans="3:58">
      <c r="C439" s="74"/>
      <c r="Q439" s="72"/>
      <c r="R439" s="72"/>
      <c r="S439" s="72"/>
      <c r="T439" s="72"/>
      <c r="U439" s="72"/>
      <c r="V439" s="72"/>
      <c r="W439" s="72"/>
      <c r="X439" s="72"/>
      <c r="Y439" s="72"/>
      <c r="Z439" s="72"/>
      <c r="AA439" s="72"/>
      <c r="AB439" s="73"/>
      <c r="AC439" s="73"/>
      <c r="AD439" s="73"/>
      <c r="AE439" s="73"/>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c r="BC439" s="72"/>
      <c r="BD439" s="72"/>
      <c r="BE439" s="72"/>
      <c r="BF439" s="72"/>
    </row>
    <row r="440" spans="3:58">
      <c r="C440" s="74"/>
      <c r="Q440" s="72"/>
      <c r="R440" s="72"/>
      <c r="S440" s="72"/>
      <c r="T440" s="72"/>
      <c r="U440" s="72"/>
      <c r="V440" s="72"/>
      <c r="W440" s="72"/>
      <c r="X440" s="72"/>
      <c r="Y440" s="72"/>
      <c r="Z440" s="72"/>
      <c r="AA440" s="72"/>
      <c r="AB440" s="73"/>
      <c r="AC440" s="73"/>
      <c r="AD440" s="73"/>
      <c r="AE440" s="73"/>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c r="BC440" s="72"/>
      <c r="BD440" s="72"/>
      <c r="BE440" s="72"/>
      <c r="BF440" s="72"/>
    </row>
    <row r="441" spans="3:58">
      <c r="C441" s="74"/>
      <c r="Q441" s="72"/>
      <c r="R441" s="72"/>
      <c r="S441" s="72"/>
      <c r="T441" s="72"/>
      <c r="U441" s="72"/>
      <c r="V441" s="72"/>
      <c r="W441" s="72"/>
      <c r="X441" s="72"/>
      <c r="Y441" s="72"/>
      <c r="Z441" s="72"/>
      <c r="AA441" s="72"/>
      <c r="AB441" s="73"/>
      <c r="AC441" s="73"/>
      <c r="AD441" s="73"/>
      <c r="AE441" s="73"/>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row>
    <row r="442" spans="3:58">
      <c r="C442" s="74"/>
      <c r="Q442" s="72"/>
      <c r="R442" s="72"/>
      <c r="S442" s="72"/>
      <c r="T442" s="72"/>
      <c r="U442" s="72"/>
      <c r="V442" s="72"/>
      <c r="W442" s="72"/>
      <c r="X442" s="72"/>
      <c r="Y442" s="72"/>
      <c r="Z442" s="72"/>
      <c r="AA442" s="72"/>
      <c r="AB442" s="73"/>
      <c r="AC442" s="73"/>
      <c r="AD442" s="73"/>
      <c r="AE442" s="73"/>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c r="BC442" s="72"/>
      <c r="BD442" s="72"/>
      <c r="BE442" s="72"/>
      <c r="BF442" s="72"/>
    </row>
    <row r="443" spans="3:58">
      <c r="C443" s="74"/>
      <c r="Q443" s="72"/>
      <c r="R443" s="72"/>
      <c r="S443" s="72"/>
      <c r="T443" s="72"/>
      <c r="U443" s="72"/>
      <c r="V443" s="72"/>
      <c r="W443" s="72"/>
      <c r="X443" s="72"/>
      <c r="Y443" s="72"/>
      <c r="Z443" s="72"/>
      <c r="AA443" s="72"/>
      <c r="AB443" s="73"/>
      <c r="AC443" s="73"/>
      <c r="AD443" s="73"/>
      <c r="AE443" s="73"/>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c r="BC443" s="72"/>
      <c r="BD443" s="72"/>
      <c r="BE443" s="72"/>
      <c r="BF443" s="72"/>
    </row>
    <row r="444" spans="3:58">
      <c r="C444" s="74"/>
      <c r="Q444" s="72"/>
      <c r="R444" s="72"/>
      <c r="S444" s="72"/>
      <c r="T444" s="72"/>
      <c r="U444" s="72"/>
      <c r="V444" s="72"/>
      <c r="W444" s="72"/>
      <c r="X444" s="72"/>
      <c r="Y444" s="72"/>
      <c r="Z444" s="72"/>
      <c r="AA444" s="72"/>
      <c r="AB444" s="73"/>
      <c r="AC444" s="73"/>
      <c r="AD444" s="73"/>
      <c r="AE444" s="73"/>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c r="BC444" s="72"/>
      <c r="BD444" s="72"/>
      <c r="BE444" s="72"/>
      <c r="BF444" s="72"/>
    </row>
    <row r="445" spans="3:58">
      <c r="C445" s="74"/>
      <c r="Q445" s="72"/>
      <c r="R445" s="72"/>
      <c r="S445" s="72"/>
      <c r="T445" s="72"/>
      <c r="U445" s="72"/>
      <c r="V445" s="72"/>
      <c r="W445" s="72"/>
      <c r="X445" s="72"/>
      <c r="Y445" s="72"/>
      <c r="Z445" s="72"/>
      <c r="AA445" s="72"/>
      <c r="AB445" s="73"/>
      <c r="AC445" s="73"/>
      <c r="AD445" s="73"/>
      <c r="AE445" s="73"/>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c r="BC445" s="72"/>
      <c r="BD445" s="72"/>
      <c r="BE445" s="72"/>
      <c r="BF445" s="72"/>
    </row>
    <row r="446" spans="3:58">
      <c r="C446" s="74"/>
      <c r="Q446" s="72"/>
      <c r="R446" s="72"/>
      <c r="S446" s="72"/>
      <c r="T446" s="72"/>
      <c r="U446" s="72"/>
      <c r="V446" s="72"/>
      <c r="W446" s="72"/>
      <c r="X446" s="72"/>
      <c r="Y446" s="72"/>
      <c r="Z446" s="72"/>
      <c r="AA446" s="72"/>
      <c r="AB446" s="73"/>
      <c r="AC446" s="73"/>
      <c r="AD446" s="73"/>
      <c r="AE446" s="73"/>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row>
    <row r="447" spans="3:58">
      <c r="C447" s="74"/>
      <c r="Q447" s="72"/>
      <c r="R447" s="72"/>
      <c r="S447" s="72"/>
      <c r="T447" s="72"/>
      <c r="U447" s="72"/>
      <c r="V447" s="72"/>
      <c r="W447" s="72"/>
      <c r="X447" s="72"/>
      <c r="Y447" s="72"/>
      <c r="Z447" s="72"/>
      <c r="AA447" s="72"/>
      <c r="AB447" s="73"/>
      <c r="AC447" s="73"/>
      <c r="AD447" s="73"/>
      <c r="AE447" s="73"/>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c r="BC447" s="72"/>
      <c r="BD447" s="72"/>
      <c r="BE447" s="72"/>
      <c r="BF447" s="72"/>
    </row>
    <row r="448" spans="3:58">
      <c r="C448" s="74"/>
      <c r="Q448" s="72"/>
      <c r="R448" s="72"/>
      <c r="S448" s="72"/>
      <c r="T448" s="72"/>
      <c r="U448" s="72"/>
      <c r="V448" s="72"/>
      <c r="W448" s="72"/>
      <c r="X448" s="72"/>
      <c r="Y448" s="72"/>
      <c r="Z448" s="72"/>
      <c r="AA448" s="72"/>
      <c r="AB448" s="73"/>
      <c r="AC448" s="73"/>
      <c r="AD448" s="73"/>
      <c r="AE448" s="73"/>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c r="BC448" s="72"/>
      <c r="BD448" s="72"/>
      <c r="BE448" s="72"/>
      <c r="BF448" s="72"/>
    </row>
    <row r="449" spans="3:58">
      <c r="C449" s="74"/>
      <c r="Q449" s="72"/>
      <c r="R449" s="72"/>
      <c r="S449" s="72"/>
      <c r="T449" s="72"/>
      <c r="U449" s="72"/>
      <c r="V449" s="72"/>
      <c r="W449" s="72"/>
      <c r="X449" s="72"/>
      <c r="Y449" s="72"/>
      <c r="Z449" s="72"/>
      <c r="AA449" s="72"/>
      <c r="AB449" s="73"/>
      <c r="AC449" s="73"/>
      <c r="AD449" s="73"/>
      <c r="AE449" s="73"/>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c r="BC449" s="72"/>
      <c r="BD449" s="72"/>
      <c r="BE449" s="72"/>
      <c r="BF449" s="72"/>
    </row>
    <row r="450" spans="3:58">
      <c r="C450" s="74"/>
      <c r="Q450" s="72"/>
      <c r="R450" s="72"/>
      <c r="S450" s="72"/>
      <c r="T450" s="72"/>
      <c r="U450" s="72"/>
      <c r="V450" s="72"/>
      <c r="W450" s="72"/>
      <c r="X450" s="72"/>
      <c r="Y450" s="72"/>
      <c r="Z450" s="72"/>
      <c r="AA450" s="72"/>
      <c r="AB450" s="73"/>
      <c r="AC450" s="73"/>
      <c r="AD450" s="73"/>
      <c r="AE450" s="73"/>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c r="BC450" s="72"/>
      <c r="BD450" s="72"/>
      <c r="BE450" s="72"/>
      <c r="BF450" s="72"/>
    </row>
    <row r="451" spans="3:58">
      <c r="C451" s="74"/>
      <c r="Q451" s="72"/>
      <c r="R451" s="72"/>
      <c r="S451" s="72"/>
      <c r="T451" s="72"/>
      <c r="U451" s="72"/>
      <c r="V451" s="72"/>
      <c r="W451" s="72"/>
      <c r="X451" s="72"/>
      <c r="Y451" s="72"/>
      <c r="Z451" s="72"/>
      <c r="AA451" s="72"/>
      <c r="AB451" s="73"/>
      <c r="AC451" s="73"/>
      <c r="AD451" s="73"/>
      <c r="AE451" s="73"/>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72"/>
      <c r="BD451" s="72"/>
      <c r="BE451" s="72"/>
      <c r="BF451" s="72"/>
    </row>
    <row r="452" spans="3:58">
      <c r="C452" s="74"/>
      <c r="Q452" s="72"/>
      <c r="R452" s="72"/>
      <c r="S452" s="72"/>
      <c r="T452" s="72"/>
      <c r="U452" s="72"/>
      <c r="V452" s="72"/>
      <c r="W452" s="72"/>
      <c r="X452" s="72"/>
      <c r="Y452" s="72"/>
      <c r="Z452" s="72"/>
      <c r="AA452" s="72"/>
      <c r="AB452" s="73"/>
      <c r="AC452" s="73"/>
      <c r="AD452" s="73"/>
      <c r="AE452" s="73"/>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c r="BC452" s="72"/>
      <c r="BD452" s="72"/>
      <c r="BE452" s="72"/>
      <c r="BF452" s="72"/>
    </row>
    <row r="453" spans="3:58">
      <c r="C453" s="74"/>
      <c r="Q453" s="72"/>
      <c r="R453" s="72"/>
      <c r="S453" s="72"/>
      <c r="T453" s="72"/>
      <c r="U453" s="72"/>
      <c r="V453" s="72"/>
      <c r="W453" s="72"/>
      <c r="X453" s="72"/>
      <c r="Y453" s="72"/>
      <c r="Z453" s="72"/>
      <c r="AA453" s="72"/>
      <c r="AB453" s="73"/>
      <c r="AC453" s="73"/>
      <c r="AD453" s="73"/>
      <c r="AE453" s="73"/>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c r="BC453" s="72"/>
      <c r="BD453" s="72"/>
      <c r="BE453" s="72"/>
      <c r="BF453" s="72"/>
    </row>
    <row r="454" spans="3:58">
      <c r="C454" s="74"/>
      <c r="Q454" s="72"/>
      <c r="R454" s="72"/>
      <c r="S454" s="72"/>
      <c r="T454" s="72"/>
      <c r="U454" s="72"/>
      <c r="V454" s="72"/>
      <c r="W454" s="72"/>
      <c r="X454" s="72"/>
      <c r="Y454" s="72"/>
      <c r="Z454" s="72"/>
      <c r="AA454" s="72"/>
      <c r="AB454" s="73"/>
      <c r="AC454" s="73"/>
      <c r="AD454" s="73"/>
      <c r="AE454" s="73"/>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c r="BC454" s="72"/>
      <c r="BD454" s="72"/>
      <c r="BE454" s="72"/>
      <c r="BF454" s="72"/>
    </row>
    <row r="455" spans="3:58">
      <c r="C455" s="74"/>
      <c r="Q455" s="72"/>
      <c r="R455" s="72"/>
      <c r="S455" s="72"/>
      <c r="T455" s="72"/>
      <c r="U455" s="72"/>
      <c r="V455" s="72"/>
      <c r="W455" s="72"/>
      <c r="X455" s="72"/>
      <c r="Y455" s="72"/>
      <c r="Z455" s="72"/>
      <c r="AA455" s="72"/>
      <c r="AB455" s="73"/>
      <c r="AC455" s="73"/>
      <c r="AD455" s="73"/>
      <c r="AE455" s="73"/>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c r="BC455" s="72"/>
      <c r="BD455" s="72"/>
      <c r="BE455" s="72"/>
      <c r="BF455" s="72"/>
    </row>
    <row r="456" spans="3:58">
      <c r="C456" s="74"/>
      <c r="Q456" s="72"/>
      <c r="R456" s="72"/>
      <c r="S456" s="72"/>
      <c r="T456" s="72"/>
      <c r="U456" s="72"/>
      <c r="V456" s="72"/>
      <c r="W456" s="72"/>
      <c r="X456" s="72"/>
      <c r="Y456" s="72"/>
      <c r="Z456" s="72"/>
      <c r="AA456" s="72"/>
      <c r="AB456" s="73"/>
      <c r="AC456" s="73"/>
      <c r="AD456" s="73"/>
      <c r="AE456" s="73"/>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c r="BC456" s="72"/>
      <c r="BD456" s="72"/>
      <c r="BE456" s="72"/>
      <c r="BF456" s="72"/>
    </row>
    <row r="457" spans="3:58">
      <c r="C457" s="74"/>
      <c r="Q457" s="72"/>
      <c r="R457" s="72"/>
      <c r="S457" s="72"/>
      <c r="T457" s="72"/>
      <c r="U457" s="72"/>
      <c r="V457" s="72"/>
      <c r="W457" s="72"/>
      <c r="X457" s="72"/>
      <c r="Y457" s="72"/>
      <c r="Z457" s="72"/>
      <c r="AA457" s="72"/>
      <c r="AB457" s="73"/>
      <c r="AC457" s="73"/>
      <c r="AD457" s="73"/>
      <c r="AE457" s="73"/>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c r="BC457" s="72"/>
      <c r="BD457" s="72"/>
      <c r="BE457" s="72"/>
      <c r="BF457" s="72"/>
    </row>
    <row r="458" spans="3:58">
      <c r="C458" s="74"/>
      <c r="Q458" s="72"/>
      <c r="R458" s="72"/>
      <c r="S458" s="72"/>
      <c r="T458" s="72"/>
      <c r="U458" s="72"/>
      <c r="V458" s="72"/>
      <c r="W458" s="72"/>
      <c r="X458" s="72"/>
      <c r="Y458" s="72"/>
      <c r="Z458" s="72"/>
      <c r="AA458" s="72"/>
      <c r="AB458" s="73"/>
      <c r="AC458" s="73"/>
      <c r="AD458" s="73"/>
      <c r="AE458" s="73"/>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c r="BC458" s="72"/>
      <c r="BD458" s="72"/>
      <c r="BE458" s="72"/>
      <c r="BF458" s="72"/>
    </row>
    <row r="459" spans="3:58">
      <c r="C459" s="74"/>
      <c r="Q459" s="72"/>
      <c r="R459" s="72"/>
      <c r="S459" s="72"/>
      <c r="T459" s="72"/>
      <c r="U459" s="72"/>
      <c r="V459" s="72"/>
      <c r="W459" s="72"/>
      <c r="X459" s="72"/>
      <c r="Y459" s="72"/>
      <c r="Z459" s="72"/>
      <c r="AA459" s="72"/>
      <c r="AB459" s="73"/>
      <c r="AC459" s="73"/>
      <c r="AD459" s="73"/>
      <c r="AE459" s="73"/>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c r="BC459" s="72"/>
      <c r="BD459" s="72"/>
      <c r="BE459" s="72"/>
      <c r="BF459" s="72"/>
    </row>
    <row r="460" spans="3:58">
      <c r="C460" s="74"/>
      <c r="Q460" s="72"/>
      <c r="R460" s="72"/>
      <c r="S460" s="72"/>
      <c r="T460" s="72"/>
      <c r="U460" s="72"/>
      <c r="V460" s="72"/>
      <c r="W460" s="72"/>
      <c r="X460" s="72"/>
      <c r="Y460" s="72"/>
      <c r="Z460" s="72"/>
      <c r="AA460" s="72"/>
      <c r="AB460" s="73"/>
      <c r="AC460" s="73"/>
      <c r="AD460" s="73"/>
      <c r="AE460" s="73"/>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c r="BC460" s="72"/>
      <c r="BD460" s="72"/>
      <c r="BE460" s="72"/>
      <c r="BF460" s="72"/>
    </row>
    <row r="461" spans="3:58">
      <c r="C461" s="74"/>
      <c r="Q461" s="72"/>
      <c r="R461" s="72"/>
      <c r="S461" s="72"/>
      <c r="T461" s="72"/>
      <c r="U461" s="72"/>
      <c r="V461" s="72"/>
      <c r="W461" s="72"/>
      <c r="X461" s="72"/>
      <c r="Y461" s="72"/>
      <c r="Z461" s="72"/>
      <c r="AA461" s="72"/>
      <c r="AB461" s="73"/>
      <c r="AC461" s="73"/>
      <c r="AD461" s="73"/>
      <c r="AE461" s="73"/>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row>
    <row r="462" spans="3:58">
      <c r="C462" s="74"/>
      <c r="Q462" s="72"/>
      <c r="R462" s="72"/>
      <c r="S462" s="72"/>
      <c r="T462" s="72"/>
      <c r="U462" s="72"/>
      <c r="V462" s="72"/>
      <c r="W462" s="72"/>
      <c r="X462" s="72"/>
      <c r="Y462" s="72"/>
      <c r="Z462" s="72"/>
      <c r="AA462" s="72"/>
      <c r="AB462" s="73"/>
      <c r="AC462" s="73"/>
      <c r="AD462" s="73"/>
      <c r="AE462" s="73"/>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row>
    <row r="463" spans="3:58">
      <c r="C463" s="74"/>
      <c r="Q463" s="72"/>
      <c r="R463" s="72"/>
      <c r="S463" s="72"/>
      <c r="T463" s="72"/>
      <c r="U463" s="72"/>
      <c r="V463" s="72"/>
      <c r="W463" s="72"/>
      <c r="X463" s="72"/>
      <c r="Y463" s="72"/>
      <c r="Z463" s="72"/>
      <c r="AA463" s="72"/>
      <c r="AB463" s="73"/>
      <c r="AC463" s="73"/>
      <c r="AD463" s="73"/>
      <c r="AE463" s="73"/>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row>
    <row r="464" spans="3:58">
      <c r="C464" s="74"/>
      <c r="Q464" s="72"/>
      <c r="R464" s="72"/>
      <c r="S464" s="72"/>
      <c r="T464" s="72"/>
      <c r="U464" s="72"/>
      <c r="V464" s="72"/>
      <c r="W464" s="72"/>
      <c r="X464" s="72"/>
      <c r="Y464" s="72"/>
      <c r="Z464" s="72"/>
      <c r="AA464" s="72"/>
      <c r="AB464" s="73"/>
      <c r="AC464" s="73"/>
      <c r="AD464" s="73"/>
      <c r="AE464" s="73"/>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row>
    <row r="465" spans="3:58">
      <c r="C465" s="74"/>
      <c r="Q465" s="72"/>
      <c r="R465" s="72"/>
      <c r="S465" s="72"/>
      <c r="T465" s="72"/>
      <c r="U465" s="72"/>
      <c r="V465" s="72"/>
      <c r="W465" s="72"/>
      <c r="X465" s="72"/>
      <c r="Y465" s="72"/>
      <c r="Z465" s="72"/>
      <c r="AA465" s="72"/>
      <c r="AB465" s="73"/>
      <c r="AC465" s="73"/>
      <c r="AD465" s="73"/>
      <c r="AE465" s="73"/>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c r="BC465" s="72"/>
      <c r="BD465" s="72"/>
      <c r="BE465" s="72"/>
      <c r="BF465" s="72"/>
    </row>
    <row r="466" spans="3:58">
      <c r="C466" s="74"/>
      <c r="Q466" s="72"/>
      <c r="R466" s="72"/>
      <c r="S466" s="72"/>
      <c r="T466" s="72"/>
      <c r="U466" s="72"/>
      <c r="V466" s="72"/>
      <c r="W466" s="72"/>
      <c r="X466" s="72"/>
      <c r="Y466" s="72"/>
      <c r="Z466" s="72"/>
      <c r="AA466" s="72"/>
      <c r="AB466" s="73"/>
      <c r="AC466" s="73"/>
      <c r="AD466" s="73"/>
      <c r="AE466" s="73"/>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row>
    <row r="467" spans="3:58">
      <c r="C467" s="74"/>
      <c r="Q467" s="72"/>
      <c r="R467" s="72"/>
      <c r="S467" s="72"/>
      <c r="T467" s="72"/>
      <c r="U467" s="72"/>
      <c r="V467" s="72"/>
      <c r="W467" s="72"/>
      <c r="X467" s="72"/>
      <c r="Y467" s="72"/>
      <c r="Z467" s="72"/>
      <c r="AA467" s="72"/>
      <c r="AB467" s="73"/>
      <c r="AC467" s="73"/>
      <c r="AD467" s="73"/>
      <c r="AE467" s="73"/>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row>
    <row r="468" spans="3:58">
      <c r="C468" s="74"/>
      <c r="Q468" s="72"/>
      <c r="R468" s="72"/>
      <c r="S468" s="72"/>
      <c r="T468" s="72"/>
      <c r="U468" s="72"/>
      <c r="V468" s="72"/>
      <c r="W468" s="72"/>
      <c r="X468" s="72"/>
      <c r="Y468" s="72"/>
      <c r="Z468" s="72"/>
      <c r="AA468" s="72"/>
      <c r="AB468" s="73"/>
      <c r="AC468" s="73"/>
      <c r="AD468" s="73"/>
      <c r="AE468" s="73"/>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row>
    <row r="469" spans="3:58">
      <c r="C469" s="74"/>
      <c r="Q469" s="72"/>
      <c r="R469" s="72"/>
      <c r="S469" s="72"/>
      <c r="T469" s="72"/>
      <c r="U469" s="72"/>
      <c r="V469" s="72"/>
      <c r="W469" s="72"/>
      <c r="X469" s="72"/>
      <c r="Y469" s="72"/>
      <c r="Z469" s="72"/>
      <c r="AA469" s="72"/>
      <c r="AB469" s="73"/>
      <c r="AC469" s="73"/>
      <c r="AD469" s="73"/>
      <c r="AE469" s="73"/>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row>
    <row r="470" spans="3:58">
      <c r="C470" s="74"/>
      <c r="Q470" s="72"/>
      <c r="R470" s="72"/>
      <c r="S470" s="72"/>
      <c r="T470" s="72"/>
      <c r="U470" s="72"/>
      <c r="V470" s="72"/>
      <c r="W470" s="72"/>
      <c r="X470" s="72"/>
      <c r="Y470" s="72"/>
      <c r="Z470" s="72"/>
      <c r="AA470" s="72"/>
      <c r="AB470" s="73"/>
      <c r="AC470" s="73"/>
      <c r="AD470" s="73"/>
      <c r="AE470" s="73"/>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row>
    <row r="471" spans="3:58">
      <c r="C471" s="74"/>
      <c r="Q471" s="72"/>
      <c r="R471" s="72"/>
      <c r="S471" s="72"/>
      <c r="T471" s="72"/>
      <c r="U471" s="72"/>
      <c r="V471" s="72"/>
      <c r="W471" s="72"/>
      <c r="X471" s="72"/>
      <c r="Y471" s="72"/>
      <c r="Z471" s="72"/>
      <c r="AA471" s="72"/>
      <c r="AB471" s="73"/>
      <c r="AC471" s="73"/>
      <c r="AD471" s="73"/>
      <c r="AE471" s="73"/>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c r="BC471" s="72"/>
      <c r="BD471" s="72"/>
      <c r="BE471" s="72"/>
      <c r="BF471" s="72"/>
    </row>
    <row r="472" spans="3:58">
      <c r="C472" s="74"/>
      <c r="Q472" s="72"/>
      <c r="R472" s="72"/>
      <c r="S472" s="72"/>
      <c r="T472" s="72"/>
      <c r="U472" s="72"/>
      <c r="V472" s="72"/>
      <c r="W472" s="72"/>
      <c r="X472" s="72"/>
      <c r="Y472" s="72"/>
      <c r="Z472" s="72"/>
      <c r="AA472" s="72"/>
      <c r="AB472" s="73"/>
      <c r="AC472" s="73"/>
      <c r="AD472" s="73"/>
      <c r="AE472" s="73"/>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row>
    <row r="473" spans="3:58">
      <c r="C473" s="74"/>
      <c r="Q473" s="72"/>
      <c r="R473" s="72"/>
      <c r="S473" s="72"/>
      <c r="T473" s="72"/>
      <c r="U473" s="72"/>
      <c r="V473" s="72"/>
      <c r="W473" s="72"/>
      <c r="X473" s="72"/>
      <c r="Y473" s="72"/>
      <c r="Z473" s="72"/>
      <c r="AA473" s="72"/>
      <c r="AB473" s="73"/>
      <c r="AC473" s="73"/>
      <c r="AD473" s="73"/>
      <c r="AE473" s="73"/>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c r="BC473" s="72"/>
      <c r="BD473" s="72"/>
      <c r="BE473" s="72"/>
      <c r="BF473" s="72"/>
    </row>
    <row r="474" spans="3:58">
      <c r="C474" s="74"/>
      <c r="Q474" s="72"/>
      <c r="R474" s="72"/>
      <c r="S474" s="72"/>
      <c r="T474" s="72"/>
      <c r="U474" s="72"/>
      <c r="V474" s="72"/>
      <c r="W474" s="72"/>
      <c r="X474" s="72"/>
      <c r="Y474" s="72"/>
      <c r="Z474" s="72"/>
      <c r="AA474" s="72"/>
      <c r="AB474" s="73"/>
      <c r="AC474" s="73"/>
      <c r="AD474" s="73"/>
      <c r="AE474" s="73"/>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c r="BC474" s="72"/>
      <c r="BD474" s="72"/>
      <c r="BE474" s="72"/>
      <c r="BF474" s="72"/>
    </row>
  </sheetData>
  <mergeCells count="1">
    <mergeCell ref="F22:J22"/>
  </mergeCells>
  <pageMargins left="0.7" right="0.7" top="0.75" bottom="0.75" header="0.3" footer="0.3"/>
  <pageSetup orientation="portrait" r:id="rId1"/>
  <headerFooter>
    <oddHeader>&amp;L&amp;"Calibri"&amp;10&amp;K0000FFTRADING PARTNER&amp;1#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B2FC8-E1E9-4FC9-ADA3-AA20A4B7868D}">
  <sheetPr codeName="Sheet31">
    <tabColor theme="5" tint="0.79998168889431442"/>
  </sheetPr>
  <dimension ref="B1:BF474"/>
  <sheetViews>
    <sheetView workbookViewId="0">
      <selection activeCell="K64" sqref="K64"/>
    </sheetView>
  </sheetViews>
  <sheetFormatPr defaultColWidth="7.5" defaultRowHeight="15"/>
  <cols>
    <col min="1" max="1" width="8.5" style="44" customWidth="1"/>
    <col min="2" max="2" width="20.5" style="68" customWidth="1"/>
    <col min="3" max="3" width="8.5" style="69" customWidth="1"/>
    <col min="4" max="4" width="19" style="44" customWidth="1"/>
    <col min="5" max="5" width="26.5" style="44" customWidth="1"/>
    <col min="6" max="7" width="10" style="44" customWidth="1"/>
    <col min="8" max="9" width="14" style="44" customWidth="1"/>
    <col min="10" max="10" width="19.296875" style="44" customWidth="1"/>
    <col min="11" max="11" width="13.5" style="44" customWidth="1"/>
    <col min="12" max="12" width="12" style="44" customWidth="1"/>
    <col min="13" max="13" width="10.796875" style="44" customWidth="1"/>
    <col min="14" max="14" width="10" style="44" customWidth="1"/>
    <col min="15" max="15" width="10.796875" style="44" customWidth="1"/>
    <col min="16" max="16" width="12.296875" style="44" customWidth="1"/>
    <col min="17" max="18" width="10.796875" style="44" customWidth="1"/>
    <col min="19" max="26" width="9.796875" style="44" customWidth="1"/>
    <col min="27" max="27" width="12" style="44" bestFit="1" customWidth="1"/>
    <col min="28" max="28" width="13.5" style="299" customWidth="1"/>
    <col min="29" max="29" width="13" style="299" customWidth="1"/>
    <col min="30" max="31" width="12.296875" style="299" customWidth="1"/>
    <col min="32" max="32" width="8.5" style="44" customWidth="1"/>
    <col min="33" max="33" width="13" style="44" customWidth="1"/>
    <col min="34" max="34" width="9.796875" style="44" customWidth="1"/>
    <col min="35" max="35" width="9.5" style="44" customWidth="1"/>
    <col min="36" max="36" width="11.796875" style="44" customWidth="1"/>
    <col min="37" max="39" width="9.796875" style="44" customWidth="1"/>
    <col min="40" max="40" width="11.296875" style="44" customWidth="1"/>
    <col min="41" max="41" width="7.5" style="44"/>
    <col min="42" max="42" width="8" style="44" bestFit="1" customWidth="1"/>
    <col min="43" max="43" width="7.5" style="44"/>
    <col min="44" max="44" width="10" style="44" bestFit="1" customWidth="1"/>
    <col min="45" max="16384" width="7.5" style="44"/>
  </cols>
  <sheetData>
    <row r="1" spans="2:58">
      <c r="B1" s="68" t="s">
        <v>175</v>
      </c>
      <c r="E1" s="70"/>
      <c r="G1" s="71" t="s">
        <v>33</v>
      </c>
      <c r="H1" s="70"/>
      <c r="J1" s="44" t="s">
        <v>176</v>
      </c>
      <c r="W1" s="72"/>
      <c r="AA1" s="72"/>
      <c r="AB1" s="73"/>
      <c r="AC1" s="73"/>
      <c r="AD1" s="73"/>
      <c r="AE1" s="73"/>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row>
    <row r="2" spans="2:58">
      <c r="C2" s="74"/>
      <c r="D2" s="75" t="s">
        <v>177</v>
      </c>
      <c r="E2" s="417">
        <v>15526219788.182505</v>
      </c>
      <c r="G2" s="76" t="s">
        <v>178</v>
      </c>
      <c r="H2" s="77">
        <f>+E3/E2</f>
        <v>0.11019810694184269</v>
      </c>
      <c r="I2" s="78"/>
      <c r="J2" s="79"/>
      <c r="K2" s="79" t="s">
        <v>179</v>
      </c>
      <c r="L2" s="79" t="s">
        <v>180</v>
      </c>
      <c r="W2" s="72"/>
      <c r="AA2" s="72"/>
      <c r="AB2" s="73"/>
      <c r="AC2" s="73"/>
      <c r="AD2" s="73"/>
      <c r="AE2" s="73"/>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row>
    <row r="3" spans="2:58">
      <c r="C3" s="74"/>
      <c r="D3" s="75" t="s">
        <v>181</v>
      </c>
      <c r="E3" s="397">
        <v>1710960028.6206899</v>
      </c>
      <c r="G3" s="76" t="s">
        <v>182</v>
      </c>
      <c r="H3" s="77">
        <f>+E6/E2</f>
        <v>4.6743720050413926E-2</v>
      </c>
      <c r="I3" s="80"/>
      <c r="J3" s="44">
        <v>105</v>
      </c>
      <c r="K3" s="81">
        <f>IF(((E27*12*600)/1000000)&lt;=F27,((E27*12*600)/1000000),F27)*1000000</f>
        <v>25300000</v>
      </c>
      <c r="L3" s="81">
        <f>IF(K3/1000000&gt;F27,0,((F27*1000000)-K3))</f>
        <v>0</v>
      </c>
      <c r="W3" s="72"/>
      <c r="AA3" s="72"/>
      <c r="AB3" s="73"/>
      <c r="AC3" s="73"/>
      <c r="AD3" s="73"/>
      <c r="AE3" s="73"/>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row>
    <row r="4" spans="2:58">
      <c r="C4" s="74"/>
      <c r="D4" s="75" t="s">
        <v>183</v>
      </c>
      <c r="E4" s="397">
        <v>22850467.925561026</v>
      </c>
      <c r="G4" s="76" t="s">
        <v>184</v>
      </c>
      <c r="H4" s="409">
        <v>5.7299999999999999E-3</v>
      </c>
      <c r="I4" s="82"/>
      <c r="J4" s="44">
        <v>106</v>
      </c>
      <c r="K4" s="81">
        <f t="shared" ref="K4:K5" si="0">IF(((E28*12*600)/1000000)&lt;=F28,((E28*12*600)/1000000),F28)*1000000</f>
        <v>204100000</v>
      </c>
      <c r="L4" s="81">
        <f>IF(K4/1000000&gt;F28,0,((F28*1000000)-K4))</f>
        <v>0</v>
      </c>
      <c r="W4" s="72"/>
      <c r="AA4" s="72"/>
      <c r="AB4" s="73"/>
      <c r="AC4" s="73"/>
      <c r="AD4" s="73"/>
      <c r="AE4" s="73"/>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row>
    <row r="5" spans="2:58">
      <c r="C5" s="74"/>
      <c r="D5" s="75" t="s">
        <v>185</v>
      </c>
      <c r="E5" s="83">
        <v>74.876367267156624</v>
      </c>
      <c r="G5" s="84" t="s">
        <v>186</v>
      </c>
      <c r="H5" s="409">
        <v>1.1678000000000001E-2</v>
      </c>
      <c r="I5" s="85"/>
      <c r="J5" s="44">
        <v>107</v>
      </c>
      <c r="K5" s="81">
        <f t="shared" si="0"/>
        <v>27165600</v>
      </c>
      <c r="L5" s="81">
        <f>IF(K5/1000000&gt;F29,0,((F29*1000000)-K5))</f>
        <v>5534400.0000000037</v>
      </c>
      <c r="W5" s="72"/>
      <c r="AA5" s="72"/>
      <c r="AB5" s="73"/>
      <c r="AC5" s="73"/>
      <c r="AD5" s="73"/>
      <c r="AE5" s="73"/>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row>
    <row r="6" spans="2:58">
      <c r="C6" s="74"/>
      <c r="D6" s="86" t="s">
        <v>187</v>
      </c>
      <c r="E6" s="397">
        <v>725753271.22000003</v>
      </c>
      <c r="F6" s="87"/>
      <c r="G6" s="76" t="s">
        <v>188</v>
      </c>
      <c r="H6" s="409">
        <v>8.5899999999999987E-5</v>
      </c>
      <c r="I6" s="88"/>
      <c r="J6" s="78"/>
      <c r="K6" s="82">
        <f>SUM(K3:K5)</f>
        <v>256565600</v>
      </c>
      <c r="L6" s="82"/>
      <c r="W6" s="72"/>
      <c r="AA6" s="72"/>
      <c r="AB6" s="73"/>
      <c r="AC6" s="73"/>
      <c r="AD6" s="73"/>
      <c r="AE6" s="73"/>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row>
    <row r="7" spans="2:58">
      <c r="C7" s="74"/>
      <c r="D7" s="89"/>
      <c r="E7" s="90"/>
      <c r="F7" s="90"/>
      <c r="G7" s="76" t="s">
        <v>189</v>
      </c>
      <c r="H7" s="91">
        <v>1.9821098460390599E-2</v>
      </c>
      <c r="I7" s="92"/>
      <c r="J7" s="78"/>
      <c r="K7" s="82"/>
      <c r="L7" s="82"/>
      <c r="AA7" s="72"/>
      <c r="AB7" s="73"/>
      <c r="AC7" s="73"/>
      <c r="AD7" s="73"/>
      <c r="AE7" s="73"/>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row>
    <row r="8" spans="2:58" ht="15.6" thickBot="1">
      <c r="C8" s="74"/>
      <c r="D8" s="93" t="s">
        <v>190</v>
      </c>
      <c r="E8" s="94" t="s">
        <v>191</v>
      </c>
      <c r="F8" s="95" t="s">
        <v>192</v>
      </c>
      <c r="G8" s="76"/>
      <c r="H8" s="96"/>
      <c r="I8" s="97"/>
      <c r="J8" s="652" t="s">
        <v>537</v>
      </c>
      <c r="K8" s="653"/>
      <c r="L8" s="654"/>
      <c r="W8" s="72"/>
      <c r="AA8" s="72"/>
      <c r="AB8" s="73"/>
      <c r="AC8" s="73"/>
      <c r="AD8" s="73"/>
      <c r="AE8" s="73"/>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row>
    <row r="9" spans="2:58">
      <c r="C9" s="74"/>
      <c r="D9" s="89" t="s">
        <v>193</v>
      </c>
      <c r="E9" s="396">
        <v>5668.5895671135731</v>
      </c>
      <c r="F9" s="395">
        <v>1378874</v>
      </c>
      <c r="G9" s="99"/>
      <c r="H9" s="96"/>
      <c r="I9" s="96"/>
      <c r="J9" s="643"/>
      <c r="K9" s="645" t="s">
        <v>77</v>
      </c>
      <c r="L9" s="642" t="s">
        <v>78</v>
      </c>
      <c r="W9" s="72"/>
      <c r="AA9" s="72"/>
      <c r="AB9" s="73"/>
      <c r="AC9" s="73"/>
      <c r="AD9" s="73"/>
      <c r="AE9" s="73"/>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row>
    <row r="10" spans="2:58">
      <c r="C10" s="74"/>
      <c r="D10" s="89" t="s">
        <v>194</v>
      </c>
      <c r="E10" s="396">
        <v>6861.6496386784274</v>
      </c>
      <c r="F10" s="395">
        <v>125036.15473984106</v>
      </c>
      <c r="G10" s="99"/>
      <c r="H10" s="85"/>
      <c r="I10" s="85"/>
      <c r="J10" s="646" t="s">
        <v>12</v>
      </c>
      <c r="K10" s="648"/>
      <c r="L10" s="649">
        <v>1440923</v>
      </c>
      <c r="W10" s="72"/>
      <c r="AA10" s="72"/>
      <c r="AB10" s="73"/>
      <c r="AC10" s="73"/>
      <c r="AD10" s="73"/>
      <c r="AE10" s="73"/>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row>
    <row r="11" spans="2:58">
      <c r="C11" s="74"/>
      <c r="D11" s="89" t="s">
        <v>195</v>
      </c>
      <c r="E11" s="396">
        <v>1768.754738262515</v>
      </c>
      <c r="F11" s="395">
        <v>583</v>
      </c>
      <c r="G11" s="99"/>
      <c r="H11" s="101"/>
      <c r="I11" s="101"/>
      <c r="J11" s="643" t="s">
        <v>13</v>
      </c>
      <c r="K11" s="648"/>
      <c r="L11" s="649">
        <v>347823</v>
      </c>
      <c r="W11" s="72"/>
      <c r="AA11" s="72"/>
      <c r="AB11" s="73"/>
      <c r="AC11" s="73"/>
      <c r="AD11" s="73"/>
      <c r="AE11" s="73"/>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row>
    <row r="12" spans="2:58">
      <c r="C12" s="74"/>
      <c r="D12" s="89" t="s">
        <v>196</v>
      </c>
      <c r="E12" s="396">
        <v>235.31472663582704</v>
      </c>
      <c r="F12" s="395">
        <v>2174</v>
      </c>
      <c r="G12" s="99"/>
      <c r="H12" s="85">
        <f>+H5*$E$15</f>
        <v>170.38177818593118</v>
      </c>
      <c r="J12" s="647" t="s">
        <v>24</v>
      </c>
      <c r="K12" s="649">
        <v>123625</v>
      </c>
      <c r="L12" s="649">
        <v>0</v>
      </c>
      <c r="W12" s="72"/>
      <c r="AA12" s="72"/>
      <c r="AB12" s="73"/>
      <c r="AC12" s="73"/>
      <c r="AD12" s="73"/>
      <c r="AE12" s="73"/>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row>
    <row r="13" spans="2:58">
      <c r="C13" s="74"/>
      <c r="D13" s="89" t="s">
        <v>197</v>
      </c>
      <c r="E13" s="396">
        <v>36.155253116297253</v>
      </c>
      <c r="F13" s="395">
        <v>2</v>
      </c>
      <c r="G13" s="99"/>
      <c r="H13" s="85">
        <f t="shared" ref="H13:H14" si="1">+H6*$E$15</f>
        <v>1.25327922128545</v>
      </c>
      <c r="I13" s="85"/>
      <c r="W13" s="72"/>
      <c r="AA13" s="72"/>
      <c r="AB13" s="73"/>
      <c r="AC13" s="73"/>
      <c r="AD13" s="73"/>
      <c r="AE13" s="73"/>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row>
    <row r="14" spans="2:58">
      <c r="C14" s="74"/>
      <c r="D14" s="89" t="s">
        <v>198</v>
      </c>
      <c r="E14" s="396">
        <v>19.515369388357588</v>
      </c>
      <c r="F14" s="395">
        <v>1103</v>
      </c>
      <c r="G14" s="99"/>
      <c r="H14" s="85">
        <f t="shared" si="1"/>
        <v>289.18941610547807</v>
      </c>
      <c r="W14" s="72"/>
      <c r="AA14" s="72"/>
      <c r="AB14" s="73"/>
      <c r="AC14" s="73"/>
      <c r="AD14" s="73"/>
      <c r="AE14" s="73"/>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row>
    <row r="15" spans="2:58" ht="15.6" thickBot="1">
      <c r="C15" s="74"/>
      <c r="D15" s="102" t="s">
        <v>199</v>
      </c>
      <c r="E15" s="103">
        <f>SUM(E9:E14)</f>
        <v>14589.979293194996</v>
      </c>
      <c r="F15" s="104">
        <f>SUM(F9:F14)</f>
        <v>1507772.1547398411</v>
      </c>
      <c r="H15" s="105"/>
      <c r="I15" s="105"/>
      <c r="W15" s="72"/>
      <c r="AA15" s="72"/>
      <c r="AB15" s="73"/>
      <c r="AC15" s="73"/>
      <c r="AD15" s="73"/>
      <c r="AE15" s="73"/>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row>
    <row r="16" spans="2:58">
      <c r="C16" s="74"/>
      <c r="D16" s="106" t="s">
        <v>200</v>
      </c>
      <c r="E16" s="107">
        <f>+E12-E17</f>
        <v>218.70575463582705</v>
      </c>
      <c r="F16" s="90"/>
      <c r="H16" s="108"/>
      <c r="I16" s="108"/>
      <c r="W16" s="72"/>
      <c r="AA16" s="72"/>
      <c r="AB16" s="73"/>
      <c r="AC16" s="73"/>
      <c r="AD16" s="73"/>
      <c r="AE16" s="73"/>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row>
    <row r="17" spans="2:58">
      <c r="C17" s="74"/>
      <c r="D17" s="106" t="s">
        <v>201</v>
      </c>
      <c r="E17" s="107">
        <v>16.608971999999998</v>
      </c>
      <c r="F17" s="109">
        <f>+E17+E16</f>
        <v>235.31472663582704</v>
      </c>
      <c r="G17" s="100"/>
      <c r="H17" s="81"/>
      <c r="I17" s="81"/>
      <c r="W17" s="72"/>
      <c r="AA17" s="72"/>
      <c r="AB17" s="73"/>
      <c r="AC17" s="73"/>
      <c r="AD17" s="73"/>
      <c r="AE17" s="73"/>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row>
    <row r="18" spans="2:58">
      <c r="C18" s="74"/>
      <c r="E18" s="110"/>
      <c r="F18" s="110">
        <f>+F17-E12</f>
        <v>0</v>
      </c>
      <c r="G18" s="111"/>
      <c r="H18" s="112"/>
      <c r="I18" s="112"/>
      <c r="W18" s="72"/>
      <c r="AA18" s="72"/>
      <c r="AB18" s="73"/>
      <c r="AC18" s="73"/>
      <c r="AD18" s="73"/>
      <c r="AE18" s="73"/>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row>
    <row r="19" spans="2:58" s="114" customFormat="1" ht="21.6" thickBot="1">
      <c r="B19" s="68"/>
      <c r="C19" s="113"/>
      <c r="E19" s="115"/>
      <c r="F19" s="115"/>
      <c r="G19" s="116"/>
      <c r="H19" s="117"/>
      <c r="I19" s="117"/>
      <c r="P19" s="118" t="s">
        <v>202</v>
      </c>
      <c r="Q19" s="118" t="s">
        <v>203</v>
      </c>
      <c r="R19" s="118" t="s">
        <v>204</v>
      </c>
      <c r="S19" s="118" t="s">
        <v>203</v>
      </c>
      <c r="T19" s="118" t="s">
        <v>204</v>
      </c>
      <c r="U19" s="118" t="s">
        <v>205</v>
      </c>
      <c r="V19" s="118"/>
      <c r="W19" s="119" t="s">
        <v>206</v>
      </c>
      <c r="X19" s="119" t="s">
        <v>207</v>
      </c>
      <c r="Y19" s="119" t="s">
        <v>208</v>
      </c>
      <c r="AA19" s="120"/>
      <c r="AB19" s="121"/>
      <c r="AC19" s="121"/>
      <c r="AD19" s="121"/>
      <c r="AE19" s="121"/>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row>
    <row r="20" spans="2:58">
      <c r="C20" s="122" t="s">
        <v>209</v>
      </c>
      <c r="D20" s="123"/>
      <c r="E20" s="44" t="b">
        <v>1</v>
      </c>
      <c r="H20" s="124"/>
      <c r="I20" s="124"/>
      <c r="J20" s="124"/>
      <c r="K20" s="124"/>
      <c r="L20" s="124"/>
      <c r="M20" s="124"/>
      <c r="N20" s="124"/>
      <c r="O20" s="72" t="s">
        <v>210</v>
      </c>
      <c r="P20" s="125">
        <v>1000000</v>
      </c>
      <c r="Q20" s="73"/>
      <c r="R20" s="73"/>
      <c r="S20" s="73"/>
      <c r="T20" s="73"/>
      <c r="U20" s="73"/>
      <c r="V20" s="73"/>
      <c r="W20" s="73"/>
      <c r="X20" s="73"/>
      <c r="Y20" s="73"/>
      <c r="Z20" s="73"/>
      <c r="AA20" s="72"/>
      <c r="AB20" s="73"/>
      <c r="AC20" s="73"/>
      <c r="AD20" s="73"/>
      <c r="AE20" s="73"/>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row>
    <row r="21" spans="2:58">
      <c r="C21" s="126" t="s">
        <v>211</v>
      </c>
      <c r="D21" s="127" t="str" cm="1">
        <f t="array" aca="1" ref="D21" ca="1">RIGHT(CELL("filename",E2),LEN(CELL("filename",E2))-FIND("]",CELL("filename",E2)))</f>
        <v>2027 Forecast</v>
      </c>
      <c r="H21" s="124"/>
      <c r="I21" s="124"/>
      <c r="J21" s="124"/>
      <c r="K21" s="124"/>
      <c r="L21" s="124"/>
      <c r="M21" s="124"/>
      <c r="N21" s="124"/>
      <c r="O21" s="72" t="s">
        <v>212</v>
      </c>
      <c r="P21" s="72">
        <v>12</v>
      </c>
      <c r="Q21" s="73"/>
      <c r="R21" s="73"/>
      <c r="S21" s="73"/>
      <c r="T21" s="73"/>
      <c r="U21" s="73"/>
      <c r="V21" s="73"/>
      <c r="W21" s="73"/>
      <c r="X21" s="73"/>
      <c r="Y21" s="73"/>
      <c r="Z21" s="73"/>
      <c r="AA21" s="72"/>
      <c r="AB21" s="73"/>
      <c r="AC21" s="73"/>
      <c r="AD21" s="73"/>
      <c r="AE21" s="73"/>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row>
    <row r="22" spans="2:58">
      <c r="C22" s="128"/>
      <c r="D22" s="128"/>
      <c r="E22" s="129"/>
      <c r="F22" s="1611" t="s">
        <v>213</v>
      </c>
      <c r="G22" s="1611"/>
      <c r="H22" s="1611"/>
      <c r="I22" s="1611"/>
      <c r="J22" s="1612"/>
      <c r="K22" s="129"/>
      <c r="L22" s="130" t="s">
        <v>214</v>
      </c>
      <c r="M22" s="131" t="s">
        <v>215</v>
      </c>
      <c r="N22" s="132"/>
      <c r="O22" s="133"/>
      <c r="P22" s="134" t="s">
        <v>216</v>
      </c>
      <c r="Q22" s="135"/>
      <c r="R22" s="135"/>
      <c r="S22" s="135"/>
      <c r="T22" s="135"/>
      <c r="U22" s="135"/>
      <c r="V22" s="135"/>
      <c r="W22" s="135"/>
      <c r="X22" s="135"/>
      <c r="Y22" s="135"/>
      <c r="Z22" s="135"/>
      <c r="AA22" s="136"/>
      <c r="AB22" s="137" t="s">
        <v>217</v>
      </c>
      <c r="AC22" s="138"/>
      <c r="AD22" s="138"/>
      <c r="AE22" s="138"/>
      <c r="AF22" s="136"/>
      <c r="AG22" s="139"/>
      <c r="AH22" s="140"/>
      <c r="AI22" s="140"/>
      <c r="AJ22" s="140" t="s">
        <v>218</v>
      </c>
      <c r="AK22" s="140"/>
      <c r="AL22" s="140" t="s">
        <v>219</v>
      </c>
      <c r="AM22" s="140" t="s">
        <v>219</v>
      </c>
      <c r="AN22" s="141"/>
      <c r="AO22" s="72"/>
      <c r="AP22" s="72"/>
      <c r="AQ22" s="72"/>
      <c r="AR22" s="72"/>
      <c r="AS22" s="72"/>
      <c r="AT22" s="72"/>
      <c r="AU22" s="72"/>
      <c r="AV22" s="72"/>
      <c r="AW22" s="72"/>
      <c r="AX22" s="72"/>
      <c r="AY22" s="72"/>
      <c r="AZ22" s="72"/>
      <c r="BA22" s="72"/>
      <c r="BB22" s="72"/>
      <c r="BC22" s="72"/>
      <c r="BD22" s="72"/>
      <c r="BE22" s="72"/>
      <c r="BF22" s="72"/>
    </row>
    <row r="23" spans="2:58" ht="39.75" customHeight="1" thickBot="1">
      <c r="C23" s="142" t="s">
        <v>220</v>
      </c>
      <c r="D23" s="142" t="s">
        <v>221</v>
      </c>
      <c r="E23" s="143" t="s">
        <v>192</v>
      </c>
      <c r="F23" s="144" t="s">
        <v>222</v>
      </c>
      <c r="G23" s="144" t="s">
        <v>223</v>
      </c>
      <c r="H23" s="144" t="s">
        <v>224</v>
      </c>
      <c r="I23" s="144" t="s">
        <v>225</v>
      </c>
      <c r="J23" s="145" t="s">
        <v>226</v>
      </c>
      <c r="K23" s="145" t="s">
        <v>227</v>
      </c>
      <c r="L23" s="145" t="s">
        <v>228</v>
      </c>
      <c r="M23" s="146" t="s">
        <v>199</v>
      </c>
      <c r="N23" s="144" t="s">
        <v>229</v>
      </c>
      <c r="O23" s="145" t="s">
        <v>230</v>
      </c>
      <c r="P23" s="118" t="s">
        <v>231</v>
      </c>
      <c r="Q23" s="119" t="s">
        <v>232</v>
      </c>
      <c r="R23" s="119" t="s">
        <v>233</v>
      </c>
      <c r="S23" s="119" t="s">
        <v>234</v>
      </c>
      <c r="T23" s="119" t="s">
        <v>235</v>
      </c>
      <c r="U23" s="119" t="s">
        <v>205</v>
      </c>
      <c r="V23" s="147" t="s">
        <v>222</v>
      </c>
      <c r="W23" s="147" t="s">
        <v>236</v>
      </c>
      <c r="X23" s="147" t="s">
        <v>237</v>
      </c>
      <c r="Y23" s="147" t="s">
        <v>238</v>
      </c>
      <c r="Z23" s="147" t="s">
        <v>236</v>
      </c>
      <c r="AA23" s="148" t="s">
        <v>239</v>
      </c>
      <c r="AB23" s="149" t="s">
        <v>240</v>
      </c>
      <c r="AC23" s="150" t="s">
        <v>241</v>
      </c>
      <c r="AD23" s="150" t="s">
        <v>242</v>
      </c>
      <c r="AE23" s="150" t="s">
        <v>243</v>
      </c>
      <c r="AF23" s="148" t="s">
        <v>244</v>
      </c>
      <c r="AG23" s="151" t="s">
        <v>245</v>
      </c>
      <c r="AH23" s="152" t="s">
        <v>246</v>
      </c>
      <c r="AI23" s="152" t="s">
        <v>247</v>
      </c>
      <c r="AJ23" s="153" t="s">
        <v>248</v>
      </c>
      <c r="AK23" s="154" t="s">
        <v>249</v>
      </c>
      <c r="AL23" s="152" t="s">
        <v>250</v>
      </c>
      <c r="AM23" s="152" t="s">
        <v>251</v>
      </c>
      <c r="AN23" s="154" t="s">
        <v>249</v>
      </c>
      <c r="AO23" s="72"/>
      <c r="AP23" s="72"/>
      <c r="AQ23" s="72"/>
      <c r="AR23" s="72"/>
      <c r="AS23" s="72"/>
      <c r="AT23" s="72"/>
      <c r="AU23" s="72"/>
      <c r="AV23" s="72"/>
      <c r="AW23" s="72"/>
      <c r="AX23" s="72"/>
      <c r="AY23" s="72"/>
      <c r="AZ23" s="72"/>
      <c r="BA23" s="72"/>
      <c r="BB23" s="72"/>
      <c r="BC23" s="72"/>
      <c r="BD23" s="72"/>
      <c r="BE23" s="72"/>
      <c r="BF23" s="72"/>
    </row>
    <row r="24" spans="2:58">
      <c r="C24" s="155" t="s">
        <v>252</v>
      </c>
      <c r="D24" s="72"/>
      <c r="E24" s="156"/>
      <c r="F24" s="157"/>
      <c r="G24" s="157"/>
      <c r="H24" s="157"/>
      <c r="I24" s="157"/>
      <c r="J24" s="158"/>
      <c r="K24" s="158"/>
      <c r="L24" s="158"/>
      <c r="M24" s="157"/>
      <c r="N24" s="157"/>
      <c r="O24" s="158"/>
      <c r="P24" s="159"/>
      <c r="Q24" s="160"/>
      <c r="R24" s="160"/>
      <c r="S24" s="160"/>
      <c r="T24" s="160"/>
      <c r="U24" s="160"/>
      <c r="V24" s="161"/>
      <c r="W24" s="160"/>
      <c r="X24" s="160"/>
      <c r="Y24" s="160"/>
      <c r="Z24" s="161"/>
      <c r="AA24" s="162"/>
      <c r="AB24" s="73"/>
      <c r="AC24" s="73"/>
      <c r="AD24" s="73"/>
      <c r="AE24" s="73"/>
      <c r="AF24" s="162"/>
      <c r="AG24" s="163"/>
      <c r="AH24" s="164"/>
      <c r="AI24" s="164"/>
      <c r="AJ24" s="164"/>
      <c r="AK24" s="72"/>
      <c r="AL24" s="164"/>
      <c r="AM24" s="164"/>
      <c r="AN24" s="72"/>
      <c r="AO24" s="72"/>
      <c r="AP24" s="72"/>
      <c r="AQ24" s="72"/>
      <c r="AR24" s="72"/>
      <c r="AS24" s="72"/>
      <c r="AT24" s="72"/>
      <c r="AU24" s="72"/>
      <c r="AV24" s="72"/>
      <c r="AW24" s="72"/>
      <c r="AX24" s="72"/>
      <c r="AY24" s="72"/>
      <c r="AZ24" s="72"/>
      <c r="BA24" s="72"/>
      <c r="BB24" s="72"/>
    </row>
    <row r="25" spans="2:58">
      <c r="B25" s="165" t="s">
        <v>8</v>
      </c>
      <c r="C25" s="74" t="s">
        <v>253</v>
      </c>
      <c r="D25" s="166" t="s">
        <v>254</v>
      </c>
      <c r="E25" s="398">
        <v>1100</v>
      </c>
      <c r="F25" s="399">
        <v>9.1999999999999993</v>
      </c>
      <c r="G25" s="169">
        <v>4.5999999999999996</v>
      </c>
      <c r="H25" s="169">
        <v>4.5999999999999996</v>
      </c>
      <c r="I25" s="170"/>
      <c r="J25" s="171"/>
      <c r="K25" s="171"/>
      <c r="L25" s="171"/>
      <c r="M25" s="172"/>
      <c r="N25" s="173"/>
      <c r="O25" s="171"/>
      <c r="P25" s="174">
        <v>2.8247999999999999E-2</v>
      </c>
      <c r="Q25" s="175">
        <v>4.1658738000000001E-2</v>
      </c>
      <c r="R25" s="175">
        <v>0.12574524353615832</v>
      </c>
      <c r="S25" s="176"/>
      <c r="T25" s="176"/>
      <c r="U25" s="176"/>
      <c r="V25" s="177">
        <f t="shared" ref="V25:V33" si="2">SUM(Q25:U25)</f>
        <v>0.16740398153615832</v>
      </c>
      <c r="W25" s="178"/>
      <c r="X25" s="179"/>
      <c r="Y25" s="179"/>
      <c r="Z25" s="177">
        <f t="shared" ref="Z25:Z33" si="3">SUM(W25:Y25)</f>
        <v>0</v>
      </c>
      <c r="AA25" s="180">
        <f>+V25+Z25+P25</f>
        <v>0.19565198153615831</v>
      </c>
      <c r="AB25" s="181">
        <f>$H$2*F25</f>
        <v>1.0138225838649526</v>
      </c>
      <c r="AC25" s="181">
        <f>+$H$3*F25</f>
        <v>0.43004222446380808</v>
      </c>
      <c r="AD25" s="181">
        <f t="shared" ref="AD25:AD33" si="4">+$H$4*F25</f>
        <v>5.2715999999999992E-2</v>
      </c>
      <c r="AE25" s="181">
        <f>+$H$5*F25</f>
        <v>0.10743759999999999</v>
      </c>
      <c r="AF25" s="182">
        <f>+$H$6*F25</f>
        <v>7.9027999999999987E-4</v>
      </c>
      <c r="AG25" s="162">
        <f>+AF25+AD25+AC25+AB25+AA25+AE25</f>
        <v>1.8004606698649188</v>
      </c>
      <c r="AH25" s="183">
        <f t="shared" ref="AH25:AJ34" si="5">+AA25/$F25*100</f>
        <v>2.1266519732191123</v>
      </c>
      <c r="AI25" s="183">
        <f t="shared" si="5"/>
        <v>11.019810694184267</v>
      </c>
      <c r="AJ25" s="183">
        <f t="shared" si="5"/>
        <v>4.6743720050413922</v>
      </c>
      <c r="AK25" s="160">
        <f>+AG25/$F25*100</f>
        <v>19.570224672444773</v>
      </c>
      <c r="AL25" s="183">
        <f t="shared" ref="AL25:AN34" si="6">+AE25/$F25*100</f>
        <v>1.1678000000000002</v>
      </c>
      <c r="AM25" s="183">
        <f t="shared" si="6"/>
        <v>8.5899999999999987E-3</v>
      </c>
      <c r="AN25" s="160">
        <f t="shared" si="6"/>
        <v>19.570224672444773</v>
      </c>
      <c r="AO25" s="72"/>
      <c r="AP25" s="72"/>
      <c r="AQ25" s="72"/>
      <c r="AR25" s="72"/>
      <c r="AS25" s="72"/>
      <c r="AT25" s="72"/>
      <c r="AU25" s="72"/>
      <c r="AV25" s="72"/>
      <c r="AW25" s="72"/>
      <c r="AX25" s="72"/>
      <c r="AY25" s="72"/>
      <c r="AZ25" s="72"/>
      <c r="BA25" s="72"/>
      <c r="BB25" s="72"/>
    </row>
    <row r="26" spans="2:58">
      <c r="B26" s="165" t="s">
        <v>8</v>
      </c>
      <c r="C26" s="74" t="s">
        <v>253</v>
      </c>
      <c r="D26" s="166" t="s">
        <v>255</v>
      </c>
      <c r="E26" s="398">
        <v>3285</v>
      </c>
      <c r="F26" s="399">
        <v>7.2</v>
      </c>
      <c r="G26" s="169">
        <v>7.1</v>
      </c>
      <c r="H26" s="169">
        <v>0.1</v>
      </c>
      <c r="I26" s="169"/>
      <c r="J26" s="171"/>
      <c r="K26" s="171"/>
      <c r="L26" s="171"/>
      <c r="M26" s="173"/>
      <c r="N26" s="173"/>
      <c r="O26" s="184"/>
      <c r="P26" s="174">
        <v>9.5808000000000004E-2</v>
      </c>
      <c r="Q26" s="175">
        <v>5.9445959490555214E-2</v>
      </c>
      <c r="R26" s="175">
        <v>0</v>
      </c>
      <c r="S26" s="176"/>
      <c r="T26" s="176"/>
      <c r="U26" s="176"/>
      <c r="V26" s="177">
        <f>SUM(Q26:U26)</f>
        <v>5.9445959490555214E-2</v>
      </c>
      <c r="W26" s="179"/>
      <c r="X26" s="179"/>
      <c r="Y26" s="179"/>
      <c r="Z26" s="177">
        <f t="shared" si="3"/>
        <v>0</v>
      </c>
      <c r="AA26" s="180">
        <f t="shared" ref="AA26:AA33" si="7">+V26+Z26+P26</f>
        <v>0.1552539594905552</v>
      </c>
      <c r="AB26" s="181">
        <f>$H$2*F26</f>
        <v>0.79342636998126737</v>
      </c>
      <c r="AC26" s="181">
        <f t="shared" ref="AC26:AC33" si="8">+$H$3*F26</f>
        <v>0.33655478436298025</v>
      </c>
      <c r="AD26" s="181">
        <f t="shared" si="4"/>
        <v>4.1256000000000001E-2</v>
      </c>
      <c r="AE26" s="181">
        <f t="shared" ref="AE26:AE33" si="9">+$H$5*F26</f>
        <v>8.4081600000000006E-2</v>
      </c>
      <c r="AF26" s="182">
        <f t="shared" ref="AF26:AF33" si="10">+$H$6*F26</f>
        <v>6.1847999999999992E-4</v>
      </c>
      <c r="AG26" s="162">
        <f t="shared" ref="AG26:AG33" si="11">+AF26+AD26+AC26+AB26+AA26+AE26</f>
        <v>1.4111911938348027</v>
      </c>
      <c r="AH26" s="183">
        <f t="shared" si="5"/>
        <v>2.1563049929243778</v>
      </c>
      <c r="AI26" s="183">
        <f t="shared" si="5"/>
        <v>11.019810694184269</v>
      </c>
      <c r="AJ26" s="183">
        <f t="shared" si="5"/>
        <v>4.6743720050413922</v>
      </c>
      <c r="AK26" s="160">
        <f t="shared" ref="AK26:AK34" si="12">+AG26/$F26*100</f>
        <v>19.599877692150038</v>
      </c>
      <c r="AL26" s="183">
        <f t="shared" si="6"/>
        <v>1.1678000000000002</v>
      </c>
      <c r="AM26" s="183">
        <f t="shared" si="6"/>
        <v>8.5899999999999987E-3</v>
      </c>
      <c r="AN26" s="160">
        <f t="shared" si="6"/>
        <v>19.599877692150038</v>
      </c>
      <c r="AO26" s="72"/>
      <c r="AP26" s="72"/>
      <c r="AQ26" s="72"/>
      <c r="AR26" s="72"/>
      <c r="AS26" s="72"/>
      <c r="AT26" s="72"/>
      <c r="AU26" s="72"/>
      <c r="AV26" s="72"/>
      <c r="AW26" s="72"/>
      <c r="AX26" s="72"/>
      <c r="AY26" s="72"/>
      <c r="AZ26" s="72"/>
      <c r="BA26" s="72"/>
      <c r="BB26" s="72"/>
    </row>
    <row r="27" spans="2:58">
      <c r="B27" s="165" t="s">
        <v>9</v>
      </c>
      <c r="C27" s="74" t="s">
        <v>253</v>
      </c>
      <c r="D27" s="166" t="s">
        <v>256</v>
      </c>
      <c r="E27" s="398">
        <v>7716</v>
      </c>
      <c r="F27" s="399">
        <v>25.3</v>
      </c>
      <c r="G27" s="169">
        <v>20.399999999999999</v>
      </c>
      <c r="H27" s="169">
        <v>4.9000000000000004</v>
      </c>
      <c r="I27" s="169"/>
      <c r="J27" s="171"/>
      <c r="K27" s="171"/>
      <c r="L27" s="171"/>
      <c r="M27" s="173"/>
      <c r="N27" s="173"/>
      <c r="O27" s="184"/>
      <c r="P27" s="174">
        <v>0</v>
      </c>
      <c r="Q27" s="175">
        <v>0</v>
      </c>
      <c r="R27" s="175">
        <v>0</v>
      </c>
      <c r="S27" s="176"/>
      <c r="T27" s="176"/>
      <c r="U27" s="176"/>
      <c r="V27" s="177">
        <f t="shared" si="2"/>
        <v>0</v>
      </c>
      <c r="W27" s="179"/>
      <c r="X27" s="179"/>
      <c r="Y27" s="179"/>
      <c r="Z27" s="177">
        <f>SUM(W27:Y27)</f>
        <v>0</v>
      </c>
      <c r="AA27" s="180">
        <f>+V27+Z27+P27</f>
        <v>0</v>
      </c>
      <c r="AB27" s="181">
        <f t="shared" ref="AB27:AB30" si="13">$H$2*F27</f>
        <v>2.7880121056286202</v>
      </c>
      <c r="AC27" s="181">
        <f t="shared" si="8"/>
        <v>1.1826161172754723</v>
      </c>
      <c r="AD27" s="181">
        <f t="shared" si="4"/>
        <v>0.14496899999999999</v>
      </c>
      <c r="AE27" s="181">
        <f t="shared" si="9"/>
        <v>0.29545340000000003</v>
      </c>
      <c r="AF27" s="182">
        <f t="shared" si="10"/>
        <v>2.1732699999999997E-3</v>
      </c>
      <c r="AG27" s="162">
        <f t="shared" si="11"/>
        <v>4.4132238929040932</v>
      </c>
      <c r="AH27" s="183">
        <f t="shared" si="5"/>
        <v>0</v>
      </c>
      <c r="AI27" s="183">
        <f t="shared" si="5"/>
        <v>11.019810694184269</v>
      </c>
      <c r="AJ27" s="183">
        <f t="shared" si="5"/>
        <v>4.6743720050413922</v>
      </c>
      <c r="AK27" s="160">
        <f t="shared" si="12"/>
        <v>17.443572699225665</v>
      </c>
      <c r="AL27" s="185">
        <f t="shared" si="6"/>
        <v>1.1678000000000002</v>
      </c>
      <c r="AM27" s="185">
        <f t="shared" si="6"/>
        <v>8.5899999999999987E-3</v>
      </c>
      <c r="AN27" s="186">
        <f t="shared" si="6"/>
        <v>17.443572699225665</v>
      </c>
      <c r="AO27" s="160"/>
      <c r="AP27" s="72"/>
      <c r="AQ27" s="72"/>
      <c r="AR27" s="72"/>
      <c r="AS27" s="72"/>
      <c r="AT27" s="72"/>
      <c r="AU27" s="72"/>
      <c r="AV27" s="72"/>
      <c r="AW27" s="72"/>
      <c r="AX27" s="72"/>
      <c r="AY27" s="72"/>
      <c r="AZ27" s="72"/>
      <c r="BA27" s="72"/>
      <c r="BB27" s="72"/>
    </row>
    <row r="28" spans="2:58">
      <c r="B28" s="165" t="s">
        <v>9</v>
      </c>
      <c r="C28" s="74" t="s">
        <v>253</v>
      </c>
      <c r="D28" s="166" t="s">
        <v>257</v>
      </c>
      <c r="E28" s="398">
        <v>35132</v>
      </c>
      <c r="F28" s="399">
        <v>204.1</v>
      </c>
      <c r="G28" s="169">
        <v>119.5</v>
      </c>
      <c r="H28" s="169">
        <v>84.6</v>
      </c>
      <c r="I28" s="169"/>
      <c r="J28" s="171"/>
      <c r="K28" s="171"/>
      <c r="L28" s="171"/>
      <c r="M28" s="173"/>
      <c r="N28" s="173"/>
      <c r="O28" s="184"/>
      <c r="P28" s="174">
        <v>0</v>
      </c>
      <c r="Q28" s="175">
        <v>0</v>
      </c>
      <c r="R28" s="175">
        <v>0</v>
      </c>
      <c r="S28" s="176"/>
      <c r="T28" s="176"/>
      <c r="U28" s="176"/>
      <c r="V28" s="177">
        <f t="shared" si="2"/>
        <v>0</v>
      </c>
      <c r="W28" s="179"/>
      <c r="X28" s="179"/>
      <c r="Y28" s="179"/>
      <c r="Z28" s="177">
        <f t="shared" si="3"/>
        <v>0</v>
      </c>
      <c r="AA28" s="180">
        <f t="shared" si="7"/>
        <v>0</v>
      </c>
      <c r="AB28" s="181">
        <f t="shared" si="13"/>
        <v>22.491433626830094</v>
      </c>
      <c r="AC28" s="181">
        <f t="shared" si="8"/>
        <v>9.5403932622894825</v>
      </c>
      <c r="AD28" s="181">
        <f t="shared" si="4"/>
        <v>1.1694929999999999</v>
      </c>
      <c r="AE28" s="181">
        <f t="shared" si="9"/>
        <v>2.3834797999999999</v>
      </c>
      <c r="AF28" s="182">
        <f t="shared" si="10"/>
        <v>1.7532189999999996E-2</v>
      </c>
      <c r="AG28" s="162">
        <f t="shared" si="11"/>
        <v>35.602331879119575</v>
      </c>
      <c r="AH28" s="183">
        <f t="shared" si="5"/>
        <v>0</v>
      </c>
      <c r="AI28" s="183">
        <f t="shared" si="5"/>
        <v>11.019810694184271</v>
      </c>
      <c r="AJ28" s="183">
        <f t="shared" si="5"/>
        <v>4.6743720050413922</v>
      </c>
      <c r="AK28" s="160">
        <f t="shared" si="12"/>
        <v>17.443572699225662</v>
      </c>
      <c r="AL28" s="185">
        <f t="shared" si="6"/>
        <v>1.1677999999999999</v>
      </c>
      <c r="AM28" s="185">
        <f t="shared" si="6"/>
        <v>8.5899999999999987E-3</v>
      </c>
      <c r="AN28" s="186">
        <f t="shared" si="6"/>
        <v>17.443572699225662</v>
      </c>
      <c r="AO28" s="160"/>
      <c r="AP28" s="72"/>
      <c r="AQ28" s="72"/>
      <c r="AR28" s="72"/>
      <c r="AS28" s="72"/>
      <c r="AT28" s="72"/>
      <c r="AU28" s="72"/>
      <c r="AV28" s="72"/>
      <c r="AW28" s="72"/>
      <c r="AX28" s="72"/>
      <c r="AY28" s="72"/>
      <c r="AZ28" s="72"/>
      <c r="BA28" s="72"/>
      <c r="BB28" s="72"/>
    </row>
    <row r="29" spans="2:58">
      <c r="B29" s="165" t="s">
        <v>9</v>
      </c>
      <c r="C29" s="74" t="s">
        <v>253</v>
      </c>
      <c r="D29" s="166" t="s">
        <v>258</v>
      </c>
      <c r="E29" s="398">
        <v>3773</v>
      </c>
      <c r="F29" s="399">
        <v>32.700000000000003</v>
      </c>
      <c r="G29" s="169">
        <v>14.3</v>
      </c>
      <c r="H29" s="169">
        <v>18.3</v>
      </c>
      <c r="I29" s="169"/>
      <c r="J29" s="171"/>
      <c r="K29" s="171"/>
      <c r="L29" s="171"/>
      <c r="M29" s="173"/>
      <c r="N29" s="173"/>
      <c r="O29" s="184"/>
      <c r="P29" s="174">
        <v>0</v>
      </c>
      <c r="Q29" s="175">
        <v>0</v>
      </c>
      <c r="R29" s="175">
        <v>0</v>
      </c>
      <c r="S29" s="176"/>
      <c r="T29" s="176"/>
      <c r="U29" s="176"/>
      <c r="V29" s="177">
        <f t="shared" si="2"/>
        <v>0</v>
      </c>
      <c r="W29" s="179"/>
      <c r="X29" s="179"/>
      <c r="Y29" s="179"/>
      <c r="Z29" s="177">
        <f t="shared" si="3"/>
        <v>0</v>
      </c>
      <c r="AA29" s="180">
        <f t="shared" si="7"/>
        <v>0</v>
      </c>
      <c r="AB29" s="181">
        <f t="shared" si="13"/>
        <v>3.6034780969982565</v>
      </c>
      <c r="AC29" s="181">
        <f t="shared" si="8"/>
        <v>1.5285196456485355</v>
      </c>
      <c r="AD29" s="181">
        <f t="shared" si="4"/>
        <v>0.18737100000000001</v>
      </c>
      <c r="AE29" s="181">
        <f t="shared" si="9"/>
        <v>0.38187060000000006</v>
      </c>
      <c r="AF29" s="182">
        <f t="shared" si="10"/>
        <v>2.8089299999999998E-3</v>
      </c>
      <c r="AG29" s="162">
        <f t="shared" si="11"/>
        <v>5.7040482726467916</v>
      </c>
      <c r="AH29" s="183">
        <f t="shared" si="5"/>
        <v>0</v>
      </c>
      <c r="AI29" s="183">
        <f t="shared" si="5"/>
        <v>11.019810694184269</v>
      </c>
      <c r="AJ29" s="183">
        <f t="shared" si="5"/>
        <v>4.6743720050413922</v>
      </c>
      <c r="AK29" s="160">
        <f t="shared" si="12"/>
        <v>17.443572699225658</v>
      </c>
      <c r="AL29" s="185">
        <f t="shared" si="6"/>
        <v>1.1678000000000002</v>
      </c>
      <c r="AM29" s="185">
        <f t="shared" si="6"/>
        <v>8.5899999999999987E-3</v>
      </c>
      <c r="AN29" s="186">
        <f t="shared" si="6"/>
        <v>17.443572699225658</v>
      </c>
      <c r="AO29" s="160"/>
      <c r="AP29" s="72"/>
      <c r="AQ29" s="72"/>
      <c r="AR29" s="72"/>
      <c r="AS29" s="72"/>
      <c r="AT29" s="72"/>
      <c r="AU29" s="72"/>
      <c r="AV29" s="72"/>
      <c r="AW29" s="72"/>
      <c r="AX29" s="72"/>
      <c r="AY29" s="72"/>
      <c r="AZ29" s="72"/>
      <c r="BA29" s="72"/>
      <c r="BB29" s="72"/>
    </row>
    <row r="30" spans="2:58">
      <c r="B30" s="165" t="s">
        <v>6</v>
      </c>
      <c r="C30" s="74" t="s">
        <v>253</v>
      </c>
      <c r="D30" s="166" t="s">
        <v>259</v>
      </c>
      <c r="E30" s="398">
        <v>100056</v>
      </c>
      <c r="F30" s="399">
        <v>201.9</v>
      </c>
      <c r="G30" s="169">
        <v>201.8</v>
      </c>
      <c r="H30" s="169">
        <v>0.1</v>
      </c>
      <c r="I30" s="169"/>
      <c r="J30" s="171"/>
      <c r="K30" s="171"/>
      <c r="L30" s="171"/>
      <c r="M30" s="173"/>
      <c r="N30" s="173"/>
      <c r="O30" s="184"/>
      <c r="P30" s="174">
        <v>2.811744</v>
      </c>
      <c r="Q30" s="175">
        <v>4.7870878537264767</v>
      </c>
      <c r="R30" s="175">
        <v>0</v>
      </c>
      <c r="S30" s="176"/>
      <c r="T30" s="176"/>
      <c r="U30" s="176"/>
      <c r="V30" s="177">
        <f t="shared" si="2"/>
        <v>4.7870878537264767</v>
      </c>
      <c r="W30" s="179"/>
      <c r="X30" s="179"/>
      <c r="Y30" s="179"/>
      <c r="Z30" s="177">
        <f t="shared" si="3"/>
        <v>0</v>
      </c>
      <c r="AA30" s="180">
        <f t="shared" si="7"/>
        <v>7.5988318537264767</v>
      </c>
      <c r="AB30" s="181">
        <f t="shared" si="13"/>
        <v>22.24899779155804</v>
      </c>
      <c r="AC30" s="181">
        <f t="shared" si="8"/>
        <v>9.4375570781785711</v>
      </c>
      <c r="AD30" s="181">
        <f t="shared" si="4"/>
        <v>1.156887</v>
      </c>
      <c r="AE30" s="181">
        <f t="shared" si="9"/>
        <v>2.3577882000000003</v>
      </c>
      <c r="AF30" s="182">
        <f t="shared" si="10"/>
        <v>1.7343209999999998E-2</v>
      </c>
      <c r="AG30" s="162">
        <f t="shared" si="11"/>
        <v>42.817405133463083</v>
      </c>
      <c r="AH30" s="183">
        <f t="shared" si="5"/>
        <v>3.7636611459764615</v>
      </c>
      <c r="AI30" s="183">
        <f t="shared" si="5"/>
        <v>11.019810694184269</v>
      </c>
      <c r="AJ30" s="183">
        <f t="shared" si="5"/>
        <v>4.6743720050413922</v>
      </c>
      <c r="AK30" s="160">
        <f t="shared" si="12"/>
        <v>21.207233845202119</v>
      </c>
      <c r="AL30" s="183">
        <f t="shared" si="6"/>
        <v>1.1678000000000002</v>
      </c>
      <c r="AM30" s="183">
        <f t="shared" si="6"/>
        <v>8.5899999999999987E-3</v>
      </c>
      <c r="AN30" s="160">
        <f t="shared" si="6"/>
        <v>21.207233845202119</v>
      </c>
      <c r="AO30" s="72"/>
      <c r="AP30" s="72"/>
      <c r="AQ30" s="72"/>
      <c r="AR30" s="72"/>
      <c r="AS30" s="72"/>
      <c r="AT30" s="72"/>
      <c r="AU30" s="72"/>
      <c r="AV30" s="72"/>
      <c r="AW30" s="72"/>
      <c r="AX30" s="72"/>
      <c r="AY30" s="72"/>
      <c r="AZ30" s="72"/>
      <c r="BA30" s="72"/>
      <c r="BB30" s="72"/>
    </row>
    <row r="31" spans="2:58">
      <c r="B31" s="165" t="s">
        <v>6</v>
      </c>
      <c r="C31" s="74" t="s">
        <v>253</v>
      </c>
      <c r="D31" s="166" t="s">
        <v>260</v>
      </c>
      <c r="E31" s="398">
        <v>37642</v>
      </c>
      <c r="F31" s="399">
        <v>253.3</v>
      </c>
      <c r="G31" s="169">
        <v>156.1</v>
      </c>
      <c r="H31" s="169">
        <v>97.1</v>
      </c>
      <c r="I31" s="169"/>
      <c r="J31" s="171"/>
      <c r="K31" s="171"/>
      <c r="L31" s="171"/>
      <c r="M31" s="173"/>
      <c r="N31" s="173"/>
      <c r="O31" s="184"/>
      <c r="P31" s="174">
        <v>0.94336799999999998</v>
      </c>
      <c r="Q31" s="175">
        <v>4.1175654779999995</v>
      </c>
      <c r="R31" s="175">
        <v>3.0844765054257359</v>
      </c>
      <c r="S31" s="176"/>
      <c r="T31" s="176"/>
      <c r="U31" s="176"/>
      <c r="V31" s="177">
        <f t="shared" si="2"/>
        <v>7.202041983425735</v>
      </c>
      <c r="W31" s="179"/>
      <c r="X31" s="179"/>
      <c r="Y31" s="179"/>
      <c r="Z31" s="177">
        <f>SUM(W31:Y31)</f>
        <v>0</v>
      </c>
      <c r="AA31" s="180">
        <f>+V31+Z31+P31</f>
        <v>8.1454099834257345</v>
      </c>
      <c r="AB31" s="181">
        <f>$H$2*F31</f>
        <v>27.913180488368756</v>
      </c>
      <c r="AC31" s="181">
        <f t="shared" si="8"/>
        <v>11.840184288769848</v>
      </c>
      <c r="AD31" s="181">
        <f t="shared" si="4"/>
        <v>1.4514089999999999</v>
      </c>
      <c r="AE31" s="181">
        <f t="shared" si="9"/>
        <v>2.9580374000000003</v>
      </c>
      <c r="AF31" s="182">
        <f t="shared" si="10"/>
        <v>2.1758469999999999E-2</v>
      </c>
      <c r="AG31" s="162">
        <f t="shared" si="11"/>
        <v>52.329979630564345</v>
      </c>
      <c r="AH31" s="183">
        <f t="shared" si="5"/>
        <v>3.2157165351068828</v>
      </c>
      <c r="AI31" s="183">
        <f t="shared" si="5"/>
        <v>11.019810694184269</v>
      </c>
      <c r="AJ31" s="183">
        <f t="shared" si="5"/>
        <v>4.6743720050413922</v>
      </c>
      <c r="AK31" s="160">
        <f t="shared" si="12"/>
        <v>20.659289234332547</v>
      </c>
      <c r="AL31" s="183">
        <f t="shared" si="6"/>
        <v>1.1678000000000002</v>
      </c>
      <c r="AM31" s="183">
        <f t="shared" si="6"/>
        <v>8.5899999999999987E-3</v>
      </c>
      <c r="AN31" s="160">
        <f t="shared" si="6"/>
        <v>20.659289234332547</v>
      </c>
      <c r="AO31" s="72"/>
      <c r="AP31" s="72"/>
      <c r="AQ31" s="72"/>
      <c r="AR31" s="72"/>
      <c r="AS31" s="72"/>
      <c r="AT31" s="72"/>
      <c r="AU31" s="72"/>
      <c r="AV31" s="72"/>
      <c r="AW31" s="72"/>
      <c r="AX31" s="72"/>
      <c r="AY31" s="72"/>
      <c r="AZ31" s="72"/>
      <c r="BA31" s="72"/>
      <c r="BB31" s="72"/>
    </row>
    <row r="32" spans="2:58">
      <c r="B32" s="165" t="s">
        <v>3</v>
      </c>
      <c r="C32" s="74" t="s">
        <v>253</v>
      </c>
      <c r="D32" s="166" t="s">
        <v>261</v>
      </c>
      <c r="E32" s="398">
        <v>236045</v>
      </c>
      <c r="F32" s="399">
        <v>784.9</v>
      </c>
      <c r="G32" s="169">
        <v>601.29999999999995</v>
      </c>
      <c r="H32" s="169">
        <v>183.6</v>
      </c>
      <c r="I32" s="169">
        <f>SUM(F32:F33)/12</f>
        <v>455.50833333333327</v>
      </c>
      <c r="J32" s="171"/>
      <c r="K32" s="171"/>
      <c r="L32" s="171"/>
      <c r="M32" s="173"/>
      <c r="N32" s="173"/>
      <c r="O32" s="184"/>
      <c r="P32" s="174">
        <v>10.54344</v>
      </c>
      <c r="Q32" s="175">
        <v>15.43510654798931</v>
      </c>
      <c r="R32" s="175">
        <v>0</v>
      </c>
      <c r="S32" s="176"/>
      <c r="T32" s="176"/>
      <c r="U32" s="176"/>
      <c r="V32" s="177">
        <f t="shared" si="2"/>
        <v>15.43510654798931</v>
      </c>
      <c r="W32" s="179"/>
      <c r="X32" s="179"/>
      <c r="Y32" s="179"/>
      <c r="Z32" s="177">
        <f t="shared" si="3"/>
        <v>0</v>
      </c>
      <c r="AA32" s="180">
        <f t="shared" si="7"/>
        <v>25.978546547989311</v>
      </c>
      <c r="AB32" s="181">
        <f t="shared" ref="AB32:AB33" si="14">$H$2*F32</f>
        <v>86.494494138652328</v>
      </c>
      <c r="AC32" s="181">
        <f t="shared" si="8"/>
        <v>36.689145867569891</v>
      </c>
      <c r="AD32" s="181">
        <f t="shared" si="4"/>
        <v>4.4974769999999999</v>
      </c>
      <c r="AE32" s="181">
        <f t="shared" si="9"/>
        <v>9.1660622000000007</v>
      </c>
      <c r="AF32" s="182">
        <f t="shared" si="10"/>
        <v>6.7422909999999989E-2</v>
      </c>
      <c r="AG32" s="162">
        <f t="shared" si="11"/>
        <v>162.89314866421154</v>
      </c>
      <c r="AH32" s="183">
        <f t="shared" si="5"/>
        <v>3.3097906163828914</v>
      </c>
      <c r="AI32" s="183">
        <f t="shared" si="5"/>
        <v>11.019810694184269</v>
      </c>
      <c r="AJ32" s="183">
        <f t="shared" si="5"/>
        <v>4.6743720050413922</v>
      </c>
      <c r="AK32" s="160">
        <f t="shared" si="12"/>
        <v>20.753363315608553</v>
      </c>
      <c r="AL32" s="183">
        <f t="shared" si="6"/>
        <v>1.1678000000000002</v>
      </c>
      <c r="AM32" s="183">
        <f t="shared" si="6"/>
        <v>8.5899999999999987E-3</v>
      </c>
      <c r="AN32" s="160">
        <f t="shared" si="6"/>
        <v>20.753363315608553</v>
      </c>
      <c r="AO32" s="72"/>
      <c r="AP32" s="72"/>
      <c r="AQ32" s="72"/>
      <c r="AR32" s="72"/>
      <c r="AS32" s="72"/>
      <c r="AT32" s="72"/>
      <c r="AU32" s="72"/>
      <c r="AV32" s="72"/>
      <c r="AW32" s="72"/>
      <c r="AX32" s="72"/>
      <c r="AY32" s="72"/>
      <c r="AZ32" s="72"/>
      <c r="BA32" s="72"/>
      <c r="BB32" s="72"/>
    </row>
    <row r="33" spans="2:54">
      <c r="B33" s="165" t="s">
        <v>3</v>
      </c>
      <c r="C33" s="74" t="s">
        <v>253</v>
      </c>
      <c r="D33" s="166" t="s">
        <v>262</v>
      </c>
      <c r="E33" s="398">
        <v>964228</v>
      </c>
      <c r="F33" s="399">
        <v>4681.2</v>
      </c>
      <c r="G33" s="169">
        <v>2864.4</v>
      </c>
      <c r="H33" s="169">
        <v>1816.8</v>
      </c>
      <c r="I33" s="169"/>
      <c r="J33" s="171"/>
      <c r="K33" s="171"/>
      <c r="L33" s="171"/>
      <c r="M33" s="173"/>
      <c r="N33" s="173"/>
      <c r="O33" s="184"/>
      <c r="P33" s="174">
        <v>45.672528</v>
      </c>
      <c r="Q33" s="175">
        <v>228.33364175780886</v>
      </c>
      <c r="R33" s="175">
        <v>0</v>
      </c>
      <c r="S33" s="176"/>
      <c r="T33" s="176"/>
      <c r="U33" s="179"/>
      <c r="V33" s="177">
        <f t="shared" si="2"/>
        <v>228.33364175780886</v>
      </c>
      <c r="W33" s="179"/>
      <c r="X33" s="179"/>
      <c r="Y33" s="179"/>
      <c r="Z33" s="177">
        <f t="shared" si="3"/>
        <v>0</v>
      </c>
      <c r="AA33" s="180">
        <f t="shared" si="7"/>
        <v>274.00616975780883</v>
      </c>
      <c r="AB33" s="181">
        <f t="shared" si="14"/>
        <v>515.85937821615403</v>
      </c>
      <c r="AC33" s="181">
        <f t="shared" si="8"/>
        <v>218.81670229999767</v>
      </c>
      <c r="AD33" s="181">
        <f t="shared" si="4"/>
        <v>26.823276</v>
      </c>
      <c r="AE33" s="181">
        <f t="shared" si="9"/>
        <v>54.667053600000003</v>
      </c>
      <c r="AF33" s="182">
        <f t="shared" si="10"/>
        <v>0.4021150799999999</v>
      </c>
      <c r="AG33" s="162">
        <f t="shared" si="11"/>
        <v>1090.5746949539605</v>
      </c>
      <c r="AH33" s="183">
        <f t="shared" si="5"/>
        <v>5.8533318328165604</v>
      </c>
      <c r="AI33" s="183">
        <f t="shared" si="5"/>
        <v>11.019810694184271</v>
      </c>
      <c r="AJ33" s="183">
        <f t="shared" si="5"/>
        <v>4.6743720050413922</v>
      </c>
      <c r="AK33" s="160">
        <f t="shared" si="12"/>
        <v>23.296904532042223</v>
      </c>
      <c r="AL33" s="183">
        <f t="shared" si="6"/>
        <v>1.1678000000000002</v>
      </c>
      <c r="AM33" s="183">
        <f t="shared" si="6"/>
        <v>8.5899999999999987E-3</v>
      </c>
      <c r="AN33" s="160">
        <f t="shared" si="6"/>
        <v>23.296904532042223</v>
      </c>
      <c r="AO33" s="72"/>
      <c r="AP33" s="72"/>
      <c r="AQ33" s="72"/>
      <c r="AR33" s="72"/>
      <c r="AS33" s="72"/>
      <c r="AT33" s="72"/>
      <c r="AU33" s="72"/>
      <c r="AV33" s="72"/>
      <c r="AW33" s="72"/>
      <c r="AX33" s="72"/>
      <c r="AY33" s="72"/>
      <c r="AZ33" s="72"/>
      <c r="BA33" s="72"/>
      <c r="BB33" s="72"/>
    </row>
    <row r="34" spans="2:54">
      <c r="B34" s="165"/>
      <c r="C34" s="187"/>
      <c r="D34" s="187" t="s">
        <v>222</v>
      </c>
      <c r="E34" s="188">
        <f>SUM(E25:E33)</f>
        <v>1388977</v>
      </c>
      <c r="F34" s="189">
        <f>SUM(F24:F33)</f>
        <v>6199.7999999999993</v>
      </c>
      <c r="G34" s="190">
        <f>SUM(G25:G33)</f>
        <v>3989.5</v>
      </c>
      <c r="H34" s="190">
        <f>SUM(H25:H33)</f>
        <v>2210.1</v>
      </c>
      <c r="I34" s="190"/>
      <c r="J34" s="191"/>
      <c r="K34" s="191"/>
      <c r="L34" s="191"/>
      <c r="M34" s="192"/>
      <c r="N34" s="192"/>
      <c r="O34" s="193"/>
      <c r="P34" s="194">
        <f t="shared" ref="P34:AG34" si="15">SUM(P25:P33)</f>
        <v>60.095135999999997</v>
      </c>
      <c r="Q34" s="195">
        <f t="shared" si="15"/>
        <v>252.77450633501519</v>
      </c>
      <c r="R34" s="195">
        <f t="shared" si="15"/>
        <v>3.2102217489618941</v>
      </c>
      <c r="S34" s="195">
        <f t="shared" si="15"/>
        <v>0</v>
      </c>
      <c r="T34" s="195">
        <f t="shared" si="15"/>
        <v>0</v>
      </c>
      <c r="U34" s="195">
        <f t="shared" si="15"/>
        <v>0</v>
      </c>
      <c r="V34" s="196">
        <f t="shared" si="15"/>
        <v>255.9847280839771</v>
      </c>
      <c r="W34" s="195">
        <f t="shared" si="15"/>
        <v>0</v>
      </c>
      <c r="X34" s="195">
        <f t="shared" si="15"/>
        <v>0</v>
      </c>
      <c r="Y34" s="195">
        <f t="shared" si="15"/>
        <v>0</v>
      </c>
      <c r="Z34" s="196">
        <f t="shared" si="15"/>
        <v>0</v>
      </c>
      <c r="AA34" s="197">
        <f t="shared" si="15"/>
        <v>316.0798640839771</v>
      </c>
      <c r="AB34" s="198">
        <f t="shared" si="15"/>
        <v>683.20622341803642</v>
      </c>
      <c r="AC34" s="198">
        <f t="shared" si="15"/>
        <v>289.80171556855623</v>
      </c>
      <c r="AD34" s="198">
        <f t="shared" si="15"/>
        <v>35.524853999999998</v>
      </c>
      <c r="AE34" s="198">
        <f t="shared" si="15"/>
        <v>72.401264400000002</v>
      </c>
      <c r="AF34" s="199">
        <f t="shared" si="15"/>
        <v>0.53256281999999988</v>
      </c>
      <c r="AG34" s="200">
        <f t="shared" si="15"/>
        <v>1397.5464842905697</v>
      </c>
      <c r="AH34" s="201">
        <f t="shared" si="5"/>
        <v>5.0982267828635939</v>
      </c>
      <c r="AI34" s="201">
        <f t="shared" si="5"/>
        <v>11.019810694184272</v>
      </c>
      <c r="AJ34" s="201">
        <f t="shared" si="5"/>
        <v>4.6743720050413922</v>
      </c>
      <c r="AK34" s="202">
        <f t="shared" si="12"/>
        <v>22.54179948208926</v>
      </c>
      <c r="AL34" s="201">
        <f t="shared" si="6"/>
        <v>1.1678000000000002</v>
      </c>
      <c r="AM34" s="201">
        <f t="shared" si="6"/>
        <v>8.5899999999999987E-3</v>
      </c>
      <c r="AN34" s="202">
        <f t="shared" si="6"/>
        <v>22.54179948208926</v>
      </c>
      <c r="AO34" s="72"/>
      <c r="AP34" s="203"/>
      <c r="AQ34" s="72"/>
      <c r="AR34" s="72"/>
      <c r="AS34" s="72"/>
      <c r="AT34" s="72"/>
      <c r="AU34" s="72"/>
      <c r="AV34" s="72"/>
      <c r="AW34" s="72"/>
      <c r="AX34" s="72"/>
      <c r="AY34" s="72"/>
      <c r="AZ34" s="72"/>
      <c r="BA34" s="72"/>
      <c r="BB34" s="72"/>
    </row>
    <row r="35" spans="2:54" ht="21" customHeight="1">
      <c r="C35" s="155" t="s">
        <v>263</v>
      </c>
      <c r="D35" s="72"/>
      <c r="E35" s="204"/>
      <c r="F35" s="205"/>
      <c r="G35" s="169"/>
      <c r="H35" s="169"/>
      <c r="I35" s="169"/>
      <c r="J35" s="206"/>
      <c r="K35" s="206"/>
      <c r="L35" s="206"/>
      <c r="M35" s="207"/>
      <c r="N35" s="207"/>
      <c r="O35" s="207"/>
      <c r="P35" s="208"/>
      <c r="Q35" s="176"/>
      <c r="R35" s="176"/>
      <c r="S35" s="176"/>
      <c r="T35" s="176"/>
      <c r="U35" s="176"/>
      <c r="V35" s="209"/>
      <c r="W35" s="210"/>
      <c r="X35" s="210"/>
      <c r="Y35" s="210"/>
      <c r="Z35" s="211"/>
      <c r="AA35" s="176"/>
      <c r="AB35" s="73"/>
      <c r="AC35" s="73"/>
      <c r="AD35" s="73"/>
      <c r="AE35" s="73"/>
      <c r="AF35" s="182"/>
      <c r="AG35" s="162"/>
      <c r="AH35" s="183"/>
      <c r="AI35" s="212"/>
      <c r="AJ35" s="183"/>
      <c r="AK35" s="160"/>
      <c r="AL35" s="183"/>
      <c r="AM35" s="183"/>
      <c r="AN35" s="160"/>
      <c r="AO35" s="72"/>
      <c r="AP35" s="72"/>
      <c r="AQ35" s="72"/>
      <c r="AR35" s="72"/>
      <c r="AS35" s="72"/>
      <c r="AT35" s="72"/>
      <c r="AU35" s="72"/>
      <c r="AV35" s="72"/>
      <c r="AW35" s="72"/>
      <c r="AX35" s="72"/>
      <c r="AY35" s="72"/>
      <c r="AZ35" s="72"/>
      <c r="BA35" s="72"/>
      <c r="BB35" s="72"/>
    </row>
    <row r="36" spans="2:54">
      <c r="B36" s="165" t="s">
        <v>141</v>
      </c>
      <c r="C36" s="74" t="s">
        <v>253</v>
      </c>
      <c r="D36" s="213" t="s">
        <v>141</v>
      </c>
      <c r="E36" s="398">
        <v>1</v>
      </c>
      <c r="F36" s="214">
        <v>0</v>
      </c>
      <c r="G36" s="169"/>
      <c r="H36" s="169"/>
      <c r="I36" s="169"/>
      <c r="J36" s="206"/>
      <c r="K36" s="400">
        <v>12</v>
      </c>
      <c r="L36" s="215"/>
      <c r="M36" s="207"/>
      <c r="N36" s="207"/>
      <c r="O36" s="207"/>
      <c r="P36" s="208"/>
      <c r="Q36" s="176"/>
      <c r="R36" s="176"/>
      <c r="S36" s="176"/>
      <c r="T36" s="176"/>
      <c r="U36" s="216">
        <v>1.8119999999999999E-5</v>
      </c>
      <c r="V36" s="177">
        <f>SUM(Q36:U36)</f>
        <v>1.8119999999999999E-5</v>
      </c>
      <c r="W36" s="210"/>
      <c r="X36" s="210"/>
      <c r="Y36" s="210"/>
      <c r="Z36" s="217">
        <f t="shared" ref="Z36" si="16">SUM(W36:Y36)</f>
        <v>0</v>
      </c>
      <c r="AA36" s="180">
        <f t="shared" ref="AA36" si="17">+V36+Z36+P36</f>
        <v>1.8119999999999999E-5</v>
      </c>
      <c r="AB36" s="73">
        <f t="shared" ref="AB36:AB44" si="18">$H$2*F36</f>
        <v>0</v>
      </c>
      <c r="AC36" s="73">
        <f t="shared" ref="AC36:AC44" si="19">+$H$3*F36</f>
        <v>0</v>
      </c>
      <c r="AD36" s="73">
        <f t="shared" ref="AD36:AD44" si="20">+$H$4*F36</f>
        <v>0</v>
      </c>
      <c r="AE36" s="73">
        <f t="shared" ref="AE36:AE44" si="21">+$H$5*F36</f>
        <v>0</v>
      </c>
      <c r="AF36" s="182">
        <f t="shared" ref="AF36:AF44" si="22">+$H$6*F36</f>
        <v>0</v>
      </c>
      <c r="AG36" s="162">
        <f t="shared" ref="AG36:AG44" si="23">+AF36+AD36+AC36+AB36+AA36+AE36</f>
        <v>1.8119999999999999E-5</v>
      </c>
      <c r="AH36" s="183" t="e">
        <f t="shared" ref="AH36:AJ45" si="24">+AA36/$F36*100</f>
        <v>#DIV/0!</v>
      </c>
      <c r="AI36" s="183" t="e">
        <f t="shared" si="24"/>
        <v>#DIV/0!</v>
      </c>
      <c r="AJ36" s="183" t="e">
        <f t="shared" si="24"/>
        <v>#DIV/0!</v>
      </c>
      <c r="AK36" s="160" t="e">
        <f t="shared" ref="AK36:AK45" si="25">+AG36/$F36*100</f>
        <v>#DIV/0!</v>
      </c>
      <c r="AL36" s="183" t="e">
        <f t="shared" ref="AL36:AN45" si="26">+AE36/$F36*100</f>
        <v>#DIV/0!</v>
      </c>
      <c r="AM36" s="183" t="e">
        <f t="shared" si="26"/>
        <v>#DIV/0!</v>
      </c>
      <c r="AN36" s="160" t="e">
        <f t="shared" si="26"/>
        <v>#DIV/0!</v>
      </c>
      <c r="AO36" s="72"/>
      <c r="AP36" s="72"/>
      <c r="AQ36" s="72"/>
      <c r="AR36" s="72"/>
      <c r="AS36" s="72"/>
      <c r="AT36" s="72"/>
      <c r="AU36" s="72"/>
      <c r="AV36" s="72"/>
      <c r="AW36" s="72"/>
      <c r="AX36" s="72"/>
      <c r="AY36" s="72"/>
      <c r="AZ36" s="72"/>
      <c r="BA36" s="72"/>
      <c r="BB36" s="72"/>
    </row>
    <row r="37" spans="2:54">
      <c r="B37" s="165" t="s">
        <v>21</v>
      </c>
      <c r="C37" s="74" t="s">
        <v>253</v>
      </c>
      <c r="D37" s="166" t="s">
        <v>264</v>
      </c>
      <c r="E37" s="398">
        <v>10</v>
      </c>
      <c r="F37" s="214">
        <v>4.92</v>
      </c>
      <c r="G37" s="169"/>
      <c r="H37" s="169"/>
      <c r="I37" s="169"/>
      <c r="J37" s="206"/>
      <c r="K37" s="218">
        <v>625</v>
      </c>
      <c r="L37" s="215"/>
      <c r="M37" s="207"/>
      <c r="N37" s="207"/>
      <c r="O37" s="207"/>
      <c r="P37" s="174">
        <v>5.9999999999999995E-4</v>
      </c>
      <c r="Q37" s="176"/>
      <c r="R37" s="176"/>
      <c r="S37" s="176"/>
      <c r="T37" s="176"/>
      <c r="U37" s="175">
        <v>0.41569080000000003</v>
      </c>
      <c r="V37" s="177">
        <f>SUM(Q37:U37)</f>
        <v>0.41569080000000003</v>
      </c>
      <c r="W37" s="210"/>
      <c r="X37" s="210"/>
      <c r="Y37" s="210"/>
      <c r="Z37" s="217">
        <f>SUM(W37:Y37)</f>
        <v>0</v>
      </c>
      <c r="AA37" s="180">
        <f>+V37+Z37+P37</f>
        <v>0.41629080000000002</v>
      </c>
      <c r="AB37" s="73">
        <f t="shared" si="18"/>
        <v>0.54217468615386599</v>
      </c>
      <c r="AC37" s="73">
        <f t="shared" si="19"/>
        <v>0.2299791026480365</v>
      </c>
      <c r="AD37" s="73">
        <f t="shared" si="20"/>
        <v>2.8191599999999997E-2</v>
      </c>
      <c r="AE37" s="73">
        <f t="shared" si="21"/>
        <v>5.7455760000000002E-2</v>
      </c>
      <c r="AF37" s="182">
        <f t="shared" si="22"/>
        <v>4.2262799999999993E-4</v>
      </c>
      <c r="AG37" s="162">
        <f t="shared" si="23"/>
        <v>1.2745145768019026</v>
      </c>
      <c r="AH37" s="183">
        <f t="shared" si="24"/>
        <v>8.4611951219512207</v>
      </c>
      <c r="AI37" s="183">
        <f t="shared" si="24"/>
        <v>11.019810694184267</v>
      </c>
      <c r="AJ37" s="183">
        <f t="shared" si="24"/>
        <v>4.6743720050413922</v>
      </c>
      <c r="AK37" s="160">
        <f t="shared" si="25"/>
        <v>25.904767821176883</v>
      </c>
      <c r="AL37" s="183">
        <f t="shared" si="26"/>
        <v>1.1678000000000002</v>
      </c>
      <c r="AM37" s="183">
        <f t="shared" si="26"/>
        <v>8.5899999999999987E-3</v>
      </c>
      <c r="AN37" s="160">
        <f t="shared" si="26"/>
        <v>25.904767821176883</v>
      </c>
      <c r="AO37" s="72"/>
      <c r="AP37" s="72"/>
      <c r="AQ37" s="72"/>
      <c r="AR37" s="72"/>
      <c r="AS37" s="72"/>
      <c r="AT37" s="72"/>
      <c r="AU37" s="72"/>
      <c r="AV37" s="72"/>
      <c r="AW37" s="72"/>
      <c r="AX37" s="72"/>
      <c r="AY37" s="72"/>
      <c r="AZ37" s="72"/>
      <c r="BA37" s="72"/>
      <c r="BB37" s="72"/>
    </row>
    <row r="38" spans="2:54">
      <c r="B38" s="165" t="s">
        <v>21</v>
      </c>
      <c r="C38" s="74" t="s">
        <v>253</v>
      </c>
      <c r="D38" s="166" t="s">
        <v>265</v>
      </c>
      <c r="E38" s="398">
        <v>1</v>
      </c>
      <c r="F38" s="214">
        <v>6.42</v>
      </c>
      <c r="G38" s="169"/>
      <c r="H38" s="169"/>
      <c r="I38" s="169"/>
      <c r="J38" s="206"/>
      <c r="K38" s="218">
        <v>816</v>
      </c>
      <c r="L38" s="215"/>
      <c r="M38" s="207"/>
      <c r="N38" s="207"/>
      <c r="O38" s="207"/>
      <c r="P38" s="174">
        <v>6.0000000000000002E-5</v>
      </c>
      <c r="Q38" s="176"/>
      <c r="R38" s="176"/>
      <c r="S38" s="176"/>
      <c r="T38" s="176"/>
      <c r="U38" s="175">
        <v>0.5427259084799998</v>
      </c>
      <c r="V38" s="177">
        <f t="shared" ref="V38:V43" si="27">SUM(Q38:U38)</f>
        <v>0.5427259084799998</v>
      </c>
      <c r="W38" s="210"/>
      <c r="X38" s="210"/>
      <c r="Y38" s="210"/>
      <c r="Z38" s="217">
        <f t="shared" ref="Z38:Z44" si="28">SUM(W38:Y38)</f>
        <v>0</v>
      </c>
      <c r="AA38" s="180">
        <f t="shared" ref="AA38:AA44" si="29">+V38+Z38+P38</f>
        <v>0.54278590847999975</v>
      </c>
      <c r="AB38" s="73">
        <f t="shared" si="18"/>
        <v>0.70747184656663009</v>
      </c>
      <c r="AC38" s="73">
        <f t="shared" si="19"/>
        <v>0.30009468272365741</v>
      </c>
      <c r="AD38" s="73">
        <f t="shared" si="20"/>
        <v>3.6786599999999996E-2</v>
      </c>
      <c r="AE38" s="73">
        <f t="shared" si="21"/>
        <v>7.4972759999999999E-2</v>
      </c>
      <c r="AF38" s="182">
        <f t="shared" si="22"/>
        <v>5.5147799999999989E-4</v>
      </c>
      <c r="AG38" s="162">
        <f t="shared" si="23"/>
        <v>1.6626632757702873</v>
      </c>
      <c r="AH38" s="183">
        <f t="shared" si="24"/>
        <v>8.4546091663551355</v>
      </c>
      <c r="AI38" s="183">
        <f t="shared" si="24"/>
        <v>11.019810694184269</v>
      </c>
      <c r="AJ38" s="183">
        <f t="shared" si="24"/>
        <v>4.6743720050413922</v>
      </c>
      <c r="AK38" s="160">
        <f t="shared" si="25"/>
        <v>25.898181865580799</v>
      </c>
      <c r="AL38" s="183">
        <f t="shared" si="26"/>
        <v>1.1678000000000002</v>
      </c>
      <c r="AM38" s="183">
        <f t="shared" si="26"/>
        <v>8.5899999999999987E-3</v>
      </c>
      <c r="AN38" s="160">
        <f t="shared" si="26"/>
        <v>25.898181865580799</v>
      </c>
      <c r="AO38" s="72"/>
      <c r="AP38" s="72"/>
      <c r="AQ38" s="72"/>
      <c r="AR38" s="72"/>
      <c r="AS38" s="72"/>
      <c r="AT38" s="72"/>
      <c r="AU38" s="72"/>
      <c r="AV38" s="72"/>
      <c r="AW38" s="72"/>
      <c r="AX38" s="72"/>
      <c r="AY38" s="72"/>
      <c r="AZ38" s="72"/>
      <c r="BA38" s="72"/>
      <c r="BB38" s="72"/>
    </row>
    <row r="39" spans="2:54">
      <c r="B39" s="165" t="s">
        <v>21</v>
      </c>
      <c r="C39" s="74" t="s">
        <v>253</v>
      </c>
      <c r="D39" s="166" t="s">
        <v>266</v>
      </c>
      <c r="E39" s="398">
        <v>37</v>
      </c>
      <c r="F39" s="214">
        <v>5.1100000000000003</v>
      </c>
      <c r="G39" s="169"/>
      <c r="H39" s="169"/>
      <c r="I39" s="169"/>
      <c r="J39" s="206"/>
      <c r="K39" s="218">
        <v>1024</v>
      </c>
      <c r="L39" s="215"/>
      <c r="M39" s="207"/>
      <c r="N39" s="207"/>
      <c r="O39" s="207"/>
      <c r="P39" s="174">
        <v>2.2200000000000002E-3</v>
      </c>
      <c r="Q39" s="176"/>
      <c r="R39" s="176"/>
      <c r="S39" s="176"/>
      <c r="T39" s="176"/>
      <c r="U39" s="175">
        <v>0.43187739419999999</v>
      </c>
      <c r="V39" s="177">
        <f t="shared" si="27"/>
        <v>0.43187739419999999</v>
      </c>
      <c r="W39" s="210"/>
      <c r="X39" s="210"/>
      <c r="Y39" s="210"/>
      <c r="Z39" s="217">
        <f t="shared" si="28"/>
        <v>0</v>
      </c>
      <c r="AA39" s="180">
        <f t="shared" si="29"/>
        <v>0.43409739419999999</v>
      </c>
      <c r="AB39" s="73">
        <f t="shared" si="18"/>
        <v>0.56311232647281617</v>
      </c>
      <c r="AC39" s="73">
        <f t="shared" si="19"/>
        <v>0.23886040945761516</v>
      </c>
      <c r="AD39" s="73">
        <f t="shared" si="20"/>
        <v>2.9280300000000002E-2</v>
      </c>
      <c r="AE39" s="73">
        <f t="shared" si="21"/>
        <v>5.9674580000000005E-2</v>
      </c>
      <c r="AF39" s="182">
        <f t="shared" si="22"/>
        <v>4.3894899999999995E-4</v>
      </c>
      <c r="AG39" s="162">
        <f t="shared" si="23"/>
        <v>1.3254639591304314</v>
      </c>
      <c r="AH39" s="183">
        <f t="shared" si="24"/>
        <v>8.4950566379647743</v>
      </c>
      <c r="AI39" s="183">
        <f t="shared" si="24"/>
        <v>11.019810694184269</v>
      </c>
      <c r="AJ39" s="183">
        <f t="shared" si="24"/>
        <v>4.6743720050413922</v>
      </c>
      <c r="AK39" s="160">
        <f t="shared" si="25"/>
        <v>25.938629337190438</v>
      </c>
      <c r="AL39" s="183">
        <f t="shared" si="26"/>
        <v>1.1678000000000002</v>
      </c>
      <c r="AM39" s="183">
        <f t="shared" si="26"/>
        <v>8.5899999999999987E-3</v>
      </c>
      <c r="AN39" s="160">
        <f t="shared" si="26"/>
        <v>25.938629337190438</v>
      </c>
      <c r="AO39" s="72"/>
      <c r="AP39" s="72"/>
      <c r="AQ39" s="72"/>
      <c r="AR39" s="72"/>
      <c r="AS39" s="72"/>
      <c r="AT39" s="72"/>
      <c r="AU39" s="72"/>
      <c r="AV39" s="72"/>
      <c r="AW39" s="72"/>
      <c r="AX39" s="72"/>
      <c r="AY39" s="72"/>
      <c r="AZ39" s="72"/>
      <c r="BA39" s="72"/>
      <c r="BB39" s="72"/>
    </row>
    <row r="40" spans="2:54">
      <c r="B40" s="165" t="s">
        <v>22</v>
      </c>
      <c r="C40" s="74" t="s">
        <v>253</v>
      </c>
      <c r="D40" s="166" t="s">
        <v>267</v>
      </c>
      <c r="E40" s="398">
        <v>693</v>
      </c>
      <c r="F40" s="214">
        <v>0.15</v>
      </c>
      <c r="G40" s="169"/>
      <c r="H40" s="169"/>
      <c r="I40" s="169"/>
      <c r="J40" s="206"/>
      <c r="K40" s="218">
        <v>923</v>
      </c>
      <c r="L40" s="215"/>
      <c r="M40" s="207"/>
      <c r="N40" s="207"/>
      <c r="O40" s="207"/>
      <c r="P40" s="174">
        <v>1.2309599999999999E-2</v>
      </c>
      <c r="Q40" s="176"/>
      <c r="R40" s="176"/>
      <c r="S40" s="176"/>
      <c r="T40" s="176"/>
      <c r="U40" s="175">
        <v>1.2982733400000002E-2</v>
      </c>
      <c r="V40" s="177">
        <f t="shared" si="27"/>
        <v>1.2982733400000002E-2</v>
      </c>
      <c r="W40" s="210"/>
      <c r="X40" s="210"/>
      <c r="Y40" s="210"/>
      <c r="Z40" s="217">
        <f t="shared" si="28"/>
        <v>0</v>
      </c>
      <c r="AA40" s="180">
        <f t="shared" si="29"/>
        <v>2.5292333399999999E-2</v>
      </c>
      <c r="AB40" s="73">
        <f t="shared" si="18"/>
        <v>1.6529716041276402E-2</v>
      </c>
      <c r="AC40" s="73">
        <f t="shared" si="19"/>
        <v>7.0115580075620883E-3</v>
      </c>
      <c r="AD40" s="73">
        <f t="shared" si="20"/>
        <v>8.5949999999999991E-4</v>
      </c>
      <c r="AE40" s="73">
        <f t="shared" si="21"/>
        <v>1.7517000000000001E-3</v>
      </c>
      <c r="AF40" s="182">
        <f t="shared" si="22"/>
        <v>1.2884999999999998E-5</v>
      </c>
      <c r="AG40" s="162">
        <f t="shared" si="23"/>
        <v>5.1457692448838493E-2</v>
      </c>
      <c r="AH40" s="183">
        <f t="shared" si="24"/>
        <v>16.861555599999999</v>
      </c>
      <c r="AI40" s="183">
        <f t="shared" si="24"/>
        <v>11.019810694184269</v>
      </c>
      <c r="AJ40" s="183">
        <f t="shared" si="24"/>
        <v>4.6743720050413922</v>
      </c>
      <c r="AK40" s="160">
        <f t="shared" si="25"/>
        <v>34.305128299225665</v>
      </c>
      <c r="AL40" s="183">
        <f t="shared" si="26"/>
        <v>1.1678000000000002</v>
      </c>
      <c r="AM40" s="183">
        <f t="shared" si="26"/>
        <v>8.5899999999999987E-3</v>
      </c>
      <c r="AN40" s="160">
        <f>+AG40/$F40*100</f>
        <v>34.305128299225665</v>
      </c>
      <c r="AO40" s="72"/>
      <c r="AP40" s="72"/>
      <c r="AQ40" s="72"/>
      <c r="AR40" s="72"/>
      <c r="AS40" s="72"/>
      <c r="AT40" s="72"/>
      <c r="AU40" s="72"/>
      <c r="AV40" s="72"/>
      <c r="AW40" s="72"/>
      <c r="AX40" s="72"/>
      <c r="AY40" s="72"/>
      <c r="AZ40" s="72"/>
      <c r="BA40" s="72"/>
      <c r="BB40" s="72"/>
    </row>
    <row r="41" spans="2:54">
      <c r="B41" s="165" t="s">
        <v>10</v>
      </c>
      <c r="C41" s="74" t="s">
        <v>253</v>
      </c>
      <c r="D41" s="166" t="s">
        <v>268</v>
      </c>
      <c r="E41" s="398">
        <v>113375</v>
      </c>
      <c r="F41" s="205">
        <v>2235.6999999999998</v>
      </c>
      <c r="G41" s="169"/>
      <c r="H41" s="169"/>
      <c r="I41" s="169"/>
      <c r="J41" s="206"/>
      <c r="K41" s="215"/>
      <c r="L41" s="215"/>
      <c r="M41" s="207"/>
      <c r="N41" s="207"/>
      <c r="O41" s="207"/>
      <c r="P41" s="174">
        <v>6.82944</v>
      </c>
      <c r="Q41" s="176"/>
      <c r="R41" s="176"/>
      <c r="S41" s="176"/>
      <c r="T41" s="176"/>
      <c r="U41" s="175">
        <v>189.01876175688375</v>
      </c>
      <c r="V41" s="177">
        <f t="shared" si="27"/>
        <v>189.01876175688375</v>
      </c>
      <c r="W41" s="210"/>
      <c r="X41" s="210"/>
      <c r="Y41" s="210"/>
      <c r="Z41" s="217">
        <f t="shared" si="28"/>
        <v>0</v>
      </c>
      <c r="AA41" s="180">
        <f t="shared" si="29"/>
        <v>195.84820175688375</v>
      </c>
      <c r="AB41" s="73">
        <f t="shared" si="18"/>
        <v>246.36990768987769</v>
      </c>
      <c r="AC41" s="73">
        <f t="shared" si="19"/>
        <v>104.50493491671041</v>
      </c>
      <c r="AD41" s="73">
        <f t="shared" si="20"/>
        <v>12.810560999999998</v>
      </c>
      <c r="AE41" s="73">
        <f t="shared" si="21"/>
        <v>26.1085046</v>
      </c>
      <c r="AF41" s="182">
        <f t="shared" si="22"/>
        <v>0.19204662999999997</v>
      </c>
      <c r="AG41" s="162">
        <f t="shared" si="23"/>
        <v>585.83415659347179</v>
      </c>
      <c r="AH41" s="183">
        <f t="shared" si="24"/>
        <v>8.7600394398570369</v>
      </c>
      <c r="AI41" s="183">
        <f t="shared" si="24"/>
        <v>11.019810694184269</v>
      </c>
      <c r="AJ41" s="183">
        <f t="shared" si="24"/>
        <v>4.6743720050413922</v>
      </c>
      <c r="AK41" s="160">
        <f t="shared" si="25"/>
        <v>26.203612139082693</v>
      </c>
      <c r="AL41" s="183">
        <f t="shared" si="26"/>
        <v>1.1678000000000002</v>
      </c>
      <c r="AM41" s="183">
        <f t="shared" si="26"/>
        <v>8.5899999999999987E-3</v>
      </c>
      <c r="AN41" s="160">
        <f t="shared" si="26"/>
        <v>26.203612139082693</v>
      </c>
      <c r="AO41" s="72"/>
      <c r="AP41" s="72"/>
      <c r="AQ41" s="72"/>
      <c r="AR41" s="72"/>
      <c r="AS41" s="72"/>
      <c r="AT41" s="72"/>
      <c r="AU41" s="72"/>
      <c r="AV41" s="72"/>
      <c r="AW41" s="72"/>
      <c r="AX41" s="72"/>
      <c r="AY41" s="72"/>
      <c r="AZ41" s="72"/>
      <c r="BA41" s="72"/>
      <c r="BB41" s="72"/>
    </row>
    <row r="42" spans="2:54">
      <c r="B42" s="165" t="s">
        <v>12</v>
      </c>
      <c r="C42" s="74" t="s">
        <v>269</v>
      </c>
      <c r="D42" s="166" t="s">
        <v>270</v>
      </c>
      <c r="E42" s="398">
        <v>10590</v>
      </c>
      <c r="F42" s="205">
        <v>3692.7</v>
      </c>
      <c r="G42" s="169">
        <v>3692.7</v>
      </c>
      <c r="H42" s="169">
        <v>0</v>
      </c>
      <c r="I42" s="169"/>
      <c r="J42" s="206"/>
      <c r="K42" s="206"/>
      <c r="L42" s="400">
        <v>13924740</v>
      </c>
      <c r="M42" s="207">
        <v>13924740</v>
      </c>
      <c r="N42" s="207"/>
      <c r="O42" s="207"/>
      <c r="P42" s="174">
        <v>25.3248</v>
      </c>
      <c r="Q42" s="175">
        <v>162.15313539632518</v>
      </c>
      <c r="R42" s="175">
        <v>0</v>
      </c>
      <c r="S42" s="176"/>
      <c r="T42" s="176"/>
      <c r="U42" s="176"/>
      <c r="V42" s="177">
        <f t="shared" si="27"/>
        <v>162.15313539632518</v>
      </c>
      <c r="W42" s="175">
        <v>112.79039400000001</v>
      </c>
      <c r="X42" s="210"/>
      <c r="Y42" s="210"/>
      <c r="Z42" s="217">
        <f t="shared" si="28"/>
        <v>112.79039400000001</v>
      </c>
      <c r="AA42" s="180">
        <f t="shared" si="29"/>
        <v>300.26832939632516</v>
      </c>
      <c r="AB42" s="73">
        <f t="shared" si="18"/>
        <v>406.9285495041425</v>
      </c>
      <c r="AC42" s="73">
        <f t="shared" si="19"/>
        <v>172.6105350301635</v>
      </c>
      <c r="AD42" s="73">
        <f t="shared" si="20"/>
        <v>21.159170999999997</v>
      </c>
      <c r="AE42" s="73">
        <f t="shared" si="21"/>
        <v>43.123350600000002</v>
      </c>
      <c r="AF42" s="182">
        <f t="shared" si="22"/>
        <v>0.31720292999999994</v>
      </c>
      <c r="AG42" s="162">
        <f t="shared" si="23"/>
        <v>944.40713846063113</v>
      </c>
      <c r="AH42" s="183">
        <f t="shared" si="24"/>
        <v>8.1314032928839381</v>
      </c>
      <c r="AI42" s="183">
        <f t="shared" si="24"/>
        <v>11.019810694184269</v>
      </c>
      <c r="AJ42" s="183">
        <f t="shared" si="24"/>
        <v>4.6743720050413922</v>
      </c>
      <c r="AK42" s="160">
        <f t="shared" si="25"/>
        <v>25.5749759921096</v>
      </c>
      <c r="AL42" s="183">
        <f t="shared" si="26"/>
        <v>1.1678000000000002</v>
      </c>
      <c r="AM42" s="183">
        <f t="shared" si="26"/>
        <v>8.5899999999999987E-3</v>
      </c>
      <c r="AN42" s="160">
        <f t="shared" si="26"/>
        <v>25.5749759921096</v>
      </c>
      <c r="AO42" s="72"/>
      <c r="AP42" s="72">
        <f>+AN42/100</f>
        <v>0.255749759921096</v>
      </c>
      <c r="AQ42" s="72"/>
      <c r="AR42" s="72"/>
      <c r="AS42" s="72"/>
      <c r="AT42" s="72"/>
      <c r="AU42" s="72"/>
      <c r="AV42" s="72"/>
      <c r="AW42" s="72"/>
      <c r="AX42" s="72"/>
      <c r="AY42" s="72"/>
      <c r="AZ42" s="72"/>
      <c r="BA42" s="72"/>
      <c r="BB42" s="72"/>
    </row>
    <row r="43" spans="2:54">
      <c r="B43" s="165" t="s">
        <v>13</v>
      </c>
      <c r="C43" s="74" t="s">
        <v>271</v>
      </c>
      <c r="D43" s="166" t="s">
        <v>272</v>
      </c>
      <c r="E43" s="398">
        <v>400</v>
      </c>
      <c r="F43" s="205">
        <v>1678.2</v>
      </c>
      <c r="G43" s="169">
        <v>1236.8</v>
      </c>
      <c r="H43" s="169">
        <v>441.4</v>
      </c>
      <c r="I43" s="169"/>
      <c r="J43" s="206"/>
      <c r="K43" s="206"/>
      <c r="L43" s="400">
        <v>4122612</v>
      </c>
      <c r="M43" s="207">
        <v>4122612</v>
      </c>
      <c r="N43" s="207"/>
      <c r="O43" s="207"/>
      <c r="P43" s="174">
        <v>2.0897999999999999</v>
      </c>
      <c r="Q43" s="175">
        <v>37.547276688000004</v>
      </c>
      <c r="R43" s="175">
        <v>17.607038771168881</v>
      </c>
      <c r="S43" s="176"/>
      <c r="T43" s="176"/>
      <c r="U43" s="176"/>
      <c r="V43" s="177">
        <f t="shared" si="27"/>
        <v>55.154315459168885</v>
      </c>
      <c r="W43" s="175">
        <v>31.744112400000002</v>
      </c>
      <c r="X43" s="210"/>
      <c r="Y43" s="210"/>
      <c r="Z43" s="217">
        <f t="shared" si="28"/>
        <v>31.744112400000002</v>
      </c>
      <c r="AA43" s="180">
        <f t="shared" si="29"/>
        <v>88.988227859168887</v>
      </c>
      <c r="AB43" s="73">
        <f t="shared" si="18"/>
        <v>184.93446306980042</v>
      </c>
      <c r="AC43" s="73">
        <f t="shared" si="19"/>
        <v>78.445310988604646</v>
      </c>
      <c r="AD43" s="73">
        <f t="shared" si="20"/>
        <v>9.6160859999999992</v>
      </c>
      <c r="AE43" s="73">
        <f t="shared" si="21"/>
        <v>19.598019600000001</v>
      </c>
      <c r="AF43" s="182">
        <f t="shared" si="22"/>
        <v>0.14415737999999997</v>
      </c>
      <c r="AG43" s="162">
        <f t="shared" si="23"/>
        <v>381.72626489757391</v>
      </c>
      <c r="AH43" s="183">
        <f t="shared" si="24"/>
        <v>5.3025996817524064</v>
      </c>
      <c r="AI43" s="183">
        <f t="shared" si="24"/>
        <v>11.019810694184269</v>
      </c>
      <c r="AJ43" s="183">
        <f t="shared" si="24"/>
        <v>4.6743720050413922</v>
      </c>
      <c r="AK43" s="160">
        <f t="shared" si="25"/>
        <v>22.746172380978066</v>
      </c>
      <c r="AL43" s="183">
        <f t="shared" si="26"/>
        <v>1.1678000000000002</v>
      </c>
      <c r="AM43" s="183">
        <f t="shared" si="26"/>
        <v>8.5899999999999987E-3</v>
      </c>
      <c r="AN43" s="160">
        <f t="shared" si="26"/>
        <v>22.746172380978066</v>
      </c>
      <c r="AO43" s="72"/>
      <c r="AP43" s="72">
        <f>SUM(AG41:AG42)/SUM(F41:F42)</f>
        <v>0.25812045325114752</v>
      </c>
      <c r="AQ43" s="72"/>
      <c r="AR43" s="72"/>
      <c r="AS43" s="72"/>
      <c r="AT43" s="72"/>
      <c r="AU43" s="72"/>
      <c r="AV43" s="72"/>
      <c r="AW43" s="72"/>
      <c r="AX43" s="72"/>
      <c r="AY43" s="72"/>
      <c r="AZ43" s="72"/>
      <c r="BA43" s="72"/>
      <c r="BB43" s="72"/>
    </row>
    <row r="44" spans="2:54">
      <c r="B44" s="165" t="s">
        <v>14</v>
      </c>
      <c r="C44" s="74" t="s">
        <v>269</v>
      </c>
      <c r="D44" s="166" t="s">
        <v>273</v>
      </c>
      <c r="E44" s="398">
        <v>1</v>
      </c>
      <c r="F44" s="205">
        <v>6.1</v>
      </c>
      <c r="G44" s="219"/>
      <c r="H44" s="219"/>
      <c r="I44" s="219">
        <v>2.8</v>
      </c>
      <c r="J44" s="220">
        <v>3.3</v>
      </c>
      <c r="K44" s="220"/>
      <c r="L44" s="221"/>
      <c r="M44" s="207"/>
      <c r="N44" s="207">
        <v>19824</v>
      </c>
      <c r="O44" s="207">
        <v>18996</v>
      </c>
      <c r="P44" s="174">
        <v>2.3999999999999998E-3</v>
      </c>
      <c r="S44" s="175">
        <v>0.14187245371763313</v>
      </c>
      <c r="T44" s="175">
        <v>6.0362250696661082E-2</v>
      </c>
      <c r="U44" s="222"/>
      <c r="V44" s="177">
        <f>SUM(Q44:U44)</f>
        <v>0.2022347044142942</v>
      </c>
      <c r="W44" s="210"/>
      <c r="X44" s="175">
        <v>0.16057440000000001</v>
      </c>
      <c r="Y44" s="175">
        <v>2.0895600000000004E-2</v>
      </c>
      <c r="Z44" s="217">
        <f t="shared" si="28"/>
        <v>0.18147000000000002</v>
      </c>
      <c r="AA44" s="180">
        <f t="shared" si="29"/>
        <v>0.38610470441429423</v>
      </c>
      <c r="AB44" s="73">
        <f t="shared" si="18"/>
        <v>0.6722084523452404</v>
      </c>
      <c r="AC44" s="73">
        <f t="shared" si="19"/>
        <v>0.28513669230752492</v>
      </c>
      <c r="AD44" s="73">
        <f t="shared" si="20"/>
        <v>3.4952999999999998E-2</v>
      </c>
      <c r="AE44" s="73">
        <f t="shared" si="21"/>
        <v>7.1235800000000002E-2</v>
      </c>
      <c r="AF44" s="182">
        <f t="shared" si="22"/>
        <v>5.2398999999999989E-4</v>
      </c>
      <c r="AG44" s="162">
        <f t="shared" si="23"/>
        <v>1.4501626390670594</v>
      </c>
      <c r="AH44" s="183">
        <f t="shared" si="24"/>
        <v>6.3295853182671182</v>
      </c>
      <c r="AI44" s="183">
        <f t="shared" si="24"/>
        <v>11.019810694184269</v>
      </c>
      <c r="AJ44" s="183">
        <f t="shared" si="24"/>
        <v>4.6743720050413922</v>
      </c>
      <c r="AK44" s="160">
        <f t="shared" si="25"/>
        <v>23.773158017492779</v>
      </c>
      <c r="AL44" s="183">
        <f t="shared" si="26"/>
        <v>1.1678000000000002</v>
      </c>
      <c r="AM44" s="183">
        <f t="shared" si="26"/>
        <v>8.5899999999999987E-3</v>
      </c>
      <c r="AN44" s="160">
        <f t="shared" si="26"/>
        <v>23.773158017492779</v>
      </c>
      <c r="AO44" s="72"/>
      <c r="AP44" s="72"/>
      <c r="AQ44" s="72"/>
      <c r="AR44" s="72"/>
      <c r="AS44" s="72"/>
      <c r="AT44" s="72"/>
      <c r="AU44" s="72"/>
      <c r="AV44" s="72"/>
      <c r="AW44" s="72"/>
      <c r="AX44" s="72"/>
      <c r="AY44" s="72"/>
      <c r="AZ44" s="72"/>
      <c r="BA44" s="72"/>
      <c r="BB44" s="72"/>
    </row>
    <row r="45" spans="2:54">
      <c r="B45" s="165"/>
      <c r="C45" s="187"/>
      <c r="D45" s="187" t="s">
        <v>222</v>
      </c>
      <c r="E45" s="188">
        <f>SUM(E36:E44)</f>
        <v>125108</v>
      </c>
      <c r="F45" s="189">
        <f t="shared" ref="F45:J45" si="30">SUM(F36:F44)</f>
        <v>7629.3</v>
      </c>
      <c r="G45" s="190">
        <f t="shared" si="30"/>
        <v>4929.5</v>
      </c>
      <c r="H45" s="190">
        <f t="shared" si="30"/>
        <v>441.4</v>
      </c>
      <c r="I45" s="190">
        <f t="shared" si="30"/>
        <v>2.8</v>
      </c>
      <c r="J45" s="191">
        <f t="shared" si="30"/>
        <v>3.3</v>
      </c>
      <c r="K45" s="191"/>
      <c r="L45" s="191"/>
      <c r="M45" s="223">
        <f>SUM(M36:M44)</f>
        <v>18047352</v>
      </c>
      <c r="N45" s="223">
        <f>SUM(N36:N44)</f>
        <v>19824</v>
      </c>
      <c r="O45" s="224">
        <f>SUM(O36:O44)</f>
        <v>18996</v>
      </c>
      <c r="P45" s="194">
        <f>SUM(P36:P44)</f>
        <v>34.261629599999999</v>
      </c>
      <c r="Q45" s="195">
        <f t="shared" ref="Q45:AG45" si="31">SUM(Q36:Q44)</f>
        <v>199.70041208432519</v>
      </c>
      <c r="R45" s="195">
        <f t="shared" si="31"/>
        <v>17.607038771168881</v>
      </c>
      <c r="S45" s="195">
        <f t="shared" si="31"/>
        <v>0.14187245371763313</v>
      </c>
      <c r="T45" s="195">
        <f t="shared" si="31"/>
        <v>6.0362250696661082E-2</v>
      </c>
      <c r="U45" s="195">
        <f t="shared" si="31"/>
        <v>190.42205671296375</v>
      </c>
      <c r="V45" s="196">
        <f>SUM(V36:V44)</f>
        <v>407.93174227287216</v>
      </c>
      <c r="W45" s="225">
        <f t="shared" si="31"/>
        <v>144.5345064</v>
      </c>
      <c r="X45" s="226">
        <f t="shared" si="31"/>
        <v>0.16057440000000001</v>
      </c>
      <c r="Y45" s="226">
        <f t="shared" si="31"/>
        <v>2.0895600000000004E-2</v>
      </c>
      <c r="Z45" s="227">
        <f t="shared" si="31"/>
        <v>144.71597639999999</v>
      </c>
      <c r="AA45" s="197">
        <f t="shared" si="31"/>
        <v>586.90934827287208</v>
      </c>
      <c r="AB45" s="198">
        <f t="shared" si="31"/>
        <v>840.73441729140029</v>
      </c>
      <c r="AC45" s="198">
        <f t="shared" si="31"/>
        <v>356.62186338062298</v>
      </c>
      <c r="AD45" s="198">
        <f t="shared" si="31"/>
        <v>43.71588899999999</v>
      </c>
      <c r="AE45" s="198">
        <f t="shared" si="31"/>
        <v>89.094965400000007</v>
      </c>
      <c r="AF45" s="199">
        <f t="shared" si="31"/>
        <v>0.65535686999999987</v>
      </c>
      <c r="AG45" s="200">
        <f t="shared" si="31"/>
        <v>1917.7318402148953</v>
      </c>
      <c r="AH45" s="201">
        <f t="shared" si="24"/>
        <v>7.6928335269667221</v>
      </c>
      <c r="AI45" s="201">
        <f t="shared" si="24"/>
        <v>11.019810694184267</v>
      </c>
      <c r="AJ45" s="201">
        <f t="shared" si="24"/>
        <v>4.6743720050413922</v>
      </c>
      <c r="AK45" s="202">
        <f t="shared" si="25"/>
        <v>25.136406226192381</v>
      </c>
      <c r="AL45" s="201">
        <f t="shared" si="26"/>
        <v>1.1678000000000002</v>
      </c>
      <c r="AM45" s="201">
        <f t="shared" si="26"/>
        <v>8.5899999999999987E-3</v>
      </c>
      <c r="AN45" s="202">
        <f t="shared" si="26"/>
        <v>25.136406226192381</v>
      </c>
      <c r="AO45" s="72"/>
      <c r="AP45" s="72">
        <f>+AN45/100</f>
        <v>0.25136406226192382</v>
      </c>
      <c r="AQ45" s="72"/>
      <c r="AR45" s="72"/>
      <c r="AS45" s="72"/>
      <c r="AT45" s="72"/>
      <c r="AU45" s="72"/>
      <c r="AV45" s="72"/>
      <c r="AW45" s="72"/>
      <c r="AX45" s="72"/>
      <c r="AY45" s="72"/>
      <c r="AZ45" s="72"/>
      <c r="BA45" s="72"/>
      <c r="BB45" s="72"/>
    </row>
    <row r="46" spans="2:54" ht="24.75" customHeight="1">
      <c r="C46" s="155" t="s">
        <v>274</v>
      </c>
      <c r="D46" s="72"/>
      <c r="E46" s="156"/>
      <c r="F46" s="157"/>
      <c r="G46" s="169"/>
      <c r="H46" s="169"/>
      <c r="I46" s="169"/>
      <c r="J46" s="228"/>
      <c r="K46" s="228"/>
      <c r="L46" s="228"/>
      <c r="M46" s="169"/>
      <c r="N46" s="169"/>
      <c r="O46" s="169"/>
      <c r="P46" s="208"/>
      <c r="Q46" s="176"/>
      <c r="R46" s="176"/>
      <c r="S46" s="176"/>
      <c r="T46" s="176"/>
      <c r="U46" s="176"/>
      <c r="V46" s="209"/>
      <c r="W46" s="179"/>
      <c r="X46" s="179"/>
      <c r="Y46" s="179"/>
      <c r="Z46" s="209"/>
      <c r="AA46" s="182"/>
      <c r="AB46" s="73"/>
      <c r="AC46" s="73"/>
      <c r="AD46" s="73"/>
      <c r="AE46" s="73"/>
      <c r="AF46" s="182"/>
      <c r="AG46" s="162"/>
      <c r="AH46" s="183"/>
      <c r="AI46" s="212">
        <f>AI45/100*$E$10</f>
        <v>756.14080068054147</v>
      </c>
      <c r="AJ46" s="183"/>
      <c r="AK46" s="160"/>
      <c r="AL46" s="183"/>
      <c r="AM46" s="183"/>
      <c r="AN46" s="160"/>
      <c r="AO46" s="72"/>
      <c r="AP46" s="72">
        <f>+AN101/100</f>
        <v>0.23234299539781214</v>
      </c>
      <c r="AQ46" s="72"/>
      <c r="AR46" s="72"/>
      <c r="AS46" s="72"/>
      <c r="AT46" s="72"/>
      <c r="AU46" s="72"/>
      <c r="AV46" s="72"/>
      <c r="AW46" s="72"/>
      <c r="AX46" s="72"/>
      <c r="AY46" s="72"/>
      <c r="AZ46" s="72"/>
      <c r="BA46" s="72"/>
      <c r="BB46" s="72"/>
    </row>
    <row r="47" spans="2:54">
      <c r="B47" s="165" t="s">
        <v>10</v>
      </c>
      <c r="C47" s="74" t="s">
        <v>253</v>
      </c>
      <c r="D47" s="166" t="s">
        <v>275</v>
      </c>
      <c r="E47" s="398">
        <v>113</v>
      </c>
      <c r="F47" s="205">
        <v>3.4</v>
      </c>
      <c r="G47" s="169"/>
      <c r="H47" s="169"/>
      <c r="I47" s="169"/>
      <c r="J47" s="171"/>
      <c r="K47" s="171"/>
      <c r="L47" s="171"/>
      <c r="M47" s="229"/>
      <c r="N47" s="169"/>
      <c r="O47" s="169"/>
      <c r="P47" s="174">
        <v>6.7799999999999996E-3</v>
      </c>
      <c r="Q47" s="176"/>
      <c r="R47" s="176"/>
      <c r="S47" s="176"/>
      <c r="T47" s="176"/>
      <c r="U47" s="175">
        <v>0.31449282258176003</v>
      </c>
      <c r="V47" s="177">
        <f>SUM(Q47:U47)</f>
        <v>0.31449282258176003</v>
      </c>
      <c r="W47" s="179"/>
      <c r="X47" s="179"/>
      <c r="Y47" s="179"/>
      <c r="Z47" s="177">
        <f>SUM(W47:Y47)</f>
        <v>0</v>
      </c>
      <c r="AA47" s="180">
        <f>+V47+Z47+P47</f>
        <v>0.32127282258176004</v>
      </c>
      <c r="AB47" s="73">
        <f t="shared" ref="AB47:AB53" si="32">$H$2*F47</f>
        <v>0.37467356360226511</v>
      </c>
      <c r="AC47" s="73">
        <f t="shared" ref="AC47:AC53" si="33">+$H$3*F47</f>
        <v>0.15892864817140734</v>
      </c>
      <c r="AD47" s="73">
        <f t="shared" ref="AD47:AD53" si="34">+$H$4*F47</f>
        <v>1.9481999999999999E-2</v>
      </c>
      <c r="AE47" s="73">
        <f t="shared" ref="AE47:AE53" si="35">+$H$5*F47</f>
        <v>3.9705200000000003E-2</v>
      </c>
      <c r="AF47" s="182">
        <f t="shared" ref="AF47:AF53" si="36">+$H$6*F47</f>
        <v>2.9205999999999997E-4</v>
      </c>
      <c r="AG47" s="162">
        <f t="shared" ref="AG47:AG53" si="37">+AF47+AD47+AC47+AB47+AA47+AE47</f>
        <v>0.91435429435543247</v>
      </c>
      <c r="AH47" s="183">
        <f t="shared" ref="AH47:AJ94" si="38">+AA47/$F47*100</f>
        <v>9.449200664169414</v>
      </c>
      <c r="AI47" s="183">
        <f t="shared" si="38"/>
        <v>11.019810694184267</v>
      </c>
      <c r="AJ47" s="183">
        <f t="shared" si="38"/>
        <v>4.6743720050413922</v>
      </c>
      <c r="AK47" s="160">
        <f t="shared" ref="AK47:AK54" si="39">+AG47/$F47*100</f>
        <v>26.892773363395072</v>
      </c>
      <c r="AL47" s="183">
        <f t="shared" ref="AL47:AN54" si="40">+AE47/$F47*100</f>
        <v>1.1678000000000002</v>
      </c>
      <c r="AM47" s="183">
        <f t="shared" si="40"/>
        <v>8.5899999999999987E-3</v>
      </c>
      <c r="AN47" s="160">
        <f t="shared" si="40"/>
        <v>26.892773363395072</v>
      </c>
      <c r="AO47" s="72"/>
      <c r="AP47" s="72">
        <f>+AN95/100</f>
        <v>0.40515362589796916</v>
      </c>
      <c r="AQ47" s="72"/>
      <c r="AR47" s="72"/>
      <c r="AS47" s="72"/>
      <c r="AT47" s="72"/>
      <c r="AU47" s="72"/>
      <c r="AV47" s="72"/>
      <c r="AW47" s="72"/>
      <c r="AX47" s="72"/>
      <c r="AY47" s="72"/>
      <c r="AZ47" s="72"/>
      <c r="BA47" s="72"/>
      <c r="BB47" s="72"/>
    </row>
    <row r="48" spans="2:54">
      <c r="B48" s="165" t="s">
        <v>12</v>
      </c>
      <c r="C48" s="74" t="s">
        <v>269</v>
      </c>
      <c r="D48" s="166" t="s">
        <v>276</v>
      </c>
      <c r="E48" s="398">
        <v>230</v>
      </c>
      <c r="F48" s="205">
        <v>101.8</v>
      </c>
      <c r="G48" s="169">
        <v>101.8</v>
      </c>
      <c r="H48" s="169">
        <v>0</v>
      </c>
      <c r="I48" s="169"/>
      <c r="J48" s="171"/>
      <c r="K48" s="171"/>
      <c r="L48" s="400">
        <v>447036</v>
      </c>
      <c r="M48" s="401">
        <v>447036</v>
      </c>
      <c r="N48" s="169"/>
      <c r="O48" s="169"/>
      <c r="P48" s="174">
        <v>0.57120000000000004</v>
      </c>
      <c r="Q48" s="175">
        <v>4.9368317616366975</v>
      </c>
      <c r="R48" s="175">
        <v>0</v>
      </c>
      <c r="S48" s="176"/>
      <c r="T48" s="176"/>
      <c r="U48" s="176"/>
      <c r="V48" s="177">
        <f t="shared" ref="V48:V53" si="41">SUM(Q48:U48)</f>
        <v>4.9368317616366975</v>
      </c>
      <c r="W48" s="175">
        <v>3.7258626239999999</v>
      </c>
      <c r="X48" s="179"/>
      <c r="Y48" s="179"/>
      <c r="Z48" s="177">
        <f t="shared" ref="Z48:Z53" si="42">SUM(W48:Y48)</f>
        <v>3.7258626239999999</v>
      </c>
      <c r="AA48" s="180">
        <f t="shared" ref="AA48:AA53" si="43">+V48+Z48+P48</f>
        <v>9.2338943856366971</v>
      </c>
      <c r="AB48" s="73">
        <f t="shared" si="32"/>
        <v>11.218167286679586</v>
      </c>
      <c r="AC48" s="73">
        <f t="shared" si="33"/>
        <v>4.7585107011321375</v>
      </c>
      <c r="AD48" s="73">
        <f t="shared" si="34"/>
        <v>0.583314</v>
      </c>
      <c r="AE48" s="73">
        <f t="shared" si="35"/>
        <v>1.1888204</v>
      </c>
      <c r="AF48" s="182">
        <f t="shared" si="36"/>
        <v>8.7446199999999981E-3</v>
      </c>
      <c r="AG48" s="162">
        <f t="shared" si="37"/>
        <v>26.991451393448418</v>
      </c>
      <c r="AH48" s="183">
        <f t="shared" si="38"/>
        <v>9.0706231686018644</v>
      </c>
      <c r="AI48" s="183">
        <f t="shared" si="38"/>
        <v>11.019810694184269</v>
      </c>
      <c r="AJ48" s="183">
        <f t="shared" si="38"/>
        <v>4.6743720050413922</v>
      </c>
      <c r="AK48" s="160">
        <f t="shared" si="39"/>
        <v>26.514195867827521</v>
      </c>
      <c r="AL48" s="183">
        <f t="shared" si="40"/>
        <v>1.1678000000000002</v>
      </c>
      <c r="AM48" s="183">
        <f t="shared" si="40"/>
        <v>8.5899999999999987E-3</v>
      </c>
      <c r="AN48" s="160">
        <f t="shared" si="40"/>
        <v>26.514195867827521</v>
      </c>
      <c r="AO48" s="72"/>
      <c r="AQ48" s="72"/>
      <c r="AR48" s="72"/>
      <c r="AS48" s="72"/>
      <c r="AT48" s="72"/>
      <c r="AU48" s="72"/>
      <c r="AV48" s="72"/>
      <c r="AW48" s="72"/>
      <c r="AX48" s="72"/>
      <c r="AY48" s="72"/>
      <c r="AZ48" s="72"/>
      <c r="BA48" s="72"/>
      <c r="BB48" s="72"/>
    </row>
    <row r="49" spans="2:54">
      <c r="B49" s="165" t="s">
        <v>13</v>
      </c>
      <c r="C49" s="74" t="s">
        <v>271</v>
      </c>
      <c r="D49" s="166" t="s">
        <v>277</v>
      </c>
      <c r="E49" s="398">
        <v>215</v>
      </c>
      <c r="F49" s="205">
        <v>908</v>
      </c>
      <c r="G49" s="169">
        <v>856.8</v>
      </c>
      <c r="H49" s="169">
        <v>51.2</v>
      </c>
      <c r="I49" s="169"/>
      <c r="J49" s="171"/>
      <c r="K49" s="171"/>
      <c r="L49" s="400">
        <v>2856084</v>
      </c>
      <c r="M49" s="401">
        <v>2856084</v>
      </c>
      <c r="N49" s="169"/>
      <c r="O49" s="169"/>
      <c r="P49" s="174">
        <v>1.1448</v>
      </c>
      <c r="Q49" s="175">
        <v>28.688572512</v>
      </c>
      <c r="R49" s="175">
        <v>10.916851443476927</v>
      </c>
      <c r="S49" s="176"/>
      <c r="T49" s="176"/>
      <c r="U49" s="176"/>
      <c r="V49" s="177">
        <f t="shared" si="41"/>
        <v>39.60542395547693</v>
      </c>
      <c r="W49" s="175">
        <v>22.227358692000003</v>
      </c>
      <c r="X49" s="179"/>
      <c r="Y49" s="179"/>
      <c r="Z49" s="177">
        <f t="shared" si="42"/>
        <v>22.227358692000003</v>
      </c>
      <c r="AA49" s="180">
        <f t="shared" si="43"/>
        <v>62.977582647476936</v>
      </c>
      <c r="AB49" s="73">
        <f t="shared" si="32"/>
        <v>100.05988110319316</v>
      </c>
      <c r="AC49" s="73">
        <f t="shared" si="33"/>
        <v>42.443297805775842</v>
      </c>
      <c r="AD49" s="73">
        <f t="shared" si="34"/>
        <v>5.2028400000000001</v>
      </c>
      <c r="AE49" s="73">
        <f t="shared" si="35"/>
        <v>10.603624</v>
      </c>
      <c r="AF49" s="182">
        <f t="shared" si="36"/>
        <v>7.7997199999999989E-2</v>
      </c>
      <c r="AG49" s="162">
        <f t="shared" si="37"/>
        <v>221.36522275644595</v>
      </c>
      <c r="AH49" s="183">
        <f t="shared" si="38"/>
        <v>6.9358571197661822</v>
      </c>
      <c r="AI49" s="183">
        <f t="shared" si="38"/>
        <v>11.019810694184269</v>
      </c>
      <c r="AJ49" s="183">
        <f t="shared" si="38"/>
        <v>4.6743720050413922</v>
      </c>
      <c r="AK49" s="160">
        <f t="shared" si="39"/>
        <v>24.379429818991845</v>
      </c>
      <c r="AL49" s="183">
        <f t="shared" si="40"/>
        <v>1.1677999999999999</v>
      </c>
      <c r="AM49" s="183">
        <f t="shared" si="40"/>
        <v>8.5899999999999987E-3</v>
      </c>
      <c r="AN49" s="160">
        <f t="shared" si="40"/>
        <v>24.379429818991845</v>
      </c>
      <c r="AO49" s="72"/>
      <c r="AQ49" s="72"/>
      <c r="AR49" s="72"/>
      <c r="AS49" s="72"/>
      <c r="AT49" s="72"/>
      <c r="AU49" s="72"/>
      <c r="AV49" s="72"/>
      <c r="AW49" s="72"/>
      <c r="AX49" s="72"/>
      <c r="AY49" s="72"/>
      <c r="AZ49" s="72"/>
      <c r="BA49" s="72"/>
      <c r="BB49" s="72"/>
    </row>
    <row r="50" spans="2:54">
      <c r="B50" s="165" t="s">
        <v>17</v>
      </c>
      <c r="C50" s="74" t="s">
        <v>271</v>
      </c>
      <c r="D50" s="166" t="s">
        <v>278</v>
      </c>
      <c r="E50" s="398">
        <v>1</v>
      </c>
      <c r="F50" s="205">
        <v>60.7</v>
      </c>
      <c r="G50" s="169">
        <v>60.7</v>
      </c>
      <c r="H50" s="169">
        <v>0</v>
      </c>
      <c r="I50" s="169"/>
      <c r="J50" s="171"/>
      <c r="K50" s="171"/>
      <c r="L50" s="400">
        <v>182244</v>
      </c>
      <c r="M50" s="401">
        <v>182244</v>
      </c>
      <c r="N50" s="169"/>
      <c r="O50" s="169"/>
      <c r="P50" s="174">
        <v>5.4000000000000003E-3</v>
      </c>
      <c r="Q50" s="176"/>
      <c r="R50" s="176"/>
      <c r="S50" s="176"/>
      <c r="T50" s="176"/>
      <c r="U50" s="175">
        <v>0</v>
      </c>
      <c r="V50" s="177">
        <f t="shared" si="41"/>
        <v>0</v>
      </c>
      <c r="W50" s="175">
        <v>1.151586</v>
      </c>
      <c r="X50" s="179"/>
      <c r="Y50" s="179"/>
      <c r="Z50" s="177">
        <f t="shared" si="42"/>
        <v>1.151586</v>
      </c>
      <c r="AA50" s="180">
        <f>+V50+Z50+P50</f>
        <v>1.1569860000000001</v>
      </c>
      <c r="AB50" s="73">
        <f t="shared" si="32"/>
        <v>6.6890250913698512</v>
      </c>
      <c r="AC50" s="73">
        <f t="shared" si="33"/>
        <v>2.8373438070601256</v>
      </c>
      <c r="AD50" s="73">
        <f t="shared" si="34"/>
        <v>0.34781099999999998</v>
      </c>
      <c r="AE50" s="73">
        <f t="shared" si="35"/>
        <v>0.70885460000000011</v>
      </c>
      <c r="AF50" s="182">
        <f t="shared" si="36"/>
        <v>5.2141299999999991E-3</v>
      </c>
      <c r="AG50" s="162">
        <f t="shared" si="37"/>
        <v>11.745234628429976</v>
      </c>
      <c r="AH50" s="183">
        <f t="shared" si="38"/>
        <v>1.9060724876441515</v>
      </c>
      <c r="AI50" s="183">
        <f t="shared" si="38"/>
        <v>11.019810694184267</v>
      </c>
      <c r="AJ50" s="183">
        <f t="shared" si="38"/>
        <v>4.6743720050413922</v>
      </c>
      <c r="AK50" s="160">
        <f t="shared" si="39"/>
        <v>19.349645186869814</v>
      </c>
      <c r="AL50" s="183">
        <f t="shared" si="40"/>
        <v>1.1678000000000002</v>
      </c>
      <c r="AM50" s="183">
        <f t="shared" si="40"/>
        <v>8.5899999999999987E-3</v>
      </c>
      <c r="AN50" s="160">
        <f t="shared" si="40"/>
        <v>19.349645186869814</v>
      </c>
      <c r="AO50" s="72"/>
      <c r="AP50" s="72"/>
      <c r="AQ50" s="72"/>
      <c r="AR50" s="72"/>
      <c r="AS50" s="72"/>
      <c r="AT50" s="72"/>
      <c r="AU50" s="72"/>
      <c r="AV50" s="72"/>
      <c r="AW50" s="72"/>
      <c r="AX50" s="72"/>
      <c r="AY50" s="72"/>
      <c r="AZ50" s="72"/>
      <c r="BA50" s="72"/>
      <c r="BB50" s="72"/>
    </row>
    <row r="51" spans="2:54">
      <c r="B51" s="165" t="s">
        <v>24</v>
      </c>
      <c r="C51" s="74" t="s">
        <v>271</v>
      </c>
      <c r="D51" s="166" t="s">
        <v>279</v>
      </c>
      <c r="E51" s="398">
        <v>2</v>
      </c>
      <c r="F51" s="205">
        <v>4.2</v>
      </c>
      <c r="G51" s="169"/>
      <c r="H51" s="169"/>
      <c r="I51" s="169"/>
      <c r="J51" s="171"/>
      <c r="K51" s="171"/>
      <c r="L51" s="171"/>
      <c r="M51" s="229"/>
      <c r="N51" s="169"/>
      <c r="O51" s="169"/>
      <c r="P51" s="174">
        <v>1.252032E-2</v>
      </c>
      <c r="Q51" s="176"/>
      <c r="R51" s="176"/>
      <c r="S51" s="176"/>
      <c r="T51" s="176"/>
      <c r="U51" s="175">
        <v>1.9627582868829912E-2</v>
      </c>
      <c r="V51" s="177">
        <f t="shared" si="41"/>
        <v>1.9627582868829912E-2</v>
      </c>
      <c r="W51" s="175">
        <v>0</v>
      </c>
      <c r="X51" s="179"/>
      <c r="Y51" s="179"/>
      <c r="Z51" s="177">
        <f t="shared" si="42"/>
        <v>0</v>
      </c>
      <c r="AA51" s="180">
        <f t="shared" si="43"/>
        <v>3.214790286882991E-2</v>
      </c>
      <c r="AB51" s="73">
        <f t="shared" si="32"/>
        <v>0.46283204915573933</v>
      </c>
      <c r="AC51" s="73">
        <f t="shared" si="33"/>
        <v>0.19632362421173849</v>
      </c>
      <c r="AD51" s="73">
        <f t="shared" si="34"/>
        <v>2.4066000000000001E-2</v>
      </c>
      <c r="AE51" s="73">
        <f t="shared" si="35"/>
        <v>4.9047600000000004E-2</v>
      </c>
      <c r="AF51" s="182">
        <f t="shared" si="36"/>
        <v>3.6077999999999994E-4</v>
      </c>
      <c r="AG51" s="162">
        <f t="shared" si="37"/>
        <v>0.76477795623630773</v>
      </c>
      <c r="AH51" s="183">
        <f t="shared" si="38"/>
        <v>0.76542625878166448</v>
      </c>
      <c r="AI51" s="183">
        <f t="shared" si="38"/>
        <v>11.019810694184269</v>
      </c>
      <c r="AJ51" s="183">
        <f t="shared" si="38"/>
        <v>4.6743720050413922</v>
      </c>
      <c r="AK51" s="160">
        <f t="shared" si="39"/>
        <v>18.208998958007328</v>
      </c>
      <c r="AL51" s="183">
        <f t="shared" si="40"/>
        <v>1.1678000000000002</v>
      </c>
      <c r="AM51" s="183">
        <f t="shared" si="40"/>
        <v>8.5899999999999987E-3</v>
      </c>
      <c r="AN51" s="160">
        <f t="shared" si="40"/>
        <v>18.208998958007328</v>
      </c>
      <c r="AO51" s="72"/>
      <c r="AP51" s="72"/>
      <c r="AQ51" s="72"/>
      <c r="AR51" s="72"/>
      <c r="AS51" s="72"/>
      <c r="AT51" s="72"/>
      <c r="AU51" s="72"/>
      <c r="AV51" s="72"/>
      <c r="AW51" s="72"/>
      <c r="AX51" s="72"/>
      <c r="AY51" s="72"/>
      <c r="AZ51" s="72"/>
      <c r="BA51" s="72"/>
      <c r="BB51" s="72"/>
    </row>
    <row r="52" spans="2:54">
      <c r="B52" s="165" t="s">
        <v>16</v>
      </c>
      <c r="C52" s="74" t="s">
        <v>271</v>
      </c>
      <c r="D52" s="166" t="s">
        <v>280</v>
      </c>
      <c r="E52" s="398">
        <v>14</v>
      </c>
      <c r="F52" s="205">
        <v>278.3</v>
      </c>
      <c r="G52" s="169"/>
      <c r="H52" s="169"/>
      <c r="I52" s="169">
        <v>105.5</v>
      </c>
      <c r="J52" s="402">
        <v>172.9</v>
      </c>
      <c r="K52" s="171"/>
      <c r="L52" s="171"/>
      <c r="M52" s="169"/>
      <c r="N52" s="169">
        <v>911880</v>
      </c>
      <c r="O52" s="169">
        <v>910380</v>
      </c>
      <c r="P52" s="174">
        <v>8.1000000000000003E-2</v>
      </c>
      <c r="Q52" s="176"/>
      <c r="R52" s="176"/>
      <c r="S52" s="175">
        <v>7.6735808435984492</v>
      </c>
      <c r="T52" s="175">
        <v>4.7522462480687215</v>
      </c>
      <c r="U52" s="176"/>
      <c r="V52" s="177">
        <f t="shared" si="41"/>
        <v>12.42582709166717</v>
      </c>
      <c r="W52" s="179"/>
      <c r="X52" s="175">
        <v>0.638127259</v>
      </c>
      <c r="Y52" s="175">
        <v>8.2686670000000004E-2</v>
      </c>
      <c r="Z52" s="177">
        <f t="shared" si="42"/>
        <v>0.72081392899999996</v>
      </c>
      <c r="AA52" s="180">
        <f>+V52+Z52+P52</f>
        <v>13.22764102066717</v>
      </c>
      <c r="AB52" s="73">
        <f t="shared" si="32"/>
        <v>30.668133161914824</v>
      </c>
      <c r="AC52" s="73">
        <f t="shared" si="33"/>
        <v>13.008777290030196</v>
      </c>
      <c r="AD52" s="73">
        <f t="shared" si="34"/>
        <v>1.594659</v>
      </c>
      <c r="AE52" s="73">
        <f t="shared" si="35"/>
        <v>3.2499874000000002</v>
      </c>
      <c r="AF52" s="182">
        <f t="shared" si="36"/>
        <v>2.3905969999999999E-2</v>
      </c>
      <c r="AG52" s="162">
        <f t="shared" si="37"/>
        <v>61.773103842612194</v>
      </c>
      <c r="AH52" s="183">
        <f t="shared" si="38"/>
        <v>4.7530150990539592</v>
      </c>
      <c r="AI52" s="183">
        <f t="shared" si="38"/>
        <v>11.019810694184269</v>
      </c>
      <c r="AJ52" s="183">
        <f t="shared" si="38"/>
        <v>4.6743720050413922</v>
      </c>
      <c r="AK52" s="160">
        <f t="shared" si="39"/>
        <v>22.196587798279623</v>
      </c>
      <c r="AL52" s="183">
        <f t="shared" si="40"/>
        <v>1.1678000000000002</v>
      </c>
      <c r="AM52" s="183">
        <f t="shared" si="40"/>
        <v>8.5899999999999987E-3</v>
      </c>
      <c r="AN52" s="160">
        <f t="shared" si="40"/>
        <v>22.196587798279623</v>
      </c>
      <c r="AO52" s="72"/>
      <c r="AP52" s="72"/>
      <c r="AQ52" s="72"/>
      <c r="AR52" s="72"/>
      <c r="AS52" s="72"/>
      <c r="AT52" s="72"/>
      <c r="AU52" s="72"/>
      <c r="AV52" s="72"/>
      <c r="AW52" s="72"/>
      <c r="AX52" s="72"/>
      <c r="AY52" s="72"/>
      <c r="AZ52" s="72"/>
      <c r="BA52" s="72"/>
      <c r="BB52" s="72"/>
    </row>
    <row r="53" spans="2:54">
      <c r="B53" s="165" t="s">
        <v>16</v>
      </c>
      <c r="C53" s="74" t="s">
        <v>271</v>
      </c>
      <c r="D53" s="166" t="s">
        <v>281</v>
      </c>
      <c r="E53" s="398">
        <v>2</v>
      </c>
      <c r="F53" s="205">
        <v>10.9</v>
      </c>
      <c r="G53" s="219"/>
      <c r="H53" s="219"/>
      <c r="I53" s="219">
        <v>4.0999999999999996</v>
      </c>
      <c r="J53" s="403">
        <v>6.7</v>
      </c>
      <c r="K53" s="230"/>
      <c r="L53" s="171"/>
      <c r="M53" s="169"/>
      <c r="N53" s="169">
        <v>44640</v>
      </c>
      <c r="O53" s="169">
        <v>44304</v>
      </c>
      <c r="P53" s="174">
        <v>1.0800000000000001E-2</v>
      </c>
      <c r="Q53" s="176"/>
      <c r="R53" s="176"/>
      <c r="S53" s="175">
        <v>0.49255150998860753</v>
      </c>
      <c r="T53" s="175">
        <v>0.2540865018220273</v>
      </c>
      <c r="U53" s="222"/>
      <c r="V53" s="177">
        <f t="shared" si="41"/>
        <v>0.74663801181063483</v>
      </c>
      <c r="W53" s="179"/>
      <c r="X53" s="175">
        <v>3.4067341000000001E-2</v>
      </c>
      <c r="Y53" s="175">
        <v>4.1920799999999999E-3</v>
      </c>
      <c r="Z53" s="177">
        <f t="shared" si="42"/>
        <v>3.8259421000000002E-2</v>
      </c>
      <c r="AA53" s="180">
        <f t="shared" si="43"/>
        <v>0.79569743281063487</v>
      </c>
      <c r="AB53" s="73">
        <f t="shared" si="32"/>
        <v>1.2011593656660853</v>
      </c>
      <c r="AC53" s="73">
        <f t="shared" si="33"/>
        <v>0.50950654854951183</v>
      </c>
      <c r="AD53" s="73">
        <f t="shared" si="34"/>
        <v>6.2456999999999999E-2</v>
      </c>
      <c r="AE53" s="73">
        <f t="shared" si="35"/>
        <v>0.12729020000000002</v>
      </c>
      <c r="AF53" s="182">
        <f t="shared" si="36"/>
        <v>9.3630999999999988E-4</v>
      </c>
      <c r="AG53" s="162">
        <f t="shared" si="37"/>
        <v>2.697046857026232</v>
      </c>
      <c r="AH53" s="183">
        <f t="shared" si="38"/>
        <v>7.2999764478039895</v>
      </c>
      <c r="AI53" s="183">
        <f t="shared" si="38"/>
        <v>11.019810694184267</v>
      </c>
      <c r="AJ53" s="183">
        <f t="shared" si="38"/>
        <v>4.6743720050413922</v>
      </c>
      <c r="AK53" s="160">
        <f t="shared" si="39"/>
        <v>24.74354914702965</v>
      </c>
      <c r="AL53" s="183">
        <f t="shared" si="40"/>
        <v>1.1678000000000002</v>
      </c>
      <c r="AM53" s="183">
        <f t="shared" si="40"/>
        <v>8.5899999999999987E-3</v>
      </c>
      <c r="AN53" s="160">
        <f t="shared" si="40"/>
        <v>24.74354914702965</v>
      </c>
      <c r="AO53" s="72"/>
      <c r="AP53" s="72"/>
      <c r="AQ53" s="72"/>
      <c r="AR53" s="72"/>
      <c r="AS53" s="72"/>
      <c r="AT53" s="72"/>
      <c r="AU53" s="72"/>
      <c r="AV53" s="72"/>
      <c r="AW53" s="72"/>
      <c r="AX53" s="72"/>
      <c r="AY53" s="72"/>
      <c r="AZ53" s="72"/>
      <c r="BA53" s="72"/>
      <c r="BB53" s="72"/>
    </row>
    <row r="54" spans="2:54">
      <c r="B54" s="165"/>
      <c r="C54" s="187"/>
      <c r="D54" s="187" t="s">
        <v>222</v>
      </c>
      <c r="E54" s="188">
        <f t="shared" ref="E54:J54" si="44">SUM(E47:E53)</f>
        <v>577</v>
      </c>
      <c r="F54" s="189">
        <f t="shared" si="44"/>
        <v>1367.3000000000002</v>
      </c>
      <c r="G54" s="190">
        <f t="shared" si="44"/>
        <v>1019.3</v>
      </c>
      <c r="H54" s="190">
        <f t="shared" si="44"/>
        <v>51.2</v>
      </c>
      <c r="I54" s="190">
        <f t="shared" si="44"/>
        <v>109.6</v>
      </c>
      <c r="J54" s="191">
        <f t="shared" si="44"/>
        <v>179.6</v>
      </c>
      <c r="K54" s="191"/>
      <c r="L54" s="191"/>
      <c r="M54" s="192">
        <f t="shared" ref="M54:AD54" si="45">SUM(M47:M53)</f>
        <v>3485364</v>
      </c>
      <c r="N54" s="192">
        <f t="shared" si="45"/>
        <v>956520</v>
      </c>
      <c r="O54" s="193">
        <f t="shared" si="45"/>
        <v>954684</v>
      </c>
      <c r="P54" s="194">
        <f t="shared" si="45"/>
        <v>1.8325003200000001</v>
      </c>
      <c r="Q54" s="195">
        <f t="shared" si="45"/>
        <v>33.625404273636697</v>
      </c>
      <c r="R54" s="195">
        <f t="shared" si="45"/>
        <v>10.916851443476927</v>
      </c>
      <c r="S54" s="195">
        <f t="shared" si="45"/>
        <v>8.1661323535870558</v>
      </c>
      <c r="T54" s="195">
        <f t="shared" si="45"/>
        <v>5.0063327498907491</v>
      </c>
      <c r="U54" s="195">
        <f t="shared" si="45"/>
        <v>0.33412040545058996</v>
      </c>
      <c r="V54" s="196">
        <f>SUM(V47:V53)</f>
        <v>58.048841226042015</v>
      </c>
      <c r="W54" s="231">
        <f t="shared" si="45"/>
        <v>27.104807316000006</v>
      </c>
      <c r="X54" s="195">
        <f t="shared" si="45"/>
        <v>0.67219459999999998</v>
      </c>
      <c r="Y54" s="195">
        <f t="shared" si="45"/>
        <v>8.6878750000000005E-2</v>
      </c>
      <c r="Z54" s="196">
        <f t="shared" si="45"/>
        <v>27.863880666000004</v>
      </c>
      <c r="AA54" s="197">
        <f t="shared" si="45"/>
        <v>87.745222212042023</v>
      </c>
      <c r="AB54" s="198">
        <f t="shared" si="45"/>
        <v>150.67387162158153</v>
      </c>
      <c r="AC54" s="198">
        <f t="shared" si="45"/>
        <v>63.912688424930948</v>
      </c>
      <c r="AD54" s="198">
        <f t="shared" si="45"/>
        <v>7.8346290000000005</v>
      </c>
      <c r="AE54" s="198">
        <f>SUM(AE46:AE53)</f>
        <v>15.967329400000001</v>
      </c>
      <c r="AF54" s="199">
        <f>SUM(AF47:AF53)</f>
        <v>0.11745106999999998</v>
      </c>
      <c r="AG54" s="200">
        <f>SUM(AG47:AG53)</f>
        <v>326.25119172855449</v>
      </c>
      <c r="AH54" s="201">
        <f t="shared" si="38"/>
        <v>6.4174081922066861</v>
      </c>
      <c r="AI54" s="201">
        <f t="shared" si="38"/>
        <v>11.019810694184269</v>
      </c>
      <c r="AJ54" s="201">
        <f t="shared" si="38"/>
        <v>4.6743720050413913</v>
      </c>
      <c r="AK54" s="202">
        <f t="shared" si="39"/>
        <v>23.860980891432344</v>
      </c>
      <c r="AL54" s="201">
        <f t="shared" si="40"/>
        <v>1.1677999999999999</v>
      </c>
      <c r="AM54" s="201">
        <f t="shared" si="40"/>
        <v>8.5899999999999969E-3</v>
      </c>
      <c r="AN54" s="202">
        <f t="shared" si="40"/>
        <v>23.860980891432344</v>
      </c>
      <c r="AO54" s="72"/>
      <c r="AP54" s="203"/>
      <c r="AQ54" s="72"/>
      <c r="AR54" s="72"/>
      <c r="AS54" s="72"/>
      <c r="AT54" s="72"/>
      <c r="AU54" s="72"/>
      <c r="AV54" s="72"/>
      <c r="AW54" s="72"/>
      <c r="AX54" s="72"/>
      <c r="AY54" s="72"/>
      <c r="AZ54" s="72"/>
      <c r="BA54" s="72"/>
      <c r="BB54" s="72"/>
    </row>
    <row r="55" spans="2:54" ht="21.75" customHeight="1">
      <c r="C55" s="155" t="s">
        <v>282</v>
      </c>
      <c r="D55" s="72"/>
      <c r="E55" s="167"/>
      <c r="F55" s="168"/>
      <c r="G55" s="169"/>
      <c r="H55" s="169"/>
      <c r="I55" s="169"/>
      <c r="J55" s="171"/>
      <c r="K55" s="171"/>
      <c r="L55" s="171"/>
      <c r="M55" s="173"/>
      <c r="N55" s="173"/>
      <c r="O55" s="184"/>
      <c r="P55" s="208"/>
      <c r="Q55" s="176"/>
      <c r="R55" s="176"/>
      <c r="S55" s="176"/>
      <c r="T55" s="176"/>
      <c r="U55" s="176"/>
      <c r="V55" s="209"/>
      <c r="W55" s="179"/>
      <c r="X55" s="179"/>
      <c r="Y55" s="179"/>
      <c r="Z55" s="209"/>
      <c r="AA55" s="182"/>
      <c r="AB55" s="73"/>
      <c r="AC55" s="73"/>
      <c r="AD55" s="73"/>
      <c r="AE55" s="73"/>
      <c r="AF55" s="182"/>
      <c r="AG55" s="162"/>
      <c r="AH55" s="183"/>
      <c r="AI55" s="212"/>
      <c r="AJ55" s="183"/>
      <c r="AK55" s="160"/>
      <c r="AL55" s="183"/>
      <c r="AM55" s="183"/>
      <c r="AN55" s="160"/>
      <c r="AO55" s="72"/>
      <c r="AP55" s="72"/>
      <c r="AQ55" s="72"/>
      <c r="AR55" s="72"/>
      <c r="AS55" s="72"/>
      <c r="AT55" s="72"/>
      <c r="AU55" s="72"/>
      <c r="AV55" s="72"/>
      <c r="AW55" s="72"/>
      <c r="AX55" s="72"/>
      <c r="AY55" s="72"/>
      <c r="AZ55" s="72"/>
      <c r="BA55" s="72"/>
      <c r="BB55" s="72"/>
    </row>
    <row r="56" spans="2:54">
      <c r="B56" s="165" t="str">
        <f>D56</f>
        <v>PLGUM 001</v>
      </c>
      <c r="C56" s="155"/>
      <c r="D56" s="232" t="s">
        <v>74</v>
      </c>
      <c r="E56" s="167"/>
      <c r="F56" s="404">
        <v>0</v>
      </c>
      <c r="G56" s="169"/>
      <c r="H56" s="169"/>
      <c r="I56" s="169"/>
      <c r="J56" s="171"/>
      <c r="K56" s="400">
        <v>11</v>
      </c>
      <c r="L56" s="215"/>
      <c r="M56" s="173"/>
      <c r="N56" s="173"/>
      <c r="O56" s="184"/>
      <c r="P56" s="208"/>
      <c r="Q56" s="176"/>
      <c r="R56" s="176"/>
      <c r="S56" s="176"/>
      <c r="T56" s="176"/>
      <c r="U56" s="216">
        <v>7.7880000000000007E-4</v>
      </c>
      <c r="V56" s="177">
        <f>SUM(Q56:U56)</f>
        <v>7.7880000000000007E-4</v>
      </c>
      <c r="W56" s="179"/>
      <c r="X56" s="179"/>
      <c r="Y56" s="179"/>
      <c r="Z56" s="177">
        <f>SUM(W56:Y56)</f>
        <v>0</v>
      </c>
      <c r="AA56" s="180">
        <f>+V56+Z56+P56</f>
        <v>7.7880000000000007E-4</v>
      </c>
      <c r="AB56" s="73">
        <f t="shared" ref="AB56:AB77" si="46">$H$2*F56</f>
        <v>0</v>
      </c>
      <c r="AC56" s="73">
        <f t="shared" ref="AC56:AC77" si="47">+$H$3*F56</f>
        <v>0</v>
      </c>
      <c r="AD56" s="73">
        <f t="shared" ref="AD56:AD77" si="48">+$H$4*F56</f>
        <v>0</v>
      </c>
      <c r="AE56" s="73">
        <f t="shared" ref="AE56:AE77" si="49">+$H$5*F56</f>
        <v>0</v>
      </c>
      <c r="AF56" s="182">
        <f t="shared" ref="AF56:AF77" si="50">+$H$6*F56</f>
        <v>0</v>
      </c>
      <c r="AG56" s="162">
        <f t="shared" ref="AG56:AG77" si="51">+AF56+AD56+AC56+AB56+AA56+AE56</f>
        <v>7.7880000000000007E-4</v>
      </c>
      <c r="AH56" s="183" t="e">
        <f t="shared" si="38"/>
        <v>#DIV/0!</v>
      </c>
      <c r="AI56" s="183" t="e">
        <f t="shared" si="38"/>
        <v>#DIV/0!</v>
      </c>
      <c r="AJ56" s="183" t="e">
        <f t="shared" si="38"/>
        <v>#DIV/0!</v>
      </c>
      <c r="AK56" s="160" t="e">
        <f t="shared" ref="AK56:AK95" si="52">+AG56/$F56*100</f>
        <v>#DIV/0!</v>
      </c>
      <c r="AL56" s="183" t="e">
        <f t="shared" ref="AL56:AN77" si="53">+AE56/$F56*100</f>
        <v>#DIV/0!</v>
      </c>
      <c r="AM56" s="183" t="e">
        <f t="shared" si="53"/>
        <v>#DIV/0!</v>
      </c>
      <c r="AN56" s="160" t="e">
        <f t="shared" si="53"/>
        <v>#DIV/0!</v>
      </c>
      <c r="AO56" s="72"/>
      <c r="AP56" s="72"/>
      <c r="AQ56" s="72"/>
      <c r="AR56" s="72"/>
      <c r="AS56" s="72"/>
      <c r="AT56" s="72"/>
      <c r="AU56" s="72"/>
      <c r="AV56" s="72"/>
      <c r="AW56" s="72"/>
      <c r="AX56" s="72"/>
      <c r="AY56" s="72"/>
      <c r="AZ56" s="72"/>
      <c r="BA56" s="72"/>
      <c r="BB56" s="72"/>
    </row>
    <row r="57" spans="2:54">
      <c r="B57" s="165" t="str">
        <f t="shared" ref="B57:B77" si="54">D57</f>
        <v>PLGUM 002</v>
      </c>
      <c r="C57" s="155"/>
      <c r="D57" s="232" t="s">
        <v>79</v>
      </c>
      <c r="E57" s="167"/>
      <c r="F57" s="399">
        <v>2.9</v>
      </c>
      <c r="G57" s="169"/>
      <c r="H57" s="169"/>
      <c r="I57" s="169"/>
      <c r="J57" s="171"/>
      <c r="K57" s="400">
        <v>10011</v>
      </c>
      <c r="L57" s="215"/>
      <c r="M57" s="173"/>
      <c r="N57" s="173"/>
      <c r="O57" s="184"/>
      <c r="P57" s="208"/>
      <c r="Q57" s="176"/>
      <c r="R57" s="176"/>
      <c r="S57" s="176"/>
      <c r="T57" s="176"/>
      <c r="U57" s="216">
        <v>0.80815104000000004</v>
      </c>
      <c r="V57" s="177">
        <f t="shared" ref="V57:V77" si="55">SUM(Q57:U57)</f>
        <v>0.80815104000000004</v>
      </c>
      <c r="W57" s="179"/>
      <c r="X57" s="179"/>
      <c r="Y57" s="179"/>
      <c r="Z57" s="177">
        <f t="shared" ref="Z57:Z77" si="56">SUM(W57:Y57)</f>
        <v>0</v>
      </c>
      <c r="AA57" s="180">
        <f t="shared" ref="AA57:AA77" si="57">+V57+Z57+P57</f>
        <v>0.80815104000000004</v>
      </c>
      <c r="AB57" s="73">
        <f t="shared" si="46"/>
        <v>0.3195745101313438</v>
      </c>
      <c r="AC57" s="73">
        <f t="shared" si="47"/>
        <v>0.13555678814620037</v>
      </c>
      <c r="AD57" s="73">
        <f t="shared" si="48"/>
        <v>1.6617E-2</v>
      </c>
      <c r="AE57" s="73">
        <f t="shared" si="49"/>
        <v>3.3866199999999999E-2</v>
      </c>
      <c r="AF57" s="182">
        <f t="shared" si="50"/>
        <v>2.4910999999999998E-4</v>
      </c>
      <c r="AG57" s="162">
        <f t="shared" si="51"/>
        <v>1.3140146482775443</v>
      </c>
      <c r="AH57" s="183">
        <f t="shared" si="38"/>
        <v>27.867277241379313</v>
      </c>
      <c r="AI57" s="183">
        <f t="shared" si="38"/>
        <v>11.019810694184269</v>
      </c>
      <c r="AJ57" s="183">
        <f t="shared" si="38"/>
        <v>4.6743720050413922</v>
      </c>
      <c r="AK57" s="160">
        <f t="shared" si="52"/>
        <v>45.310849940604982</v>
      </c>
      <c r="AL57" s="183">
        <f t="shared" si="53"/>
        <v>1.1678000000000002</v>
      </c>
      <c r="AM57" s="183">
        <f t="shared" si="53"/>
        <v>8.5900000000000004E-3</v>
      </c>
      <c r="AN57" s="160">
        <f t="shared" si="53"/>
        <v>45.310849940604982</v>
      </c>
      <c r="AO57" s="72"/>
      <c r="AP57" s="72"/>
      <c r="AQ57" s="72"/>
      <c r="AR57" s="72"/>
      <c r="AS57" s="72"/>
      <c r="AT57" s="72"/>
      <c r="AU57" s="72"/>
      <c r="AV57" s="72"/>
      <c r="AW57" s="72"/>
      <c r="AX57" s="72"/>
      <c r="AY57" s="72"/>
      <c r="AZ57" s="72"/>
      <c r="BA57" s="72"/>
      <c r="BB57" s="72"/>
    </row>
    <row r="58" spans="2:54">
      <c r="B58" s="165" t="str">
        <f t="shared" si="54"/>
        <v>PLGUM 003</v>
      </c>
      <c r="C58" s="155"/>
      <c r="D58" s="232" t="s">
        <v>82</v>
      </c>
      <c r="E58" s="167"/>
      <c r="F58" s="399">
        <v>30</v>
      </c>
      <c r="G58" s="169"/>
      <c r="H58" s="169"/>
      <c r="I58" s="169"/>
      <c r="J58" s="171"/>
      <c r="K58" s="400">
        <v>74170</v>
      </c>
      <c r="L58" s="215"/>
      <c r="M58" s="173"/>
      <c r="N58" s="173"/>
      <c r="O58" s="184"/>
      <c r="P58" s="208"/>
      <c r="Q58" s="176"/>
      <c r="R58" s="176"/>
      <c r="S58" s="176"/>
      <c r="T58" s="176"/>
      <c r="U58" s="216">
        <v>6.2918712000000001</v>
      </c>
      <c r="V58" s="177">
        <f t="shared" si="55"/>
        <v>6.2918712000000001</v>
      </c>
      <c r="W58" s="179"/>
      <c r="X58" s="179"/>
      <c r="Y58" s="179"/>
      <c r="Z58" s="177">
        <f t="shared" si="56"/>
        <v>0</v>
      </c>
      <c r="AA58" s="180">
        <f t="shared" si="57"/>
        <v>6.2918712000000001</v>
      </c>
      <c r="AB58" s="73">
        <f t="shared" si="46"/>
        <v>3.3059432082552807</v>
      </c>
      <c r="AC58" s="73">
        <f t="shared" si="47"/>
        <v>1.4023116015124177</v>
      </c>
      <c r="AD58" s="73">
        <f t="shared" si="48"/>
        <v>0.1719</v>
      </c>
      <c r="AE58" s="73">
        <f t="shared" si="49"/>
        <v>0.35034000000000004</v>
      </c>
      <c r="AF58" s="182">
        <f t="shared" si="50"/>
        <v>2.5769999999999994E-3</v>
      </c>
      <c r="AG58" s="162">
        <f t="shared" si="51"/>
        <v>11.524943009767696</v>
      </c>
      <c r="AH58" s="183">
        <f t="shared" si="38"/>
        <v>20.972904</v>
      </c>
      <c r="AI58" s="183">
        <f t="shared" si="38"/>
        <v>11.019810694184269</v>
      </c>
      <c r="AJ58" s="183">
        <f t="shared" si="38"/>
        <v>4.6743720050413922</v>
      </c>
      <c r="AK58" s="160">
        <f t="shared" si="52"/>
        <v>38.416476699225655</v>
      </c>
      <c r="AL58" s="183">
        <f t="shared" si="53"/>
        <v>1.1678000000000002</v>
      </c>
      <c r="AM58" s="183">
        <f t="shared" si="53"/>
        <v>8.5899999999999987E-3</v>
      </c>
      <c r="AN58" s="160">
        <f t="shared" si="53"/>
        <v>38.416476699225655</v>
      </c>
      <c r="AO58" s="72"/>
      <c r="AP58" s="72"/>
      <c r="AQ58" s="72"/>
      <c r="AR58" s="72"/>
      <c r="AS58" s="72"/>
      <c r="AT58" s="72"/>
      <c r="AU58" s="72"/>
      <c r="AV58" s="72"/>
      <c r="AW58" s="72"/>
      <c r="AX58" s="72"/>
      <c r="AY58" s="72"/>
      <c r="AZ58" s="72"/>
      <c r="BA58" s="72"/>
      <c r="BB58" s="72"/>
    </row>
    <row r="59" spans="2:54">
      <c r="B59" s="165" t="str">
        <f t="shared" si="54"/>
        <v>PLGUM 004</v>
      </c>
      <c r="C59" s="155"/>
      <c r="D59" s="232" t="s">
        <v>84</v>
      </c>
      <c r="E59" s="167"/>
      <c r="F59" s="399">
        <v>0.4</v>
      </c>
      <c r="G59" s="169"/>
      <c r="H59" s="169"/>
      <c r="I59" s="169"/>
      <c r="J59" s="171"/>
      <c r="K59" s="400">
        <v>610</v>
      </c>
      <c r="L59" s="215"/>
      <c r="M59" s="173"/>
      <c r="N59" s="173"/>
      <c r="O59" s="184"/>
      <c r="P59" s="208"/>
      <c r="Q59" s="176"/>
      <c r="R59" s="176"/>
      <c r="S59" s="176"/>
      <c r="T59" s="176"/>
      <c r="U59" s="216">
        <v>5.7754799999999995E-2</v>
      </c>
      <c r="V59" s="177">
        <f t="shared" si="55"/>
        <v>5.7754799999999995E-2</v>
      </c>
      <c r="W59" s="179"/>
      <c r="X59" s="179"/>
      <c r="Y59" s="179"/>
      <c r="Z59" s="177">
        <f t="shared" si="56"/>
        <v>0</v>
      </c>
      <c r="AA59" s="180">
        <f t="shared" si="57"/>
        <v>5.7754799999999995E-2</v>
      </c>
      <c r="AB59" s="73">
        <f t="shared" si="46"/>
        <v>4.4079242776737082E-2</v>
      </c>
      <c r="AC59" s="73">
        <f t="shared" si="47"/>
        <v>1.8697488020165572E-2</v>
      </c>
      <c r="AD59" s="73">
        <f t="shared" si="48"/>
        <v>2.2920000000000002E-3</v>
      </c>
      <c r="AE59" s="73">
        <f t="shared" si="49"/>
        <v>4.6712000000000004E-3</v>
      </c>
      <c r="AF59" s="182">
        <f t="shared" si="50"/>
        <v>3.4359999999999996E-5</v>
      </c>
      <c r="AG59" s="162">
        <f t="shared" si="51"/>
        <v>0.12752909079690267</v>
      </c>
      <c r="AH59" s="183">
        <f t="shared" si="38"/>
        <v>14.438699999999999</v>
      </c>
      <c r="AI59" s="183">
        <f t="shared" si="38"/>
        <v>11.019810694184271</v>
      </c>
      <c r="AJ59" s="183">
        <f t="shared" si="38"/>
        <v>4.6743720050413922</v>
      </c>
      <c r="AK59" s="160">
        <f t="shared" si="52"/>
        <v>31.882272699225666</v>
      </c>
      <c r="AL59" s="183">
        <f t="shared" si="53"/>
        <v>1.1678000000000002</v>
      </c>
      <c r="AM59" s="183">
        <f t="shared" si="53"/>
        <v>8.5899999999999987E-3</v>
      </c>
      <c r="AN59" s="160">
        <f t="shared" si="53"/>
        <v>31.882272699225666</v>
      </c>
      <c r="AO59" s="72"/>
      <c r="AP59" s="72"/>
      <c r="AQ59" s="72"/>
      <c r="AR59" s="72"/>
      <c r="AS59" s="72"/>
      <c r="AT59" s="72"/>
      <c r="AU59" s="72"/>
      <c r="AV59" s="72"/>
      <c r="AW59" s="72"/>
      <c r="AX59" s="72"/>
      <c r="AY59" s="72"/>
      <c r="AZ59" s="72"/>
      <c r="BA59" s="72"/>
      <c r="BB59" s="72"/>
    </row>
    <row r="60" spans="2:54">
      <c r="B60" s="165" t="str">
        <f t="shared" si="54"/>
        <v>PLGUM 005</v>
      </c>
      <c r="C60" s="155"/>
      <c r="D60" s="232" t="s">
        <v>86</v>
      </c>
      <c r="E60" s="167"/>
      <c r="F60" s="399">
        <v>16.2</v>
      </c>
      <c r="G60" s="169"/>
      <c r="H60" s="169"/>
      <c r="I60" s="169"/>
      <c r="J60" s="171"/>
      <c r="K60" s="400">
        <v>18448</v>
      </c>
      <c r="L60" s="215"/>
      <c r="M60" s="173"/>
      <c r="N60" s="173"/>
      <c r="O60" s="184"/>
      <c r="P60" s="208"/>
      <c r="Q60" s="176"/>
      <c r="R60" s="176"/>
      <c r="S60" s="176"/>
      <c r="T60" s="176"/>
      <c r="U60" s="216">
        <v>2.69572608</v>
      </c>
      <c r="V60" s="177">
        <f t="shared" si="55"/>
        <v>2.69572608</v>
      </c>
      <c r="W60" s="179"/>
      <c r="X60" s="179"/>
      <c r="Y60" s="179"/>
      <c r="Z60" s="177">
        <f t="shared" si="56"/>
        <v>0</v>
      </c>
      <c r="AA60" s="180">
        <f t="shared" si="57"/>
        <v>2.69572608</v>
      </c>
      <c r="AB60" s="73">
        <f t="shared" si="46"/>
        <v>1.7852093324578515</v>
      </c>
      <c r="AC60" s="73">
        <f t="shared" si="47"/>
        <v>0.7572482648167056</v>
      </c>
      <c r="AD60" s="73">
        <f t="shared" si="48"/>
        <v>9.2825999999999992E-2</v>
      </c>
      <c r="AE60" s="73">
        <f t="shared" si="49"/>
        <v>0.18918360000000001</v>
      </c>
      <c r="AF60" s="182">
        <f t="shared" si="50"/>
        <v>1.3915799999999997E-3</v>
      </c>
      <c r="AG60" s="162">
        <f t="shared" si="51"/>
        <v>5.5215848572745569</v>
      </c>
      <c r="AH60" s="183">
        <f t="shared" si="38"/>
        <v>16.640284444444443</v>
      </c>
      <c r="AI60" s="183">
        <f t="shared" si="38"/>
        <v>11.019810694184269</v>
      </c>
      <c r="AJ60" s="183">
        <f t="shared" si="38"/>
        <v>4.6743720050413922</v>
      </c>
      <c r="AK60" s="160">
        <f t="shared" si="52"/>
        <v>34.083857143670102</v>
      </c>
      <c r="AL60" s="183">
        <f t="shared" si="53"/>
        <v>1.1678000000000002</v>
      </c>
      <c r="AM60" s="183">
        <f t="shared" si="53"/>
        <v>8.5899999999999987E-3</v>
      </c>
      <c r="AN60" s="160">
        <f t="shared" si="53"/>
        <v>34.083857143670102</v>
      </c>
      <c r="AO60" s="72"/>
      <c r="AP60" s="72"/>
      <c r="AQ60" s="72"/>
      <c r="AR60" s="72"/>
      <c r="AS60" s="72"/>
      <c r="AT60" s="72"/>
      <c r="AU60" s="72"/>
      <c r="AV60" s="72"/>
      <c r="AW60" s="72"/>
      <c r="AX60" s="72"/>
      <c r="AY60" s="72"/>
      <c r="AZ60" s="72"/>
      <c r="BA60" s="72"/>
      <c r="BB60" s="72"/>
    </row>
    <row r="61" spans="2:54">
      <c r="B61" s="165" t="str">
        <f t="shared" si="54"/>
        <v>PLGUM 006</v>
      </c>
      <c r="C61" s="155"/>
      <c r="D61" s="232" t="s">
        <v>90</v>
      </c>
      <c r="E61" s="167"/>
      <c r="F61" s="399">
        <v>0.8</v>
      </c>
      <c r="G61" s="169"/>
      <c r="H61" s="169"/>
      <c r="I61" s="169"/>
      <c r="J61" s="171"/>
      <c r="K61" s="400">
        <v>746</v>
      </c>
      <c r="L61" s="215"/>
      <c r="M61" s="173"/>
      <c r="N61" s="173"/>
      <c r="O61" s="184"/>
      <c r="P61" s="208"/>
      <c r="Q61" s="176"/>
      <c r="R61" s="176"/>
      <c r="S61" s="176"/>
      <c r="T61" s="176"/>
      <c r="U61" s="216">
        <v>0.11924063999999999</v>
      </c>
      <c r="V61" s="177">
        <f t="shared" si="55"/>
        <v>0.11924063999999999</v>
      </c>
      <c r="W61" s="179"/>
      <c r="X61" s="179"/>
      <c r="Y61" s="179"/>
      <c r="Z61" s="177">
        <f t="shared" si="56"/>
        <v>0</v>
      </c>
      <c r="AA61" s="180">
        <f t="shared" si="57"/>
        <v>0.11924063999999999</v>
      </c>
      <c r="AB61" s="73">
        <f t="shared" si="46"/>
        <v>8.8158485553474164E-2</v>
      </c>
      <c r="AC61" s="73">
        <f t="shared" si="47"/>
        <v>3.7394976040331145E-2</v>
      </c>
      <c r="AD61" s="73">
        <f t="shared" si="48"/>
        <v>4.5840000000000004E-3</v>
      </c>
      <c r="AE61" s="73">
        <f t="shared" si="49"/>
        <v>9.3424000000000007E-3</v>
      </c>
      <c r="AF61" s="182">
        <f t="shared" si="50"/>
        <v>6.8719999999999993E-5</v>
      </c>
      <c r="AG61" s="162">
        <f t="shared" si="51"/>
        <v>0.25878922159380535</v>
      </c>
      <c r="AH61" s="183">
        <f t="shared" si="38"/>
        <v>14.905079999999998</v>
      </c>
      <c r="AI61" s="183">
        <f t="shared" si="38"/>
        <v>11.019810694184271</v>
      </c>
      <c r="AJ61" s="183">
        <f t="shared" si="38"/>
        <v>4.6743720050413922</v>
      </c>
      <c r="AK61" s="160">
        <f t="shared" si="52"/>
        <v>32.348652699225667</v>
      </c>
      <c r="AL61" s="183">
        <f t="shared" si="53"/>
        <v>1.1678000000000002</v>
      </c>
      <c r="AM61" s="183">
        <f t="shared" si="53"/>
        <v>8.5899999999999987E-3</v>
      </c>
      <c r="AN61" s="160">
        <f t="shared" si="53"/>
        <v>32.348652699225667</v>
      </c>
      <c r="AO61" s="72"/>
      <c r="AP61" s="72"/>
      <c r="AQ61" s="72"/>
      <c r="AR61" s="72"/>
      <c r="AS61" s="72"/>
      <c r="AT61" s="72"/>
      <c r="AU61" s="72"/>
      <c r="AV61" s="72"/>
      <c r="AW61" s="72"/>
      <c r="AX61" s="72"/>
      <c r="AY61" s="72"/>
      <c r="AZ61" s="72"/>
      <c r="BA61" s="72"/>
      <c r="BB61" s="72"/>
    </row>
    <row r="62" spans="2:54">
      <c r="B62" s="165" t="str">
        <f t="shared" si="54"/>
        <v>PLGUM 007</v>
      </c>
      <c r="C62" s="155"/>
      <c r="D62" s="232" t="s">
        <v>92</v>
      </c>
      <c r="E62" s="167"/>
      <c r="F62" s="399">
        <v>1.9</v>
      </c>
      <c r="G62" s="169"/>
      <c r="H62" s="169"/>
      <c r="I62" s="169"/>
      <c r="J62" s="171"/>
      <c r="K62" s="400">
        <v>1136</v>
      </c>
      <c r="L62" s="215"/>
      <c r="M62" s="173"/>
      <c r="N62" s="173"/>
      <c r="O62" s="184"/>
      <c r="P62" s="208"/>
      <c r="Q62" s="176"/>
      <c r="R62" s="176"/>
      <c r="S62" s="176"/>
      <c r="T62" s="176"/>
      <c r="U62" s="216">
        <v>0.24755711999999999</v>
      </c>
      <c r="V62" s="177">
        <f t="shared" si="55"/>
        <v>0.24755711999999999</v>
      </c>
      <c r="W62" s="179"/>
      <c r="X62" s="179"/>
      <c r="Y62" s="179"/>
      <c r="Z62" s="177">
        <f t="shared" si="56"/>
        <v>0</v>
      </c>
      <c r="AA62" s="180">
        <f t="shared" si="57"/>
        <v>0.24755711999999999</v>
      </c>
      <c r="AB62" s="73">
        <f t="shared" si="46"/>
        <v>0.2093764031895011</v>
      </c>
      <c r="AC62" s="73">
        <f t="shared" si="47"/>
        <v>8.8813068095786457E-2</v>
      </c>
      <c r="AD62" s="73">
        <f t="shared" si="48"/>
        <v>1.0886999999999999E-2</v>
      </c>
      <c r="AE62" s="73">
        <f t="shared" si="49"/>
        <v>2.2188200000000002E-2</v>
      </c>
      <c r="AF62" s="182">
        <f t="shared" si="50"/>
        <v>1.6320999999999998E-4</v>
      </c>
      <c r="AG62" s="162">
        <f t="shared" si="51"/>
        <v>0.57898500128528751</v>
      </c>
      <c r="AH62" s="183">
        <f t="shared" si="38"/>
        <v>13.029322105263159</v>
      </c>
      <c r="AI62" s="183">
        <f t="shared" si="38"/>
        <v>11.019810694184269</v>
      </c>
      <c r="AJ62" s="183">
        <f t="shared" si="38"/>
        <v>4.6743720050413922</v>
      </c>
      <c r="AK62" s="160">
        <f t="shared" si="52"/>
        <v>30.472894804488821</v>
      </c>
      <c r="AL62" s="183">
        <f t="shared" si="53"/>
        <v>1.1678000000000002</v>
      </c>
      <c r="AM62" s="183">
        <f t="shared" si="53"/>
        <v>8.5899999999999987E-3</v>
      </c>
      <c r="AN62" s="160">
        <f t="shared" si="53"/>
        <v>30.472894804488821</v>
      </c>
      <c r="AO62" s="72"/>
      <c r="AP62" s="72"/>
      <c r="AQ62" s="72"/>
      <c r="AR62" s="72"/>
      <c r="AS62" s="72"/>
      <c r="AT62" s="72"/>
      <c r="AU62" s="72"/>
      <c r="AV62" s="72"/>
      <c r="AW62" s="72"/>
      <c r="AX62" s="72"/>
      <c r="AY62" s="72"/>
      <c r="AZ62" s="72"/>
      <c r="BA62" s="72"/>
      <c r="BB62" s="72"/>
    </row>
    <row r="63" spans="2:54">
      <c r="B63" s="165" t="str">
        <f t="shared" si="54"/>
        <v>PLGUM 010</v>
      </c>
      <c r="C63" s="155"/>
      <c r="D63" s="232" t="s">
        <v>96</v>
      </c>
      <c r="E63" s="167"/>
      <c r="F63" s="399">
        <v>0</v>
      </c>
      <c r="G63" s="169"/>
      <c r="H63" s="169"/>
      <c r="I63" s="169"/>
      <c r="J63" s="171"/>
      <c r="K63" s="400">
        <v>35</v>
      </c>
      <c r="L63" s="215"/>
      <c r="M63" s="173"/>
      <c r="N63" s="173"/>
      <c r="O63" s="184"/>
      <c r="P63" s="208"/>
      <c r="Q63" s="176"/>
      <c r="R63" s="176"/>
      <c r="S63" s="176"/>
      <c r="T63" s="176"/>
      <c r="U63" s="216">
        <v>3.7589999999999998E-3</v>
      </c>
      <c r="V63" s="177">
        <f t="shared" si="55"/>
        <v>3.7589999999999998E-3</v>
      </c>
      <c r="W63" s="179"/>
      <c r="X63" s="179"/>
      <c r="Y63" s="179"/>
      <c r="Z63" s="177">
        <f t="shared" si="56"/>
        <v>0</v>
      </c>
      <c r="AA63" s="180">
        <f t="shared" si="57"/>
        <v>3.7589999999999998E-3</v>
      </c>
      <c r="AB63" s="73">
        <f t="shared" si="46"/>
        <v>0</v>
      </c>
      <c r="AC63" s="73">
        <f t="shared" si="47"/>
        <v>0</v>
      </c>
      <c r="AD63" s="73">
        <f t="shared" si="48"/>
        <v>0</v>
      </c>
      <c r="AE63" s="73">
        <f t="shared" si="49"/>
        <v>0</v>
      </c>
      <c r="AF63" s="182">
        <f t="shared" si="50"/>
        <v>0</v>
      </c>
      <c r="AG63" s="162">
        <f t="shared" si="51"/>
        <v>3.7589999999999998E-3</v>
      </c>
      <c r="AH63" s="183" t="e">
        <f t="shared" si="38"/>
        <v>#DIV/0!</v>
      </c>
      <c r="AI63" s="183" t="e">
        <f t="shared" si="38"/>
        <v>#DIV/0!</v>
      </c>
      <c r="AJ63" s="183" t="e">
        <f t="shared" si="38"/>
        <v>#DIV/0!</v>
      </c>
      <c r="AK63" s="160" t="e">
        <f t="shared" si="52"/>
        <v>#DIV/0!</v>
      </c>
      <c r="AL63" s="183" t="e">
        <f t="shared" si="53"/>
        <v>#DIV/0!</v>
      </c>
      <c r="AM63" s="183" t="e">
        <f t="shared" si="53"/>
        <v>#DIV/0!</v>
      </c>
      <c r="AN63" s="160" t="e">
        <f t="shared" si="53"/>
        <v>#DIV/0!</v>
      </c>
      <c r="AO63" s="72"/>
      <c r="AP63" s="72"/>
      <c r="AQ63" s="72"/>
      <c r="AR63" s="72"/>
      <c r="AS63" s="72"/>
      <c r="AT63" s="72"/>
      <c r="AU63" s="72"/>
      <c r="AV63" s="72"/>
      <c r="AW63" s="72"/>
      <c r="AX63" s="72"/>
      <c r="AY63" s="72"/>
      <c r="AZ63" s="72"/>
      <c r="BA63" s="72"/>
      <c r="BB63" s="72"/>
    </row>
    <row r="64" spans="2:54">
      <c r="B64" s="165" t="str">
        <f t="shared" si="54"/>
        <v>PLGUM 011</v>
      </c>
      <c r="C64" s="155"/>
      <c r="D64" s="232" t="s">
        <v>99</v>
      </c>
      <c r="E64" s="167"/>
      <c r="F64" s="399">
        <v>16.399999999999999</v>
      </c>
      <c r="G64" s="169"/>
      <c r="H64" s="169"/>
      <c r="I64" s="169"/>
      <c r="J64" s="171"/>
      <c r="K64" s="650">
        <v>48238</v>
      </c>
      <c r="L64" s="215"/>
      <c r="M64" s="173"/>
      <c r="N64" s="173"/>
      <c r="O64" s="184"/>
      <c r="P64" s="208"/>
      <c r="Q64" s="176"/>
      <c r="R64" s="176"/>
      <c r="S64" s="176"/>
      <c r="T64" s="176"/>
      <c r="U64" s="216">
        <v>6.5133379199999997</v>
      </c>
      <c r="V64" s="177">
        <f t="shared" si="55"/>
        <v>6.5133379199999997</v>
      </c>
      <c r="W64" s="179"/>
      <c r="X64" s="179"/>
      <c r="Y64" s="179"/>
      <c r="Z64" s="177">
        <f t="shared" si="56"/>
        <v>0</v>
      </c>
      <c r="AA64" s="180">
        <f t="shared" si="57"/>
        <v>6.5133379199999997</v>
      </c>
      <c r="AB64" s="73">
        <f t="shared" si="46"/>
        <v>1.80724895384622</v>
      </c>
      <c r="AC64" s="73">
        <f t="shared" si="47"/>
        <v>0.76659700882678827</v>
      </c>
      <c r="AD64" s="73">
        <f t="shared" si="48"/>
        <v>9.3971999999999986E-2</v>
      </c>
      <c r="AE64" s="73">
        <f t="shared" si="49"/>
        <v>0.1915192</v>
      </c>
      <c r="AF64" s="182">
        <f t="shared" si="50"/>
        <v>1.4087599999999996E-3</v>
      </c>
      <c r="AG64" s="162">
        <f t="shared" si="51"/>
        <v>9.3740838426730075</v>
      </c>
      <c r="AH64" s="183">
        <f t="shared" si="38"/>
        <v>39.715475121951222</v>
      </c>
      <c r="AI64" s="183">
        <f t="shared" si="38"/>
        <v>11.019810694184269</v>
      </c>
      <c r="AJ64" s="183">
        <f t="shared" si="38"/>
        <v>4.6743720050413922</v>
      </c>
      <c r="AK64" s="160">
        <f t="shared" si="52"/>
        <v>57.159047821176877</v>
      </c>
      <c r="AL64" s="183">
        <f t="shared" si="53"/>
        <v>1.1678000000000002</v>
      </c>
      <c r="AM64" s="183">
        <f t="shared" si="53"/>
        <v>8.5899999999999987E-3</v>
      </c>
      <c r="AN64" s="160">
        <f t="shared" si="53"/>
        <v>57.159047821176877</v>
      </c>
      <c r="AO64" s="72"/>
      <c r="AP64" s="72"/>
      <c r="AQ64" s="72"/>
      <c r="AR64" s="72"/>
      <c r="AS64" s="72"/>
      <c r="AT64" s="72"/>
      <c r="AU64" s="72"/>
      <c r="AV64" s="72"/>
      <c r="AW64" s="72"/>
      <c r="AX64" s="72"/>
      <c r="AY64" s="72"/>
      <c r="AZ64" s="72"/>
      <c r="BA64" s="72"/>
      <c r="BB64" s="72"/>
    </row>
    <row r="65" spans="2:55">
      <c r="B65" s="165" t="str">
        <f t="shared" si="54"/>
        <v>PLGUM 012</v>
      </c>
      <c r="C65" s="155"/>
      <c r="D65" s="232" t="s">
        <v>100</v>
      </c>
      <c r="E65" s="167"/>
      <c r="F65" s="399">
        <v>105.9</v>
      </c>
      <c r="G65" s="169"/>
      <c r="H65" s="169"/>
      <c r="I65" s="169"/>
      <c r="J65" s="171"/>
      <c r="K65" s="650">
        <v>239243</v>
      </c>
      <c r="L65" s="215"/>
      <c r="M65" s="173"/>
      <c r="N65" s="173"/>
      <c r="O65" s="184"/>
      <c r="P65" s="208"/>
      <c r="Q65" s="176"/>
      <c r="R65" s="176"/>
      <c r="S65" s="176"/>
      <c r="T65" s="176"/>
      <c r="U65" s="216">
        <v>32.632251599999996</v>
      </c>
      <c r="V65" s="177">
        <f t="shared" si="55"/>
        <v>32.632251599999996</v>
      </c>
      <c r="W65" s="179"/>
      <c r="X65" s="179"/>
      <c r="Y65" s="179"/>
      <c r="Z65" s="177">
        <f t="shared" si="56"/>
        <v>0</v>
      </c>
      <c r="AA65" s="180">
        <f t="shared" si="57"/>
        <v>32.632251599999996</v>
      </c>
      <c r="AB65" s="73">
        <f t="shared" si="46"/>
        <v>11.669979525141141</v>
      </c>
      <c r="AC65" s="73">
        <f t="shared" si="47"/>
        <v>4.9501599533388347</v>
      </c>
      <c r="AD65" s="73">
        <f t="shared" si="48"/>
        <v>0.60680699999999999</v>
      </c>
      <c r="AE65" s="73">
        <f t="shared" si="49"/>
        <v>1.2367002000000002</v>
      </c>
      <c r="AF65" s="182">
        <f t="shared" si="50"/>
        <v>9.0968099999999986E-3</v>
      </c>
      <c r="AG65" s="162">
        <f t="shared" si="51"/>
        <v>51.104995088479974</v>
      </c>
      <c r="AH65" s="183">
        <f t="shared" si="38"/>
        <v>30.814213031161469</v>
      </c>
      <c r="AI65" s="183">
        <f t="shared" si="38"/>
        <v>11.019810694184269</v>
      </c>
      <c r="AJ65" s="183">
        <f t="shared" si="38"/>
        <v>4.6743720050413922</v>
      </c>
      <c r="AK65" s="160">
        <f t="shared" si="52"/>
        <v>48.257785730387134</v>
      </c>
      <c r="AL65" s="183">
        <f t="shared" si="53"/>
        <v>1.1678000000000002</v>
      </c>
      <c r="AM65" s="183">
        <f t="shared" si="53"/>
        <v>8.5899999999999987E-3</v>
      </c>
      <c r="AN65" s="160">
        <f t="shared" si="53"/>
        <v>48.257785730387134</v>
      </c>
      <c r="AO65" s="72"/>
      <c r="AP65" s="72"/>
      <c r="AQ65" s="72"/>
      <c r="AR65" s="72"/>
      <c r="AS65" s="72"/>
      <c r="AT65" s="72"/>
      <c r="AU65" s="72"/>
      <c r="AV65" s="72"/>
      <c r="AW65" s="72"/>
      <c r="AX65" s="72"/>
      <c r="AY65" s="72"/>
      <c r="AZ65" s="72"/>
      <c r="BA65" s="72"/>
      <c r="BB65" s="72"/>
    </row>
    <row r="66" spans="2:55">
      <c r="B66" s="165" t="str">
        <f t="shared" si="54"/>
        <v>PLGUM 013</v>
      </c>
      <c r="C66" s="155"/>
      <c r="D66" s="232" t="s">
        <v>101</v>
      </c>
      <c r="E66" s="167"/>
      <c r="F66" s="399">
        <v>0.4</v>
      </c>
      <c r="G66" s="169"/>
      <c r="H66" s="169"/>
      <c r="I66" s="169"/>
      <c r="J66" s="171"/>
      <c r="K66" s="400">
        <v>736</v>
      </c>
      <c r="L66" s="215"/>
      <c r="M66" s="173"/>
      <c r="N66" s="173"/>
      <c r="O66" s="184"/>
      <c r="P66" s="208"/>
      <c r="Q66" s="176"/>
      <c r="R66" s="176"/>
      <c r="S66" s="176"/>
      <c r="T66" s="176"/>
      <c r="U66" s="216">
        <v>9.6180480000000013E-2</v>
      </c>
      <c r="V66" s="177">
        <f t="shared" si="55"/>
        <v>9.6180480000000013E-2</v>
      </c>
      <c r="W66" s="179"/>
      <c r="X66" s="179"/>
      <c r="Y66" s="179"/>
      <c r="Z66" s="177">
        <f t="shared" si="56"/>
        <v>0</v>
      </c>
      <c r="AA66" s="180">
        <f t="shared" si="57"/>
        <v>9.6180480000000013E-2</v>
      </c>
      <c r="AB66" s="73">
        <f t="shared" si="46"/>
        <v>4.4079242776737082E-2</v>
      </c>
      <c r="AC66" s="73">
        <f t="shared" si="47"/>
        <v>1.8697488020165572E-2</v>
      </c>
      <c r="AD66" s="73">
        <f t="shared" si="48"/>
        <v>2.2920000000000002E-3</v>
      </c>
      <c r="AE66" s="73">
        <f t="shared" si="49"/>
        <v>4.6712000000000004E-3</v>
      </c>
      <c r="AF66" s="182">
        <f t="shared" si="50"/>
        <v>3.4359999999999996E-5</v>
      </c>
      <c r="AG66" s="162">
        <f t="shared" si="51"/>
        <v>0.16595477079690268</v>
      </c>
      <c r="AH66" s="183">
        <f t="shared" si="38"/>
        <v>24.045120000000004</v>
      </c>
      <c r="AI66" s="183">
        <f t="shared" si="38"/>
        <v>11.019810694184271</v>
      </c>
      <c r="AJ66" s="183">
        <f t="shared" si="38"/>
        <v>4.6743720050413922</v>
      </c>
      <c r="AK66" s="160">
        <f t="shared" si="52"/>
        <v>41.488692699225673</v>
      </c>
      <c r="AL66" s="183">
        <f t="shared" si="53"/>
        <v>1.1678000000000002</v>
      </c>
      <c r="AM66" s="183">
        <f t="shared" si="53"/>
        <v>8.5899999999999987E-3</v>
      </c>
      <c r="AN66" s="160">
        <f t="shared" si="53"/>
        <v>41.488692699225673</v>
      </c>
      <c r="AO66" s="72"/>
      <c r="AP66" s="72"/>
      <c r="AQ66" s="72"/>
      <c r="AR66" s="72"/>
      <c r="AS66" s="72"/>
      <c r="AT66" s="72"/>
      <c r="AU66" s="72"/>
      <c r="AV66" s="72"/>
      <c r="AW66" s="72"/>
      <c r="AX66" s="72"/>
      <c r="AY66" s="72"/>
      <c r="AZ66" s="72"/>
      <c r="BA66" s="72"/>
      <c r="BB66" s="72"/>
    </row>
    <row r="67" spans="2:55">
      <c r="B67" s="165" t="str">
        <f t="shared" si="54"/>
        <v>PLGUM 014</v>
      </c>
      <c r="C67" s="155"/>
      <c r="D67" s="232" t="s">
        <v>102</v>
      </c>
      <c r="E67" s="167"/>
      <c r="F67" s="399">
        <v>32</v>
      </c>
      <c r="G67" s="169"/>
      <c r="H67" s="169"/>
      <c r="I67" s="169"/>
      <c r="J67" s="171"/>
      <c r="K67" s="400">
        <v>36502</v>
      </c>
      <c r="L67" s="215"/>
      <c r="M67" s="173"/>
      <c r="N67" s="173"/>
      <c r="O67" s="184"/>
      <c r="P67" s="208"/>
      <c r="Q67" s="176"/>
      <c r="R67" s="176"/>
      <c r="S67" s="176"/>
      <c r="T67" s="176"/>
      <c r="U67" s="216">
        <v>5.9109455999999998</v>
      </c>
      <c r="V67" s="177">
        <f t="shared" si="55"/>
        <v>5.9109455999999998</v>
      </c>
      <c r="W67" s="179"/>
      <c r="X67" s="179"/>
      <c r="Y67" s="179"/>
      <c r="Z67" s="177">
        <f t="shared" si="56"/>
        <v>0</v>
      </c>
      <c r="AA67" s="180">
        <f t="shared" si="57"/>
        <v>5.9109455999999998</v>
      </c>
      <c r="AB67" s="73">
        <f t="shared" si="46"/>
        <v>3.5263394221389661</v>
      </c>
      <c r="AC67" s="73">
        <f t="shared" si="47"/>
        <v>1.4957990416132456</v>
      </c>
      <c r="AD67" s="73">
        <f t="shared" si="48"/>
        <v>0.18336</v>
      </c>
      <c r="AE67" s="73">
        <f t="shared" si="49"/>
        <v>0.37369600000000003</v>
      </c>
      <c r="AF67" s="182">
        <f t="shared" si="50"/>
        <v>2.7487999999999996E-3</v>
      </c>
      <c r="AG67" s="162">
        <f t="shared" si="51"/>
        <v>11.492888863752212</v>
      </c>
      <c r="AH67" s="183">
        <f t="shared" si="38"/>
        <v>18.471705</v>
      </c>
      <c r="AI67" s="183">
        <f t="shared" si="38"/>
        <v>11.019810694184269</v>
      </c>
      <c r="AJ67" s="183">
        <f t="shared" si="38"/>
        <v>4.6743720050413922</v>
      </c>
      <c r="AK67" s="160">
        <f t="shared" si="52"/>
        <v>35.915277699225662</v>
      </c>
      <c r="AL67" s="183">
        <f t="shared" si="53"/>
        <v>1.1678000000000002</v>
      </c>
      <c r="AM67" s="183">
        <f t="shared" si="53"/>
        <v>8.5899999999999987E-3</v>
      </c>
      <c r="AN67" s="160">
        <f t="shared" si="53"/>
        <v>35.915277699225662</v>
      </c>
      <c r="AO67" s="72"/>
      <c r="AP67" s="72"/>
      <c r="AQ67" s="72"/>
      <c r="AR67" s="72"/>
      <c r="AS67" s="72"/>
      <c r="AT67" s="72"/>
      <c r="AU67" s="72"/>
      <c r="AV67" s="72"/>
      <c r="AW67" s="72"/>
      <c r="AX67" s="72"/>
      <c r="AY67" s="72"/>
      <c r="AZ67" s="72"/>
      <c r="BA67" s="72"/>
      <c r="BB67" s="72"/>
    </row>
    <row r="68" spans="2:55">
      <c r="B68" s="165" t="str">
        <f t="shared" si="54"/>
        <v>PLGUM 015</v>
      </c>
      <c r="C68" s="155"/>
      <c r="D68" s="232" t="s">
        <v>106</v>
      </c>
      <c r="E68" s="167"/>
      <c r="F68" s="399">
        <v>0.2</v>
      </c>
      <c r="G68" s="169"/>
      <c r="H68" s="169"/>
      <c r="I68" s="169"/>
      <c r="J68" s="171"/>
      <c r="K68" s="400">
        <v>139</v>
      </c>
      <c r="L68" s="215"/>
      <c r="M68" s="173"/>
      <c r="N68" s="173"/>
      <c r="O68" s="184"/>
      <c r="P68" s="208"/>
      <c r="Q68" s="176"/>
      <c r="R68" s="176"/>
      <c r="S68" s="176"/>
      <c r="T68" s="176"/>
      <c r="U68" s="216">
        <v>1.5465600000000001E-2</v>
      </c>
      <c r="V68" s="177">
        <f t="shared" si="55"/>
        <v>1.5465600000000001E-2</v>
      </c>
      <c r="W68" s="179"/>
      <c r="X68" s="179"/>
      <c r="Y68" s="179"/>
      <c r="Z68" s="177">
        <f t="shared" si="56"/>
        <v>0</v>
      </c>
      <c r="AA68" s="180">
        <f t="shared" si="57"/>
        <v>1.5465600000000001E-2</v>
      </c>
      <c r="AB68" s="73">
        <f t="shared" si="46"/>
        <v>2.2039621388368541E-2</v>
      </c>
      <c r="AC68" s="73">
        <f t="shared" si="47"/>
        <v>9.3487440100827861E-3</v>
      </c>
      <c r="AD68" s="73">
        <f t="shared" si="48"/>
        <v>1.1460000000000001E-3</v>
      </c>
      <c r="AE68" s="73">
        <f t="shared" si="49"/>
        <v>2.3356000000000002E-3</v>
      </c>
      <c r="AF68" s="182">
        <f t="shared" si="50"/>
        <v>1.7179999999999998E-5</v>
      </c>
      <c r="AG68" s="162">
        <f t="shared" si="51"/>
        <v>5.0352745398451332E-2</v>
      </c>
      <c r="AH68" s="183">
        <f t="shared" si="38"/>
        <v>7.732800000000001</v>
      </c>
      <c r="AI68" s="183">
        <f t="shared" si="38"/>
        <v>11.019810694184271</v>
      </c>
      <c r="AJ68" s="183">
        <f t="shared" si="38"/>
        <v>4.6743720050413922</v>
      </c>
      <c r="AK68" s="160">
        <f t="shared" si="52"/>
        <v>25.176372699225663</v>
      </c>
      <c r="AL68" s="183">
        <f t="shared" si="53"/>
        <v>1.1678000000000002</v>
      </c>
      <c r="AM68" s="183">
        <f t="shared" si="53"/>
        <v>8.5899999999999987E-3</v>
      </c>
      <c r="AN68" s="160">
        <f t="shared" si="53"/>
        <v>25.176372699225663</v>
      </c>
      <c r="AO68" s="72"/>
      <c r="AP68" s="72"/>
      <c r="AQ68" s="72"/>
      <c r="AR68" s="72"/>
      <c r="AS68" s="72"/>
      <c r="AT68" s="72"/>
      <c r="AU68" s="72"/>
      <c r="AV68" s="72"/>
      <c r="AW68" s="72"/>
      <c r="AX68" s="72"/>
      <c r="AY68" s="72"/>
      <c r="AZ68" s="72"/>
      <c r="BA68" s="72"/>
      <c r="BB68" s="72"/>
    </row>
    <row r="69" spans="2:55">
      <c r="B69" s="165" t="str">
        <f t="shared" si="54"/>
        <v>PLGUM 020</v>
      </c>
      <c r="C69" s="155"/>
      <c r="D69" s="232" t="s">
        <v>109</v>
      </c>
      <c r="E69" s="167"/>
      <c r="F69" s="399">
        <v>0.3</v>
      </c>
      <c r="G69" s="169"/>
      <c r="H69" s="169"/>
      <c r="I69" s="169"/>
      <c r="J69" s="171"/>
      <c r="K69" s="650">
        <v>0</v>
      </c>
      <c r="L69" s="215"/>
      <c r="M69" s="173"/>
      <c r="N69" s="173"/>
      <c r="O69" s="184"/>
      <c r="P69" s="208"/>
      <c r="Q69" s="176"/>
      <c r="R69" s="176"/>
      <c r="S69" s="176"/>
      <c r="T69" s="176"/>
      <c r="U69" s="216">
        <v>5.1053040000000001E-2</v>
      </c>
      <c r="V69" s="177">
        <f t="shared" si="55"/>
        <v>5.1053040000000001E-2</v>
      </c>
      <c r="W69" s="179"/>
      <c r="X69" s="179"/>
      <c r="Y69" s="179"/>
      <c r="Z69" s="177">
        <f t="shared" si="56"/>
        <v>0</v>
      </c>
      <c r="AA69" s="180">
        <f t="shared" si="57"/>
        <v>5.1053040000000001E-2</v>
      </c>
      <c r="AB69" s="73">
        <f t="shared" si="46"/>
        <v>3.3059432082552805E-2</v>
      </c>
      <c r="AC69" s="73">
        <f t="shared" si="47"/>
        <v>1.4023116015124177E-2</v>
      </c>
      <c r="AD69" s="73">
        <f t="shared" si="48"/>
        <v>1.7189999999999998E-3</v>
      </c>
      <c r="AE69" s="73">
        <f t="shared" si="49"/>
        <v>3.5034000000000003E-3</v>
      </c>
      <c r="AF69" s="182">
        <f t="shared" si="50"/>
        <v>2.5769999999999996E-5</v>
      </c>
      <c r="AG69" s="162">
        <f t="shared" si="51"/>
        <v>0.10338375809767698</v>
      </c>
      <c r="AH69" s="183">
        <f t="shared" si="38"/>
        <v>17.017680000000002</v>
      </c>
      <c r="AI69" s="183">
        <f t="shared" si="38"/>
        <v>11.019810694184269</v>
      </c>
      <c r="AJ69" s="183">
        <f t="shared" si="38"/>
        <v>4.6743720050413922</v>
      </c>
      <c r="AK69" s="160">
        <f t="shared" si="52"/>
        <v>34.461252699225668</v>
      </c>
      <c r="AL69" s="183">
        <f t="shared" si="53"/>
        <v>1.1678000000000002</v>
      </c>
      <c r="AM69" s="183">
        <f t="shared" si="53"/>
        <v>8.5899999999999987E-3</v>
      </c>
      <c r="AN69" s="160">
        <f t="shared" si="53"/>
        <v>34.461252699225668</v>
      </c>
      <c r="AO69" s="72"/>
      <c r="AP69" s="72"/>
      <c r="AQ69" s="72"/>
      <c r="AR69" s="72"/>
      <c r="AS69" s="72"/>
      <c r="AT69" s="72"/>
      <c r="AU69" s="72"/>
      <c r="AV69" s="72"/>
      <c r="AW69" s="72"/>
      <c r="AX69" s="72"/>
      <c r="AY69" s="72"/>
      <c r="AZ69" s="72"/>
      <c r="BA69" s="72"/>
      <c r="BB69" s="72"/>
    </row>
    <row r="70" spans="2:55">
      <c r="B70" s="165" t="str">
        <f t="shared" si="54"/>
        <v>PLGUM 021</v>
      </c>
      <c r="C70" s="155"/>
      <c r="D70" s="232" t="s">
        <v>111</v>
      </c>
      <c r="E70" s="167"/>
      <c r="F70" s="399">
        <v>18.3</v>
      </c>
      <c r="G70" s="169"/>
      <c r="H70" s="169"/>
      <c r="I70" s="169"/>
      <c r="J70" s="171"/>
      <c r="K70" s="650">
        <v>4275</v>
      </c>
      <c r="L70" s="215"/>
      <c r="M70" s="173"/>
      <c r="N70" s="173"/>
      <c r="O70" s="184"/>
      <c r="P70" s="208"/>
      <c r="Q70" s="176"/>
      <c r="R70" s="176"/>
      <c r="S70" s="176"/>
      <c r="T70" s="176"/>
      <c r="U70" s="216">
        <v>2.4256713599999999</v>
      </c>
      <c r="V70" s="177">
        <f t="shared" si="55"/>
        <v>2.4256713599999999</v>
      </c>
      <c r="W70" s="179"/>
      <c r="X70" s="179"/>
      <c r="Y70" s="179"/>
      <c r="Z70" s="177">
        <f t="shared" si="56"/>
        <v>0</v>
      </c>
      <c r="AA70" s="180">
        <f t="shared" si="57"/>
        <v>2.4256713599999999</v>
      </c>
      <c r="AB70" s="73">
        <f t="shared" si="46"/>
        <v>2.0166253570357213</v>
      </c>
      <c r="AC70" s="73">
        <f t="shared" si="47"/>
        <v>0.85541007692257487</v>
      </c>
      <c r="AD70" s="73">
        <f t="shared" si="48"/>
        <v>0.10485900000000001</v>
      </c>
      <c r="AE70" s="73">
        <f t="shared" si="49"/>
        <v>0.21370740000000002</v>
      </c>
      <c r="AF70" s="182">
        <f t="shared" si="50"/>
        <v>1.5719699999999998E-3</v>
      </c>
      <c r="AG70" s="162">
        <f t="shared" si="51"/>
        <v>5.6178451639582958</v>
      </c>
      <c r="AH70" s="183">
        <f t="shared" si="38"/>
        <v>13.255034754098361</v>
      </c>
      <c r="AI70" s="183">
        <f t="shared" si="38"/>
        <v>11.019810694184269</v>
      </c>
      <c r="AJ70" s="183">
        <f t="shared" si="38"/>
        <v>4.6743720050413922</v>
      </c>
      <c r="AK70" s="160">
        <f t="shared" si="52"/>
        <v>30.698607453324016</v>
      </c>
      <c r="AL70" s="183">
        <f t="shared" si="53"/>
        <v>1.1678000000000002</v>
      </c>
      <c r="AM70" s="183">
        <f t="shared" si="53"/>
        <v>8.5899999999999987E-3</v>
      </c>
      <c r="AN70" s="160">
        <f t="shared" si="53"/>
        <v>30.698607453324016</v>
      </c>
      <c r="AO70" s="72"/>
      <c r="AP70" s="72"/>
      <c r="AQ70" s="72"/>
      <c r="AR70" s="72"/>
      <c r="AS70" s="72"/>
      <c r="AT70" s="72"/>
      <c r="AU70" s="72"/>
      <c r="AV70" s="72"/>
      <c r="AW70" s="72"/>
      <c r="AX70" s="72"/>
      <c r="AY70" s="72"/>
      <c r="AZ70" s="72"/>
      <c r="BA70" s="72"/>
      <c r="BB70" s="72"/>
    </row>
    <row r="71" spans="2:55">
      <c r="B71" s="165" t="str">
        <f t="shared" si="54"/>
        <v>PLGUM 022</v>
      </c>
      <c r="C71" s="155"/>
      <c r="D71" s="232" t="s">
        <v>113</v>
      </c>
      <c r="E71" s="167"/>
      <c r="F71" s="399">
        <v>3.4</v>
      </c>
      <c r="G71" s="169"/>
      <c r="H71" s="169"/>
      <c r="I71" s="169"/>
      <c r="J71" s="171"/>
      <c r="K71" s="650">
        <v>1380</v>
      </c>
      <c r="L71" s="215"/>
      <c r="M71" s="173"/>
      <c r="N71" s="173"/>
      <c r="O71" s="184"/>
      <c r="P71" s="208"/>
      <c r="Q71" s="176"/>
      <c r="R71" s="176"/>
      <c r="S71" s="176"/>
      <c r="T71" s="176"/>
      <c r="U71" s="216">
        <v>0.54390959999999999</v>
      </c>
      <c r="V71" s="177">
        <f t="shared" si="55"/>
        <v>0.54390959999999999</v>
      </c>
      <c r="W71" s="179"/>
      <c r="X71" s="179"/>
      <c r="Y71" s="179"/>
      <c r="Z71" s="177">
        <f t="shared" si="56"/>
        <v>0</v>
      </c>
      <c r="AA71" s="180">
        <f t="shared" si="57"/>
        <v>0.54390959999999999</v>
      </c>
      <c r="AB71" s="73">
        <f t="shared" si="46"/>
        <v>0.37467356360226511</v>
      </c>
      <c r="AC71" s="73">
        <f t="shared" si="47"/>
        <v>0.15892864817140734</v>
      </c>
      <c r="AD71" s="73">
        <f t="shared" si="48"/>
        <v>1.9481999999999999E-2</v>
      </c>
      <c r="AE71" s="73">
        <f t="shared" si="49"/>
        <v>3.9705200000000003E-2</v>
      </c>
      <c r="AF71" s="182">
        <f t="shared" si="50"/>
        <v>2.9205999999999997E-4</v>
      </c>
      <c r="AG71" s="162">
        <f t="shared" si="51"/>
        <v>1.1369910717736724</v>
      </c>
      <c r="AH71" s="183">
        <f t="shared" si="38"/>
        <v>15.99734117647059</v>
      </c>
      <c r="AI71" s="183">
        <f t="shared" si="38"/>
        <v>11.019810694184267</v>
      </c>
      <c r="AJ71" s="183">
        <f t="shared" si="38"/>
        <v>4.6743720050413922</v>
      </c>
      <c r="AK71" s="160">
        <f t="shared" si="52"/>
        <v>33.440913875696246</v>
      </c>
      <c r="AL71" s="183">
        <f t="shared" si="53"/>
        <v>1.1678000000000002</v>
      </c>
      <c r="AM71" s="183">
        <f t="shared" si="53"/>
        <v>8.5899999999999987E-3</v>
      </c>
      <c r="AN71" s="160">
        <f t="shared" si="53"/>
        <v>33.440913875696246</v>
      </c>
      <c r="AO71" s="72"/>
      <c r="AP71" s="72"/>
      <c r="AQ71" s="72"/>
      <c r="AR71" s="72"/>
      <c r="AS71" s="72"/>
      <c r="AT71" s="72"/>
      <c r="AU71" s="72"/>
      <c r="AV71" s="72"/>
      <c r="AW71" s="72"/>
      <c r="AX71" s="72"/>
      <c r="AY71" s="72"/>
      <c r="AZ71" s="72"/>
      <c r="BA71" s="72"/>
      <c r="BB71" s="72"/>
    </row>
    <row r="72" spans="2:55">
      <c r="B72" s="165" t="str">
        <f t="shared" si="54"/>
        <v>PLGUM 023</v>
      </c>
      <c r="C72" s="155"/>
      <c r="D72" s="232" t="s">
        <v>115</v>
      </c>
      <c r="E72" s="167"/>
      <c r="F72" s="399">
        <v>3.5</v>
      </c>
      <c r="G72" s="169"/>
      <c r="H72" s="169"/>
      <c r="I72" s="169"/>
      <c r="J72" s="171"/>
      <c r="K72" s="650">
        <v>523</v>
      </c>
      <c r="L72" s="215"/>
      <c r="M72" s="173"/>
      <c r="N72" s="173"/>
      <c r="O72" s="184"/>
      <c r="P72" s="208"/>
      <c r="Q72" s="176"/>
      <c r="R72" s="176"/>
      <c r="S72" s="176"/>
      <c r="T72" s="176"/>
      <c r="U72" s="216">
        <v>0.74772828000000002</v>
      </c>
      <c r="V72" s="177">
        <f t="shared" si="55"/>
        <v>0.74772828000000002</v>
      </c>
      <c r="W72" s="179"/>
      <c r="X72" s="179"/>
      <c r="Y72" s="179"/>
      <c r="Z72" s="177">
        <f t="shared" si="56"/>
        <v>0</v>
      </c>
      <c r="AA72" s="180">
        <f t="shared" si="57"/>
        <v>0.74772828000000002</v>
      </c>
      <c r="AB72" s="73">
        <f t="shared" si="46"/>
        <v>0.3856933742964494</v>
      </c>
      <c r="AC72" s="73">
        <f t="shared" si="47"/>
        <v>0.16360302017644873</v>
      </c>
      <c r="AD72" s="73">
        <f t="shared" si="48"/>
        <v>2.0055E-2</v>
      </c>
      <c r="AE72" s="73">
        <f t="shared" si="49"/>
        <v>4.0873000000000007E-2</v>
      </c>
      <c r="AF72" s="182">
        <f t="shared" si="50"/>
        <v>3.0064999999999996E-4</v>
      </c>
      <c r="AG72" s="162">
        <f t="shared" si="51"/>
        <v>1.358253324472898</v>
      </c>
      <c r="AH72" s="183">
        <f t="shared" si="38"/>
        <v>21.363665142857144</v>
      </c>
      <c r="AI72" s="183">
        <f t="shared" si="38"/>
        <v>11.019810694184269</v>
      </c>
      <c r="AJ72" s="183">
        <f t="shared" si="38"/>
        <v>4.6743720050413922</v>
      </c>
      <c r="AK72" s="160">
        <f t="shared" si="52"/>
        <v>38.807237842082806</v>
      </c>
      <c r="AL72" s="183">
        <f t="shared" si="53"/>
        <v>1.1678000000000002</v>
      </c>
      <c r="AM72" s="183">
        <f t="shared" si="53"/>
        <v>8.5899999999999987E-3</v>
      </c>
      <c r="AN72" s="160">
        <f t="shared" si="53"/>
        <v>38.807237842082806</v>
      </c>
      <c r="AO72" s="72"/>
      <c r="AP72" s="72"/>
      <c r="AQ72" s="72"/>
      <c r="AR72" s="72"/>
      <c r="AS72" s="72"/>
      <c r="AT72" s="72"/>
      <c r="AU72" s="72"/>
      <c r="AV72" s="72"/>
      <c r="AW72" s="72"/>
      <c r="AX72" s="72"/>
      <c r="AY72" s="72"/>
      <c r="AZ72" s="72"/>
      <c r="BA72" s="72"/>
      <c r="BB72" s="72"/>
    </row>
    <row r="73" spans="2:55">
      <c r="B73" s="165" t="str">
        <f t="shared" si="54"/>
        <v>PLGUM 024</v>
      </c>
      <c r="C73" s="155"/>
      <c r="D73" s="232" t="s">
        <v>117</v>
      </c>
      <c r="E73" s="167"/>
      <c r="F73" s="399">
        <v>0</v>
      </c>
      <c r="G73" s="169"/>
      <c r="H73" s="169"/>
      <c r="I73" s="169"/>
      <c r="J73" s="171"/>
      <c r="K73" s="400">
        <v>4</v>
      </c>
      <c r="L73" s="215"/>
      <c r="M73" s="173"/>
      <c r="N73" s="173"/>
      <c r="O73" s="184"/>
      <c r="P73" s="208"/>
      <c r="Q73" s="176"/>
      <c r="R73" s="176"/>
      <c r="S73" s="176"/>
      <c r="T73" s="176"/>
      <c r="U73" s="216">
        <v>1.20144E-3</v>
      </c>
      <c r="V73" s="177">
        <f t="shared" si="55"/>
        <v>1.20144E-3</v>
      </c>
      <c r="W73" s="179"/>
      <c r="X73" s="179"/>
      <c r="Y73" s="179"/>
      <c r="Z73" s="177">
        <f t="shared" si="56"/>
        <v>0</v>
      </c>
      <c r="AA73" s="180">
        <f t="shared" si="57"/>
        <v>1.20144E-3</v>
      </c>
      <c r="AB73" s="73">
        <f t="shared" si="46"/>
        <v>0</v>
      </c>
      <c r="AC73" s="73">
        <f t="shared" si="47"/>
        <v>0</v>
      </c>
      <c r="AD73" s="73">
        <f t="shared" si="48"/>
        <v>0</v>
      </c>
      <c r="AE73" s="73">
        <f t="shared" si="49"/>
        <v>0</v>
      </c>
      <c r="AF73" s="182">
        <f t="shared" si="50"/>
        <v>0</v>
      </c>
      <c r="AG73" s="162">
        <f t="shared" si="51"/>
        <v>1.20144E-3</v>
      </c>
      <c r="AH73" s="183" t="e">
        <f t="shared" si="38"/>
        <v>#DIV/0!</v>
      </c>
      <c r="AI73" s="183" t="e">
        <f t="shared" si="38"/>
        <v>#DIV/0!</v>
      </c>
      <c r="AJ73" s="183" t="e">
        <f t="shared" si="38"/>
        <v>#DIV/0!</v>
      </c>
      <c r="AK73" s="160" t="e">
        <f t="shared" si="52"/>
        <v>#DIV/0!</v>
      </c>
      <c r="AL73" s="183" t="e">
        <f t="shared" si="53"/>
        <v>#DIV/0!</v>
      </c>
      <c r="AM73" s="183" t="e">
        <f t="shared" si="53"/>
        <v>#DIV/0!</v>
      </c>
      <c r="AN73" s="160" t="e">
        <f t="shared" si="53"/>
        <v>#DIV/0!</v>
      </c>
      <c r="AO73" s="72"/>
      <c r="AP73" s="72"/>
      <c r="AQ73" s="72"/>
      <c r="AR73" s="72"/>
      <c r="AS73" s="72"/>
      <c r="AT73" s="72"/>
      <c r="AU73" s="72"/>
      <c r="AV73" s="72"/>
      <c r="AW73" s="72"/>
      <c r="AX73" s="72"/>
      <c r="AY73" s="72"/>
      <c r="AZ73" s="72"/>
      <c r="BA73" s="72"/>
      <c r="BB73" s="72"/>
    </row>
    <row r="74" spans="2:55">
      <c r="B74" s="165" t="str">
        <f t="shared" si="54"/>
        <v>PLGUM 025</v>
      </c>
      <c r="C74" s="155"/>
      <c r="D74" s="232" t="s">
        <v>121</v>
      </c>
      <c r="E74" s="167"/>
      <c r="F74" s="399">
        <v>4.2</v>
      </c>
      <c r="G74" s="169"/>
      <c r="H74" s="169"/>
      <c r="I74" s="169"/>
      <c r="J74" s="171"/>
      <c r="K74" s="650">
        <v>2860</v>
      </c>
      <c r="L74" s="215"/>
      <c r="M74" s="173"/>
      <c r="N74" s="173"/>
      <c r="O74" s="184"/>
      <c r="P74" s="208"/>
      <c r="Q74" s="176"/>
      <c r="R74" s="176"/>
      <c r="S74" s="176"/>
      <c r="T74" s="176"/>
      <c r="U74" s="216">
        <v>0.49931039999999999</v>
      </c>
      <c r="V74" s="177">
        <f t="shared" si="55"/>
        <v>0.49931039999999999</v>
      </c>
      <c r="W74" s="179"/>
      <c r="X74" s="179"/>
      <c r="Y74" s="179"/>
      <c r="Z74" s="177">
        <f t="shared" si="56"/>
        <v>0</v>
      </c>
      <c r="AA74" s="180">
        <f t="shared" si="57"/>
        <v>0.49931039999999999</v>
      </c>
      <c r="AB74" s="73">
        <f t="shared" si="46"/>
        <v>0.46283204915573933</v>
      </c>
      <c r="AC74" s="73">
        <f t="shared" si="47"/>
        <v>0.19632362421173849</v>
      </c>
      <c r="AD74" s="73">
        <f t="shared" si="48"/>
        <v>2.4066000000000001E-2</v>
      </c>
      <c r="AE74" s="73">
        <f t="shared" si="49"/>
        <v>4.9047600000000004E-2</v>
      </c>
      <c r="AF74" s="182">
        <f t="shared" si="50"/>
        <v>3.6077999999999994E-4</v>
      </c>
      <c r="AG74" s="162">
        <f t="shared" si="51"/>
        <v>1.2319404533674778</v>
      </c>
      <c r="AH74" s="183">
        <f t="shared" si="38"/>
        <v>11.888342857142856</v>
      </c>
      <c r="AI74" s="183">
        <f t="shared" si="38"/>
        <v>11.019810694184269</v>
      </c>
      <c r="AJ74" s="183">
        <f t="shared" si="38"/>
        <v>4.6743720050413922</v>
      </c>
      <c r="AK74" s="160">
        <f t="shared" si="52"/>
        <v>29.331915556368521</v>
      </c>
      <c r="AL74" s="183">
        <f t="shared" si="53"/>
        <v>1.1678000000000002</v>
      </c>
      <c r="AM74" s="183">
        <f t="shared" si="53"/>
        <v>8.5899999999999987E-3</v>
      </c>
      <c r="AN74" s="160">
        <f t="shared" si="53"/>
        <v>29.331915556368521</v>
      </c>
      <c r="AO74" s="72"/>
      <c r="AP74" s="72"/>
      <c r="AQ74" s="72"/>
      <c r="AR74" s="72"/>
      <c r="AS74" s="72"/>
      <c r="AT74" s="72"/>
      <c r="AU74" s="72"/>
      <c r="AV74" s="72"/>
      <c r="AW74" s="72"/>
      <c r="AX74" s="72"/>
      <c r="AY74" s="72"/>
      <c r="AZ74" s="72"/>
      <c r="BA74" s="72"/>
      <c r="BB74" s="72"/>
    </row>
    <row r="75" spans="2:55">
      <c r="B75" s="165" t="str">
        <f t="shared" si="54"/>
        <v>PLGUM 026</v>
      </c>
      <c r="C75" s="155"/>
      <c r="D75" s="232" t="s">
        <v>122</v>
      </c>
      <c r="E75" s="167"/>
      <c r="F75" s="399">
        <v>8</v>
      </c>
      <c r="G75" s="169"/>
      <c r="H75" s="169"/>
      <c r="I75" s="169"/>
      <c r="J75" s="171"/>
      <c r="K75" s="650">
        <v>4205</v>
      </c>
      <c r="L75" s="215"/>
      <c r="M75" s="173"/>
      <c r="N75" s="173"/>
      <c r="O75" s="184"/>
      <c r="P75" s="208"/>
      <c r="Q75" s="176"/>
      <c r="R75" s="176"/>
      <c r="S75" s="176"/>
      <c r="T75" s="176"/>
      <c r="U75" s="216">
        <v>0.87545879999999998</v>
      </c>
      <c r="V75" s="177">
        <f>SUM(Q75:U75)</f>
        <v>0.87545879999999998</v>
      </c>
      <c r="W75" s="179"/>
      <c r="X75" s="179"/>
      <c r="Y75" s="179"/>
      <c r="Z75" s="177">
        <f t="shared" si="56"/>
        <v>0</v>
      </c>
      <c r="AA75" s="180">
        <f t="shared" si="57"/>
        <v>0.87545879999999998</v>
      </c>
      <c r="AB75" s="73">
        <f t="shared" si="46"/>
        <v>0.88158485553474153</v>
      </c>
      <c r="AC75" s="73">
        <f t="shared" si="47"/>
        <v>0.3739497604033114</v>
      </c>
      <c r="AD75" s="73">
        <f t="shared" si="48"/>
        <v>4.5839999999999999E-2</v>
      </c>
      <c r="AE75" s="73">
        <f t="shared" si="49"/>
        <v>9.3424000000000007E-2</v>
      </c>
      <c r="AF75" s="182">
        <f t="shared" si="50"/>
        <v>6.871999999999999E-4</v>
      </c>
      <c r="AG75" s="162">
        <f t="shared" si="51"/>
        <v>2.2709446159380531</v>
      </c>
      <c r="AH75" s="183">
        <f t="shared" si="38"/>
        <v>10.943235</v>
      </c>
      <c r="AI75" s="183">
        <f t="shared" si="38"/>
        <v>11.019810694184269</v>
      </c>
      <c r="AJ75" s="183">
        <f t="shared" si="38"/>
        <v>4.6743720050413922</v>
      </c>
      <c r="AK75" s="160">
        <f t="shared" si="52"/>
        <v>28.386807699225663</v>
      </c>
      <c r="AL75" s="183">
        <f t="shared" si="53"/>
        <v>1.1678000000000002</v>
      </c>
      <c r="AM75" s="183">
        <f t="shared" si="53"/>
        <v>8.5899999999999987E-3</v>
      </c>
      <c r="AN75" s="160">
        <f t="shared" si="53"/>
        <v>28.386807699225663</v>
      </c>
      <c r="AO75" s="72"/>
      <c r="AP75" s="72"/>
      <c r="AQ75" s="72"/>
      <c r="AR75" s="72"/>
      <c r="AS75" s="72"/>
      <c r="AT75" s="72"/>
      <c r="AU75" s="72"/>
      <c r="AV75" s="72"/>
      <c r="AW75" s="72"/>
      <c r="AX75" s="72"/>
      <c r="AY75" s="72"/>
      <c r="AZ75" s="72"/>
      <c r="BA75" s="72"/>
      <c r="BB75" s="72"/>
    </row>
    <row r="76" spans="2:55">
      <c r="B76" s="165" t="str">
        <f t="shared" si="54"/>
        <v>PLGUM 027</v>
      </c>
      <c r="C76" s="155"/>
      <c r="D76" s="232" t="s">
        <v>123</v>
      </c>
      <c r="E76" s="167"/>
      <c r="F76" s="399">
        <v>0.9</v>
      </c>
      <c r="G76" s="169"/>
      <c r="H76" s="169"/>
      <c r="I76" s="169"/>
      <c r="J76" s="171"/>
      <c r="K76" s="650">
        <v>500</v>
      </c>
      <c r="L76" s="215"/>
      <c r="M76" s="173"/>
      <c r="N76" s="173"/>
      <c r="O76" s="184"/>
      <c r="P76" s="208"/>
      <c r="Q76" s="176"/>
      <c r="R76" s="176"/>
      <c r="S76" s="176"/>
      <c r="T76" s="176"/>
      <c r="U76" s="216">
        <v>8.7354719999999997E-2</v>
      </c>
      <c r="V76" s="177">
        <f t="shared" si="55"/>
        <v>8.7354719999999997E-2</v>
      </c>
      <c r="W76" s="179"/>
      <c r="X76" s="179"/>
      <c r="Y76" s="179"/>
      <c r="Z76" s="177">
        <f t="shared" si="56"/>
        <v>0</v>
      </c>
      <c r="AA76" s="180">
        <f t="shared" si="57"/>
        <v>8.7354719999999997E-2</v>
      </c>
      <c r="AB76" s="73">
        <f t="shared" si="46"/>
        <v>9.9178296247658421E-2</v>
      </c>
      <c r="AC76" s="73">
        <f t="shared" si="47"/>
        <v>4.2069348045372532E-2</v>
      </c>
      <c r="AD76" s="73">
        <f t="shared" si="48"/>
        <v>5.1570000000000001E-3</v>
      </c>
      <c r="AE76" s="73">
        <f t="shared" si="49"/>
        <v>1.0510200000000001E-2</v>
      </c>
      <c r="AF76" s="182">
        <f t="shared" si="50"/>
        <v>7.730999999999999E-5</v>
      </c>
      <c r="AG76" s="162">
        <f t="shared" si="51"/>
        <v>0.24434687429303095</v>
      </c>
      <c r="AH76" s="183">
        <f t="shared" si="38"/>
        <v>9.7060799999999983</v>
      </c>
      <c r="AI76" s="183">
        <f t="shared" si="38"/>
        <v>11.019810694184269</v>
      </c>
      <c r="AJ76" s="183">
        <f t="shared" si="38"/>
        <v>4.6743720050413922</v>
      </c>
      <c r="AK76" s="160">
        <f t="shared" si="52"/>
        <v>27.149652699225662</v>
      </c>
      <c r="AL76" s="183">
        <f t="shared" si="53"/>
        <v>1.1678000000000002</v>
      </c>
      <c r="AM76" s="183">
        <f t="shared" si="53"/>
        <v>8.5899999999999987E-3</v>
      </c>
      <c r="AN76" s="160">
        <f t="shared" si="53"/>
        <v>27.149652699225662</v>
      </c>
      <c r="AO76" s="72"/>
      <c r="AP76" s="72"/>
      <c r="AQ76" s="72"/>
      <c r="AR76" s="72"/>
      <c r="AS76" s="72"/>
      <c r="AT76" s="72"/>
      <c r="AU76" s="72"/>
      <c r="AV76" s="72"/>
      <c r="AW76" s="72"/>
      <c r="AX76" s="72"/>
      <c r="AY76" s="72"/>
      <c r="AZ76" s="72"/>
      <c r="BA76" s="72"/>
      <c r="BB76" s="72"/>
    </row>
    <row r="77" spans="2:55">
      <c r="B77" s="165" t="str">
        <f t="shared" si="54"/>
        <v>PLGUM 028</v>
      </c>
      <c r="C77" s="155"/>
      <c r="D77" s="232" t="s">
        <v>124</v>
      </c>
      <c r="E77" s="167"/>
      <c r="F77" s="399">
        <v>0.8</v>
      </c>
      <c r="G77" s="169"/>
      <c r="H77" s="169"/>
      <c r="I77" s="169"/>
      <c r="J77" s="171"/>
      <c r="K77" s="650">
        <v>150</v>
      </c>
      <c r="L77" s="215"/>
      <c r="M77" s="173"/>
      <c r="N77" s="173"/>
      <c r="O77" s="184"/>
      <c r="P77" s="208"/>
      <c r="Q77" s="176"/>
      <c r="R77" s="176"/>
      <c r="S77" s="176"/>
      <c r="T77" s="176"/>
      <c r="U77" s="216">
        <v>7.0450559999999995E-2</v>
      </c>
      <c r="V77" s="177">
        <f t="shared" si="55"/>
        <v>7.0450559999999995E-2</v>
      </c>
      <c r="W77" s="179"/>
      <c r="X77" s="179"/>
      <c r="Y77" s="179"/>
      <c r="Z77" s="177">
        <f t="shared" si="56"/>
        <v>0</v>
      </c>
      <c r="AA77" s="180">
        <f t="shared" si="57"/>
        <v>7.0450559999999995E-2</v>
      </c>
      <c r="AB77" s="73">
        <f t="shared" si="46"/>
        <v>8.8158485553474164E-2</v>
      </c>
      <c r="AC77" s="73">
        <f t="shared" si="47"/>
        <v>3.7394976040331145E-2</v>
      </c>
      <c r="AD77" s="73">
        <f t="shared" si="48"/>
        <v>4.5840000000000004E-3</v>
      </c>
      <c r="AE77" s="73">
        <f t="shared" si="49"/>
        <v>9.3424000000000007E-3</v>
      </c>
      <c r="AF77" s="182">
        <f t="shared" si="50"/>
        <v>6.8719999999999993E-5</v>
      </c>
      <c r="AG77" s="162">
        <f t="shared" si="51"/>
        <v>0.20999914159380531</v>
      </c>
      <c r="AH77" s="183">
        <f t="shared" si="38"/>
        <v>8.8063199999999995</v>
      </c>
      <c r="AI77" s="183">
        <f t="shared" si="38"/>
        <v>11.019810694184271</v>
      </c>
      <c r="AJ77" s="183">
        <f t="shared" si="38"/>
        <v>4.6743720050413922</v>
      </c>
      <c r="AK77" s="160">
        <f t="shared" si="52"/>
        <v>26.249892699225661</v>
      </c>
      <c r="AL77" s="183">
        <f t="shared" si="53"/>
        <v>1.1678000000000002</v>
      </c>
      <c r="AM77" s="183">
        <f t="shared" si="53"/>
        <v>8.5899999999999987E-3</v>
      </c>
      <c r="AN77" s="160">
        <f t="shared" si="53"/>
        <v>26.249892699225661</v>
      </c>
      <c r="AO77" s="72"/>
      <c r="AP77" s="72"/>
      <c r="AQ77" s="72"/>
      <c r="AR77" s="72"/>
      <c r="AS77" s="72"/>
      <c r="AT77" s="72"/>
      <c r="AU77" s="72"/>
      <c r="AV77" s="72"/>
      <c r="AW77" s="72"/>
      <c r="AX77" s="72"/>
      <c r="AY77" s="72"/>
      <c r="AZ77" s="72"/>
      <c r="BA77" s="72"/>
      <c r="BB77" s="72"/>
    </row>
    <row r="78" spans="2:55" ht="9" customHeight="1">
      <c r="C78" s="155"/>
      <c r="D78" s="232"/>
      <c r="E78" s="167"/>
      <c r="F78" s="168"/>
      <c r="G78" s="169"/>
      <c r="H78" s="169"/>
      <c r="I78" s="169"/>
      <c r="J78" s="171"/>
      <c r="K78" s="215"/>
      <c r="L78" s="215"/>
      <c r="M78" s="173"/>
      <c r="N78" s="173"/>
      <c r="O78" s="184"/>
      <c r="P78" s="208"/>
      <c r="Q78" s="176"/>
      <c r="R78" s="176"/>
      <c r="S78" s="176"/>
      <c r="T78" s="176"/>
      <c r="U78" s="176"/>
      <c r="V78" s="209"/>
      <c r="W78" s="179"/>
      <c r="X78" s="179"/>
      <c r="Y78" s="179"/>
      <c r="Z78" s="209"/>
      <c r="AA78" s="182"/>
      <c r="AB78" s="73"/>
      <c r="AC78" s="73"/>
      <c r="AD78" s="73"/>
      <c r="AE78" s="73"/>
      <c r="AF78" s="182"/>
      <c r="AG78" s="162"/>
      <c r="AH78" s="183"/>
      <c r="AI78" s="183"/>
      <c r="AJ78" s="183"/>
      <c r="AK78" s="160"/>
      <c r="AL78" s="183"/>
      <c r="AM78" s="183"/>
      <c r="AN78" s="160"/>
      <c r="AO78" s="72"/>
      <c r="AP78" s="72"/>
      <c r="AQ78" s="72"/>
      <c r="AR78" s="72"/>
      <c r="AS78" s="72"/>
      <c r="AT78" s="72"/>
      <c r="AU78" s="72"/>
      <c r="AV78" s="72"/>
      <c r="AW78" s="72"/>
      <c r="AX78" s="72"/>
      <c r="AY78" s="72"/>
      <c r="AZ78" s="72"/>
      <c r="BA78" s="72"/>
      <c r="BB78" s="72"/>
      <c r="BC78" s="72"/>
    </row>
    <row r="79" spans="2:55">
      <c r="C79" s="233" t="s">
        <v>253</v>
      </c>
      <c r="D79" s="234" t="s">
        <v>283</v>
      </c>
      <c r="E79" s="405">
        <v>150.10472659870251</v>
      </c>
      <c r="F79" s="236">
        <f>SUM(F56:F78)</f>
        <v>246.50000000000003</v>
      </c>
      <c r="G79" s="236"/>
      <c r="H79" s="236"/>
      <c r="I79" s="236"/>
      <c r="J79" s="237"/>
      <c r="K79" s="236">
        <f>SUM(K56:K78)</f>
        <v>443922</v>
      </c>
      <c r="L79" s="238"/>
      <c r="M79" s="239"/>
      <c r="N79" s="239"/>
      <c r="O79" s="240"/>
      <c r="P79" s="241"/>
      <c r="Q79" s="242"/>
      <c r="R79" s="242"/>
      <c r="S79" s="242"/>
      <c r="T79" s="242"/>
      <c r="U79" s="243">
        <f>SUM(U56:U78)</f>
        <v>60.695158079999985</v>
      </c>
      <c r="V79" s="244">
        <f>SUM(V56:V78)</f>
        <v>60.695158079999985</v>
      </c>
      <c r="W79" s="243">
        <f t="shared" ref="W79:Z79" si="58">SUM(W56:W78)</f>
        <v>0</v>
      </c>
      <c r="X79" s="243">
        <f t="shared" si="58"/>
        <v>0</v>
      </c>
      <c r="Y79" s="243">
        <f t="shared" si="58"/>
        <v>0</v>
      </c>
      <c r="Z79" s="244">
        <f t="shared" si="58"/>
        <v>0</v>
      </c>
      <c r="AA79" s="245">
        <f>SUM(AA56:AA78)</f>
        <v>60.695158079999985</v>
      </c>
      <c r="AB79" s="246">
        <f t="shared" ref="AB79:AF79" si="59">SUM(AB56:AB78)</f>
        <v>27.163833361164219</v>
      </c>
      <c r="AC79" s="246">
        <f t="shared" si="59"/>
        <v>11.522326992427031</v>
      </c>
      <c r="AD79" s="246">
        <f t="shared" si="59"/>
        <v>1.412445</v>
      </c>
      <c r="AE79" s="246">
        <f t="shared" si="59"/>
        <v>2.8786270000000016</v>
      </c>
      <c r="AF79" s="247">
        <f t="shared" si="59"/>
        <v>2.1174349999999998E-2</v>
      </c>
      <c r="AG79" s="247">
        <f t="shared" ref="AG79:AG86" si="60">+AF79+AD79+AC79+AB79+AA79+AE79</f>
        <v>103.69356478359123</v>
      </c>
      <c r="AH79" s="248">
        <f t="shared" ref="AH79:AJ79" si="61">+AA79/$F79*100</f>
        <v>24.62278218255577</v>
      </c>
      <c r="AI79" s="248">
        <f t="shared" si="61"/>
        <v>11.019810694184267</v>
      </c>
      <c r="AJ79" s="248">
        <f t="shared" si="61"/>
        <v>4.6743720050413913</v>
      </c>
      <c r="AK79" s="249">
        <f t="shared" ref="AK79" si="62">+AG79/$F79*100</f>
        <v>42.066354881781429</v>
      </c>
      <c r="AL79" s="250">
        <f t="shared" ref="AL79:AN94" si="63">+AE79/$F79*100</f>
        <v>1.1678000000000004</v>
      </c>
      <c r="AM79" s="250">
        <f t="shared" si="63"/>
        <v>8.5899999999999987E-3</v>
      </c>
      <c r="AN79" s="249">
        <f t="shared" si="63"/>
        <v>42.066354881781429</v>
      </c>
      <c r="AO79" s="72"/>
      <c r="AP79" s="72"/>
      <c r="AQ79" s="72"/>
      <c r="AR79" s="72"/>
      <c r="AS79" s="72"/>
      <c r="AT79" s="72"/>
      <c r="AU79" s="72"/>
      <c r="AV79" s="72"/>
      <c r="AW79" s="72"/>
      <c r="AX79" s="72"/>
      <c r="AY79" s="72"/>
      <c r="AZ79" s="72"/>
      <c r="BA79" s="72"/>
      <c r="BB79" s="72"/>
      <c r="BC79" s="72"/>
    </row>
    <row r="80" spans="2:55">
      <c r="B80" s="165" t="str">
        <f>D80</f>
        <v>PLGUM 050</v>
      </c>
      <c r="C80" s="74"/>
      <c r="D80" s="232" t="s">
        <v>128</v>
      </c>
      <c r="E80" s="167"/>
      <c r="F80" s="406">
        <v>2.8478212785887747E-2</v>
      </c>
      <c r="G80" s="169"/>
      <c r="H80" s="169"/>
      <c r="I80" s="169"/>
      <c r="J80" s="171"/>
      <c r="K80" s="402">
        <v>131</v>
      </c>
      <c r="L80" s="171"/>
      <c r="M80" s="173"/>
      <c r="N80" s="173"/>
      <c r="O80" s="171"/>
      <c r="P80" s="208"/>
      <c r="Q80" s="176"/>
      <c r="R80" s="176"/>
      <c r="S80" s="176"/>
      <c r="T80" s="176"/>
      <c r="U80" s="216">
        <v>1.5035999999999999E-2</v>
      </c>
      <c r="V80" s="177">
        <f>SUM(Q80:U80)</f>
        <v>1.5035999999999999E-2</v>
      </c>
      <c r="W80" s="179"/>
      <c r="X80" s="179"/>
      <c r="Y80" s="179"/>
      <c r="Z80" s="177">
        <f t="shared" ref="Z80:Z86" si="64">SUM(W80:Y80)</f>
        <v>0</v>
      </c>
      <c r="AA80" s="251">
        <f>+V80+Z80+P80</f>
        <v>1.5035999999999999E-2</v>
      </c>
      <c r="AB80" s="73">
        <f t="shared" ref="AB80:AB86" si="65">$H$2*F80</f>
        <v>3.1382451380918097E-3</v>
      </c>
      <c r="AC80" s="73">
        <f t="shared" ref="AC80:AC86" si="66">+$H$3*F80</f>
        <v>1.3311776059996552E-3</v>
      </c>
      <c r="AD80" s="73">
        <f t="shared" ref="AD80:AD86" si="67">+$H$4*F80</f>
        <v>1.6318015926313677E-4</v>
      </c>
      <c r="AE80" s="73">
        <f t="shared" ref="AE80:AE86" si="68">+$H$5*F80</f>
        <v>3.325685689135971E-4</v>
      </c>
      <c r="AF80" s="182">
        <f t="shared" ref="AF80:AF86" si="69">+$H$6*F80</f>
        <v>2.446278478307757E-6</v>
      </c>
      <c r="AG80" s="162">
        <f t="shared" si="60"/>
        <v>2.0003617750746508E-2</v>
      </c>
      <c r="AH80" s="183">
        <f t="shared" si="38"/>
        <v>52.798257085328835</v>
      </c>
      <c r="AI80" s="183">
        <f t="shared" si="38"/>
        <v>11.019810694184269</v>
      </c>
      <c r="AJ80" s="183">
        <f t="shared" si="38"/>
        <v>4.6743720050413922</v>
      </c>
      <c r="AK80" s="160">
        <f t="shared" si="52"/>
        <v>70.241829784554497</v>
      </c>
      <c r="AL80" s="183">
        <f t="shared" si="63"/>
        <v>1.1678000000000002</v>
      </c>
      <c r="AM80" s="183">
        <f t="shared" si="63"/>
        <v>8.5899999999999987E-3</v>
      </c>
      <c r="AN80" s="160">
        <f t="shared" si="63"/>
        <v>70.241829784554497</v>
      </c>
      <c r="AO80" s="72"/>
      <c r="AP80" s="72"/>
      <c r="AQ80" s="72"/>
      <c r="AR80" s="72"/>
      <c r="AS80" s="72"/>
      <c r="AT80" s="72"/>
      <c r="AU80" s="72"/>
      <c r="AV80" s="72"/>
      <c r="AW80" s="72"/>
      <c r="AX80" s="72"/>
      <c r="AY80" s="72"/>
      <c r="AZ80" s="72"/>
      <c r="BA80" s="72"/>
      <c r="BB80" s="72"/>
    </row>
    <row r="81" spans="2:55">
      <c r="B81" s="165" t="str">
        <f t="shared" ref="B81:B86" si="70">D81</f>
        <v>PLGUM 051</v>
      </c>
      <c r="C81" s="74"/>
      <c r="D81" s="232" t="s">
        <v>129</v>
      </c>
      <c r="E81" s="167"/>
      <c r="F81" s="406">
        <v>5.8379784521554463E-2</v>
      </c>
      <c r="G81" s="169"/>
      <c r="H81" s="169"/>
      <c r="I81" s="169"/>
      <c r="J81" s="171"/>
      <c r="K81" s="402">
        <v>191</v>
      </c>
      <c r="L81" s="171"/>
      <c r="M81" s="173"/>
      <c r="N81" s="173"/>
      <c r="O81" s="171"/>
      <c r="P81" s="208"/>
      <c r="Q81" s="176"/>
      <c r="R81" s="176"/>
      <c r="S81" s="176"/>
      <c r="T81" s="176"/>
      <c r="U81" s="216">
        <v>2.2927200000000002E-2</v>
      </c>
      <c r="V81" s="177">
        <f t="shared" ref="V81:V86" si="71">SUM(Q81:U81)</f>
        <v>2.2927200000000002E-2</v>
      </c>
      <c r="W81" s="179"/>
      <c r="X81" s="179"/>
      <c r="Y81" s="179"/>
      <c r="Z81" s="177">
        <f t="shared" si="64"/>
        <v>0</v>
      </c>
      <c r="AA81" s="180">
        <f t="shared" ref="AA81:AA86" si="72">+V81+Z81+P81</f>
        <v>2.2927200000000002E-2</v>
      </c>
      <c r="AB81" s="73">
        <f t="shared" si="65"/>
        <v>6.4333417379479913E-3</v>
      </c>
      <c r="AC81" s="73">
        <f t="shared" si="66"/>
        <v>2.72888830427903E-3</v>
      </c>
      <c r="AD81" s="73">
        <f t="shared" si="67"/>
        <v>3.3451616530850704E-4</v>
      </c>
      <c r="AE81" s="73">
        <f t="shared" si="68"/>
        <v>6.8175912364271303E-4</v>
      </c>
      <c r="AF81" s="182">
        <f t="shared" si="69"/>
        <v>5.0148234904015276E-6</v>
      </c>
      <c r="AG81" s="162">
        <f t="shared" si="60"/>
        <v>3.3110720154668642E-2</v>
      </c>
      <c r="AH81" s="183">
        <f t="shared" si="38"/>
        <v>39.272498499090943</v>
      </c>
      <c r="AI81" s="183">
        <f t="shared" si="38"/>
        <v>11.019810694184269</v>
      </c>
      <c r="AJ81" s="183">
        <f t="shared" si="38"/>
        <v>4.6743720050413922</v>
      </c>
      <c r="AK81" s="160">
        <f t="shared" si="52"/>
        <v>56.716071198316598</v>
      </c>
      <c r="AL81" s="183">
        <f t="shared" si="63"/>
        <v>1.1678000000000002</v>
      </c>
      <c r="AM81" s="183">
        <f t="shared" si="63"/>
        <v>8.5899999999999987E-3</v>
      </c>
      <c r="AN81" s="160">
        <f t="shared" si="63"/>
        <v>56.716071198316598</v>
      </c>
      <c r="AO81" s="72"/>
      <c r="AP81" s="72"/>
      <c r="AQ81" s="72"/>
      <c r="AR81" s="72"/>
      <c r="AS81" s="72"/>
      <c r="AT81" s="72"/>
      <c r="AU81" s="72"/>
      <c r="AV81" s="72"/>
      <c r="AW81" s="72"/>
      <c r="AX81" s="72"/>
      <c r="AY81" s="72"/>
      <c r="AZ81" s="72"/>
      <c r="BA81" s="72"/>
      <c r="BB81" s="72"/>
    </row>
    <row r="82" spans="2:55">
      <c r="B82" s="165" t="str">
        <f t="shared" si="70"/>
        <v>PLGUM 052</v>
      </c>
      <c r="C82" s="74"/>
      <c r="D82" s="232" t="s">
        <v>130</v>
      </c>
      <c r="E82" s="167"/>
      <c r="F82" s="406">
        <v>0.28185817342716102</v>
      </c>
      <c r="G82" s="169"/>
      <c r="H82" s="169"/>
      <c r="I82" s="169"/>
      <c r="J82" s="171"/>
      <c r="K82" s="402">
        <v>655</v>
      </c>
      <c r="L82" s="171"/>
      <c r="M82" s="173"/>
      <c r="N82" s="173"/>
      <c r="O82" s="171"/>
      <c r="P82" s="208"/>
      <c r="Q82" s="176"/>
      <c r="R82" s="176"/>
      <c r="S82" s="176"/>
      <c r="T82" s="176"/>
      <c r="U82" s="216">
        <v>8.8112399999999994E-2</v>
      </c>
      <c r="V82" s="177">
        <f t="shared" si="71"/>
        <v>8.8112399999999994E-2</v>
      </c>
      <c r="W82" s="179"/>
      <c r="X82" s="179"/>
      <c r="Y82" s="179"/>
      <c r="Z82" s="177">
        <f t="shared" si="64"/>
        <v>0</v>
      </c>
      <c r="AA82" s="180">
        <f t="shared" si="72"/>
        <v>8.8112399999999994E-2</v>
      </c>
      <c r="AB82" s="73">
        <f t="shared" si="65"/>
        <v>3.1060237137758732E-2</v>
      </c>
      <c r="AC82" s="73">
        <f t="shared" si="66"/>
        <v>1.3175099552600232E-2</v>
      </c>
      <c r="AD82" s="73">
        <f t="shared" si="67"/>
        <v>1.6150473337376327E-3</v>
      </c>
      <c r="AE82" s="73">
        <f t="shared" si="68"/>
        <v>3.2915397492823866E-3</v>
      </c>
      <c r="AF82" s="182">
        <f t="shared" si="69"/>
        <v>2.4211617097393129E-5</v>
      </c>
      <c r="AG82" s="162">
        <f t="shared" si="60"/>
        <v>0.13727853539047638</v>
      </c>
      <c r="AH82" s="183">
        <f t="shared" si="38"/>
        <v>31.261254172134333</v>
      </c>
      <c r="AI82" s="183">
        <f t="shared" si="38"/>
        <v>11.019810694184269</v>
      </c>
      <c r="AJ82" s="183">
        <f t="shared" si="38"/>
        <v>4.6743720050413922</v>
      </c>
      <c r="AK82" s="160">
        <f t="shared" si="52"/>
        <v>48.704826871359998</v>
      </c>
      <c r="AL82" s="183">
        <f t="shared" si="63"/>
        <v>1.1678000000000002</v>
      </c>
      <c r="AM82" s="183">
        <f t="shared" si="63"/>
        <v>8.5899999999999987E-3</v>
      </c>
      <c r="AN82" s="160">
        <f t="shared" si="63"/>
        <v>48.704826871359998</v>
      </c>
      <c r="AO82" s="72"/>
      <c r="AP82" s="72"/>
      <c r="AQ82" s="72"/>
      <c r="AR82" s="72"/>
      <c r="AS82" s="72"/>
      <c r="AT82" s="72"/>
      <c r="AU82" s="72"/>
      <c r="AV82" s="72"/>
      <c r="AW82" s="72"/>
      <c r="AX82" s="72"/>
      <c r="AY82" s="72"/>
      <c r="AZ82" s="72"/>
      <c r="BA82" s="72"/>
      <c r="BB82" s="72"/>
    </row>
    <row r="83" spans="2:55">
      <c r="B83" s="165" t="str">
        <f t="shared" si="70"/>
        <v>PLGUM 053</v>
      </c>
      <c r="C83" s="74"/>
      <c r="D83" s="232" t="s">
        <v>131</v>
      </c>
      <c r="E83" s="167"/>
      <c r="F83" s="406">
        <v>6.9181865233442922E-3</v>
      </c>
      <c r="G83" s="169"/>
      <c r="H83" s="169"/>
      <c r="I83" s="169"/>
      <c r="J83" s="171"/>
      <c r="K83" s="402">
        <v>11</v>
      </c>
      <c r="L83" s="171"/>
      <c r="M83" s="173"/>
      <c r="N83" s="173"/>
      <c r="O83" s="171"/>
      <c r="P83" s="208"/>
      <c r="Q83" s="176"/>
      <c r="R83" s="176"/>
      <c r="S83" s="176"/>
      <c r="T83" s="176"/>
      <c r="U83" s="216">
        <v>1.8295200000000001E-3</v>
      </c>
      <c r="V83" s="177">
        <f t="shared" si="71"/>
        <v>1.8295200000000001E-3</v>
      </c>
      <c r="W83" s="179"/>
      <c r="X83" s="179"/>
      <c r="Y83" s="179"/>
      <c r="Z83" s="177">
        <f t="shared" si="64"/>
        <v>0</v>
      </c>
      <c r="AA83" s="180">
        <f t="shared" si="72"/>
        <v>1.8295200000000001E-3</v>
      </c>
      <c r="AB83" s="73">
        <f t="shared" si="65"/>
        <v>7.6237105834310918E-4</v>
      </c>
      <c r="AC83" s="73">
        <f t="shared" si="66"/>
        <v>3.2338177410375199E-4</v>
      </c>
      <c r="AD83" s="73">
        <f t="shared" si="67"/>
        <v>3.9641208778762794E-5</v>
      </c>
      <c r="AE83" s="73">
        <f t="shared" si="68"/>
        <v>8.0790582219614646E-5</v>
      </c>
      <c r="AF83" s="182">
        <f t="shared" si="69"/>
        <v>5.9427222235527463E-7</v>
      </c>
      <c r="AG83" s="162">
        <f t="shared" si="60"/>
        <v>3.0362988956675941E-3</v>
      </c>
      <c r="AH83" s="183">
        <f t="shared" si="38"/>
        <v>26.44508056882513</v>
      </c>
      <c r="AI83" s="183">
        <f t="shared" si="38"/>
        <v>11.019810694184269</v>
      </c>
      <c r="AJ83" s="183">
        <f t="shared" si="38"/>
        <v>4.6743720050413922</v>
      </c>
      <c r="AK83" s="160">
        <f t="shared" si="52"/>
        <v>43.888653268050795</v>
      </c>
      <c r="AL83" s="183">
        <f t="shared" si="63"/>
        <v>1.1678000000000002</v>
      </c>
      <c r="AM83" s="183">
        <f t="shared" si="63"/>
        <v>8.5899999999999987E-3</v>
      </c>
      <c r="AN83" s="160">
        <f t="shared" si="63"/>
        <v>43.888653268050795</v>
      </c>
      <c r="AO83" s="72"/>
      <c r="AP83" s="72"/>
      <c r="AQ83" s="72"/>
      <c r="AR83" s="72"/>
      <c r="AS83" s="72"/>
      <c r="AT83" s="72"/>
      <c r="AU83" s="72"/>
      <c r="AV83" s="72"/>
      <c r="AW83" s="72"/>
      <c r="AX83" s="72"/>
      <c r="AY83" s="72"/>
      <c r="AZ83" s="72"/>
      <c r="BA83" s="72"/>
      <c r="BB83" s="72"/>
    </row>
    <row r="84" spans="2:55">
      <c r="B84" s="252" t="s">
        <v>132</v>
      </c>
      <c r="C84" s="74"/>
      <c r="D84" s="232" t="s">
        <v>284</v>
      </c>
      <c r="E84" s="167"/>
      <c r="F84" s="406">
        <v>0.11214744469421274</v>
      </c>
      <c r="G84" s="169"/>
      <c r="H84" s="169"/>
      <c r="I84" s="169"/>
      <c r="J84" s="171"/>
      <c r="K84" s="402">
        <v>120</v>
      </c>
      <c r="L84" s="171"/>
      <c r="M84" s="173"/>
      <c r="N84" s="173"/>
      <c r="O84" s="171"/>
      <c r="P84" s="208"/>
      <c r="Q84" s="176"/>
      <c r="R84" s="176"/>
      <c r="S84" s="176"/>
      <c r="T84" s="176"/>
      <c r="U84" s="216">
        <v>2.0529599999999999E-2</v>
      </c>
      <c r="V84" s="177">
        <f t="shared" si="71"/>
        <v>2.0529599999999999E-2</v>
      </c>
      <c r="W84" s="179"/>
      <c r="X84" s="179"/>
      <c r="Y84" s="179"/>
      <c r="Z84" s="177">
        <f t="shared" si="64"/>
        <v>0</v>
      </c>
      <c r="AA84" s="180">
        <f t="shared" si="72"/>
        <v>2.0529599999999999E-2</v>
      </c>
      <c r="AB84" s="73">
        <f t="shared" si="65"/>
        <v>1.2358436103667244E-2</v>
      </c>
      <c r="AC84" s="73">
        <f t="shared" si="66"/>
        <v>5.2421887591555588E-3</v>
      </c>
      <c r="AD84" s="73">
        <f t="shared" si="67"/>
        <v>6.4260485809783895E-4</v>
      </c>
      <c r="AE84" s="73">
        <f t="shared" si="68"/>
        <v>1.3096578591390165E-3</v>
      </c>
      <c r="AF84" s="182">
        <f t="shared" si="69"/>
        <v>9.6334654992328736E-6</v>
      </c>
      <c r="AG84" s="162">
        <f t="shared" si="60"/>
        <v>4.0092121045558884E-2</v>
      </c>
      <c r="AH84" s="183">
        <f t="shared" si="38"/>
        <v>18.305900821884183</v>
      </c>
      <c r="AI84" s="183">
        <f t="shared" si="38"/>
        <v>11.019810694184267</v>
      </c>
      <c r="AJ84" s="183">
        <f t="shared" si="38"/>
        <v>4.6743720050413922</v>
      </c>
      <c r="AK84" s="160">
        <f t="shared" si="52"/>
        <v>35.749473521109834</v>
      </c>
      <c r="AL84" s="183">
        <f t="shared" si="63"/>
        <v>1.1678000000000002</v>
      </c>
      <c r="AM84" s="183">
        <f t="shared" si="63"/>
        <v>8.5899999999999987E-3</v>
      </c>
      <c r="AN84" s="160">
        <f t="shared" si="63"/>
        <v>35.749473521109834</v>
      </c>
      <c r="AO84" s="72"/>
      <c r="AP84" s="72"/>
      <c r="AQ84" s="72"/>
      <c r="AR84" s="72"/>
      <c r="AS84" s="72"/>
      <c r="AT84" s="72"/>
      <c r="AU84" s="72"/>
      <c r="AV84" s="72"/>
      <c r="AW84" s="72"/>
      <c r="AX84" s="72"/>
      <c r="AY84" s="72"/>
      <c r="AZ84" s="72"/>
      <c r="BA84" s="72"/>
      <c r="BB84" s="72"/>
    </row>
    <row r="85" spans="2:55">
      <c r="B85" s="165" t="str">
        <f t="shared" si="70"/>
        <v>PLGUM 055</v>
      </c>
      <c r="C85" s="74"/>
      <c r="D85" s="232" t="s">
        <v>134</v>
      </c>
      <c r="E85" s="167"/>
      <c r="F85" s="406">
        <v>1.1585479823782306E-3</v>
      </c>
      <c r="G85" s="169"/>
      <c r="H85" s="169"/>
      <c r="I85" s="169"/>
      <c r="J85" s="171"/>
      <c r="K85" s="402">
        <v>1</v>
      </c>
      <c r="L85" s="171"/>
      <c r="M85" s="173"/>
      <c r="N85" s="173"/>
      <c r="O85" s="171"/>
      <c r="P85" s="208"/>
      <c r="Q85" s="176"/>
      <c r="R85" s="176"/>
      <c r="S85" s="176"/>
      <c r="T85" s="176"/>
      <c r="U85" s="216">
        <v>1.7184000000000001E-4</v>
      </c>
      <c r="V85" s="177">
        <f t="shared" si="71"/>
        <v>1.7184000000000001E-4</v>
      </c>
      <c r="W85" s="179"/>
      <c r="X85" s="179"/>
      <c r="Y85" s="179"/>
      <c r="Z85" s="177">
        <f t="shared" si="64"/>
        <v>0</v>
      </c>
      <c r="AA85" s="180">
        <f t="shared" si="72"/>
        <v>1.7184000000000001E-4</v>
      </c>
      <c r="AB85" s="73">
        <f t="shared" si="65"/>
        <v>1.2766979445937235E-4</v>
      </c>
      <c r="AC85" s="73">
        <f t="shared" si="66"/>
        <v>5.4154842553259898E-5</v>
      </c>
      <c r="AD85" s="73">
        <f t="shared" si="67"/>
        <v>6.6384799390272611E-6</v>
      </c>
      <c r="AE85" s="73">
        <f t="shared" si="68"/>
        <v>1.3529523338212979E-5</v>
      </c>
      <c r="AF85" s="182">
        <f t="shared" si="69"/>
        <v>9.9519271686289992E-8</v>
      </c>
      <c r="AG85" s="162">
        <f t="shared" si="60"/>
        <v>3.7393215956155879E-4</v>
      </c>
      <c r="AH85" s="183">
        <f t="shared" si="38"/>
        <v>14.832359350991428</v>
      </c>
      <c r="AI85" s="183">
        <f t="shared" si="38"/>
        <v>11.019810694184271</v>
      </c>
      <c r="AJ85" s="183">
        <f t="shared" si="38"/>
        <v>4.6743720050413922</v>
      </c>
      <c r="AK85" s="160">
        <f t="shared" si="52"/>
        <v>32.275932050217087</v>
      </c>
      <c r="AL85" s="183">
        <f t="shared" si="63"/>
        <v>1.1678000000000002</v>
      </c>
      <c r="AM85" s="183">
        <f t="shared" si="63"/>
        <v>8.5899999999999987E-3</v>
      </c>
      <c r="AN85" s="160">
        <f t="shared" si="63"/>
        <v>32.275932050217087</v>
      </c>
      <c r="AO85" s="72"/>
      <c r="AP85" s="72"/>
      <c r="AQ85" s="72"/>
      <c r="AR85" s="72"/>
      <c r="AS85" s="72"/>
      <c r="AT85" s="72"/>
      <c r="AU85" s="72"/>
      <c r="AV85" s="72"/>
      <c r="AW85" s="72"/>
      <c r="AX85" s="72"/>
      <c r="AY85" s="72"/>
      <c r="AZ85" s="72"/>
      <c r="BA85" s="72"/>
      <c r="BB85" s="72"/>
    </row>
    <row r="86" spans="2:55">
      <c r="B86" s="165" t="str">
        <f t="shared" si="70"/>
        <v>PLGUM 056</v>
      </c>
      <c r="C86" s="74"/>
      <c r="D86" s="232" t="s">
        <v>136</v>
      </c>
      <c r="E86" s="167"/>
      <c r="F86" s="406">
        <v>0.89076892538454222</v>
      </c>
      <c r="G86" s="169"/>
      <c r="H86" s="169"/>
      <c r="I86" s="169"/>
      <c r="J86" s="171"/>
      <c r="K86" s="402">
        <v>1182</v>
      </c>
      <c r="L86" s="171"/>
      <c r="M86" s="173"/>
      <c r="N86" s="173"/>
      <c r="O86" s="171"/>
      <c r="P86" s="208"/>
      <c r="Q86" s="176"/>
      <c r="R86" s="176"/>
      <c r="S86" s="176"/>
      <c r="T86" s="176"/>
      <c r="U86" s="216">
        <v>8.8919520000000002E-2</v>
      </c>
      <c r="V86" s="177">
        <f t="shared" si="71"/>
        <v>8.8919520000000002E-2</v>
      </c>
      <c r="W86" s="179"/>
      <c r="X86" s="179"/>
      <c r="Y86" s="179"/>
      <c r="Z86" s="177">
        <f t="shared" si="64"/>
        <v>0</v>
      </c>
      <c r="AA86" s="180">
        <f t="shared" si="72"/>
        <v>8.8919520000000002E-2</v>
      </c>
      <c r="AB86" s="73">
        <f t="shared" si="65"/>
        <v>9.816104929999607E-2</v>
      </c>
      <c r="AC86" s="73">
        <f t="shared" si="66"/>
        <v>4.1637853277783091E-2</v>
      </c>
      <c r="AD86" s="73">
        <f t="shared" si="67"/>
        <v>5.1041059424534272E-3</v>
      </c>
      <c r="AE86" s="73">
        <f t="shared" si="68"/>
        <v>1.0402399510640686E-2</v>
      </c>
      <c r="AF86" s="182">
        <f t="shared" si="69"/>
        <v>7.6517050690532161E-5</v>
      </c>
      <c r="AG86" s="162">
        <f t="shared" si="60"/>
        <v>0.24430144508156379</v>
      </c>
      <c r="AH86" s="183">
        <f t="shared" si="38"/>
        <v>9.9823329559474381</v>
      </c>
      <c r="AI86" s="183">
        <f t="shared" si="38"/>
        <v>11.019810694184267</v>
      </c>
      <c r="AJ86" s="183">
        <f t="shared" si="38"/>
        <v>4.6743720050413922</v>
      </c>
      <c r="AK86" s="160">
        <f t="shared" si="52"/>
        <v>27.4259056551731</v>
      </c>
      <c r="AL86" s="183">
        <f t="shared" si="63"/>
        <v>1.1678000000000002</v>
      </c>
      <c r="AM86" s="183">
        <f t="shared" si="63"/>
        <v>8.5899999999999987E-3</v>
      </c>
      <c r="AN86" s="160">
        <f t="shared" si="63"/>
        <v>27.4259056551731</v>
      </c>
      <c r="AO86" s="72"/>
      <c r="AP86" s="72"/>
      <c r="AQ86" s="72"/>
      <c r="AR86" s="72"/>
      <c r="AS86" s="72"/>
      <c r="AT86" s="72"/>
      <c r="AU86" s="72"/>
      <c r="AV86" s="72"/>
      <c r="AW86" s="72"/>
      <c r="AX86" s="72"/>
      <c r="AY86" s="72"/>
      <c r="AZ86" s="72"/>
      <c r="BA86" s="72"/>
      <c r="BB86" s="72"/>
    </row>
    <row r="87" spans="2:55">
      <c r="C87" s="233" t="s">
        <v>253</v>
      </c>
      <c r="D87" s="234" t="s">
        <v>285</v>
      </c>
      <c r="E87" s="235"/>
      <c r="F87" s="236">
        <f>SUM(F80:F86)</f>
        <v>1.3797092753190807</v>
      </c>
      <c r="G87" s="236"/>
      <c r="H87" s="236"/>
      <c r="I87" s="236"/>
      <c r="J87" s="237"/>
      <c r="K87" s="236">
        <f>SUM(K80:K86)</f>
        <v>2291</v>
      </c>
      <c r="L87" s="238"/>
      <c r="M87" s="239"/>
      <c r="N87" s="239"/>
      <c r="O87" s="240"/>
      <c r="P87" s="241"/>
      <c r="Q87" s="242"/>
      <c r="R87" s="242"/>
      <c r="S87" s="242"/>
      <c r="T87" s="242"/>
      <c r="U87" s="243">
        <f>SUM(U80:U86)</f>
        <v>0.23752608000000003</v>
      </c>
      <c r="V87" s="244">
        <f>SUM(V80:V86)</f>
        <v>0.23752608000000003</v>
      </c>
      <c r="W87" s="253">
        <f t="shared" ref="W87:Z87" si="73">SUM(W80:W86)</f>
        <v>0</v>
      </c>
      <c r="X87" s="243">
        <f t="shared" si="73"/>
        <v>0</v>
      </c>
      <c r="Y87" s="243">
        <f t="shared" si="73"/>
        <v>0</v>
      </c>
      <c r="Z87" s="244">
        <f t="shared" si="73"/>
        <v>0</v>
      </c>
      <c r="AA87" s="245">
        <f>SUM(AA80:AA86)</f>
        <v>0.23752608000000003</v>
      </c>
      <c r="AB87" s="246">
        <f>SUM(AB80:AB86)</f>
        <v>0.15204135027026433</v>
      </c>
      <c r="AC87" s="246">
        <f>SUM(AC80:AC86)</f>
        <v>6.4492744116474585E-2</v>
      </c>
      <c r="AD87" s="246">
        <f t="shared" ref="AD87:AF87" si="74">SUM(AD80:AD86)</f>
        <v>7.9057341475783326E-3</v>
      </c>
      <c r="AE87" s="246">
        <f t="shared" si="74"/>
        <v>1.6112244917176229E-2</v>
      </c>
      <c r="AF87" s="247">
        <f t="shared" si="74"/>
        <v>1.1851702674990901E-4</v>
      </c>
      <c r="AG87" s="247">
        <f>SUM(AG80:AG86)</f>
        <v>0.47819667047824332</v>
      </c>
      <c r="AH87" s="248">
        <f t="shared" si="38"/>
        <v>17.215661607048933</v>
      </c>
      <c r="AI87" s="248">
        <f t="shared" si="38"/>
        <v>11.019810694184269</v>
      </c>
      <c r="AJ87" s="248">
        <f t="shared" si="38"/>
        <v>4.6743720050413922</v>
      </c>
      <c r="AK87" s="249">
        <f t="shared" si="52"/>
        <v>34.659234306274591</v>
      </c>
      <c r="AL87" s="250">
        <f t="shared" si="63"/>
        <v>1.1678000000000002</v>
      </c>
      <c r="AM87" s="250">
        <f t="shared" si="63"/>
        <v>8.5899999999999987E-3</v>
      </c>
      <c r="AN87" s="249">
        <f t="shared" si="63"/>
        <v>34.659234306274591</v>
      </c>
      <c r="AO87" s="72"/>
      <c r="AP87" s="72"/>
      <c r="AQ87" s="72"/>
      <c r="AR87" s="72"/>
      <c r="AS87" s="72"/>
      <c r="AT87" s="72"/>
      <c r="AU87" s="72"/>
      <c r="AV87" s="72"/>
      <c r="AW87" s="72"/>
      <c r="AX87" s="72"/>
      <c r="AY87" s="72"/>
      <c r="AZ87" s="72"/>
      <c r="BA87" s="72"/>
      <c r="BB87" s="72"/>
      <c r="BC87" s="72"/>
    </row>
    <row r="88" spans="2:55">
      <c r="B88" s="165" t="s">
        <v>142</v>
      </c>
      <c r="C88" s="74" t="s">
        <v>253</v>
      </c>
      <c r="D88" s="166" t="s">
        <v>142</v>
      </c>
      <c r="E88" s="398">
        <v>1</v>
      </c>
      <c r="F88" s="406">
        <v>3.3564790118043593E-2</v>
      </c>
      <c r="G88" s="169"/>
      <c r="H88" s="169"/>
      <c r="I88" s="169"/>
      <c r="J88" s="171"/>
      <c r="K88" s="402">
        <v>26</v>
      </c>
      <c r="L88" s="171"/>
      <c r="M88" s="173"/>
      <c r="N88" s="173"/>
      <c r="O88" s="171"/>
      <c r="P88" s="208"/>
      <c r="Q88" s="176"/>
      <c r="R88" s="176"/>
      <c r="S88" s="176"/>
      <c r="T88" s="176"/>
      <c r="U88" s="216">
        <v>2.3431199999999998E-3</v>
      </c>
      <c r="V88" s="177">
        <f>SUM(Q88:U88)</f>
        <v>2.3431199999999998E-3</v>
      </c>
      <c r="W88" s="179"/>
      <c r="X88" s="179"/>
      <c r="Y88" s="179"/>
      <c r="Z88" s="177">
        <f>SUM(W88:Y88)</f>
        <v>0</v>
      </c>
      <c r="AA88" s="180">
        <f>+V88+Z88+P88</f>
        <v>2.3431199999999998E-3</v>
      </c>
      <c r="AB88" s="73">
        <f t="shared" ref="AB88:AB94" si="75">$H$2*F88</f>
        <v>3.6987763309086724E-3</v>
      </c>
      <c r="AC88" s="73">
        <f t="shared" ref="AC88:AC94" si="76">+$H$3*F88</f>
        <v>1.5689431528287294E-3</v>
      </c>
      <c r="AD88" s="73">
        <f t="shared" ref="AD88:AD94" si="77">+$H$4*F88</f>
        <v>1.9232624737638979E-4</v>
      </c>
      <c r="AE88" s="73">
        <f t="shared" ref="AE88:AE94" si="78">+$H$5*F88</f>
        <v>3.9196961899851313E-4</v>
      </c>
      <c r="AF88" s="182">
        <f t="shared" ref="AF88:AF94" si="79">+$H$6*F88</f>
        <v>2.8832154711399443E-6</v>
      </c>
      <c r="AG88" s="162">
        <f t="shared" ref="AG88:AG95" si="80">+AF88+AD88+AC88+AB88+AA88+AE88</f>
        <v>8.1980185655834443E-3</v>
      </c>
      <c r="AH88" s="183">
        <f t="shared" si="38"/>
        <v>6.9808867916632584</v>
      </c>
      <c r="AI88" s="183">
        <f t="shared" si="38"/>
        <v>11.019810694184269</v>
      </c>
      <c r="AJ88" s="183">
        <f t="shared" si="38"/>
        <v>4.6743720050413922</v>
      </c>
      <c r="AK88" s="160">
        <f t="shared" si="52"/>
        <v>24.424459490888921</v>
      </c>
      <c r="AL88" s="183">
        <f t="shared" si="63"/>
        <v>1.1678000000000002</v>
      </c>
      <c r="AM88" s="183">
        <f t="shared" si="63"/>
        <v>8.5899999999999987E-3</v>
      </c>
      <c r="AN88" s="160"/>
      <c r="AO88" s="72"/>
      <c r="AP88" s="72"/>
      <c r="AQ88" s="72"/>
      <c r="AR88" s="72"/>
      <c r="AS88" s="72"/>
      <c r="AT88" s="72"/>
      <c r="AU88" s="72"/>
      <c r="AV88" s="72"/>
      <c r="AW88" s="72"/>
      <c r="AX88" s="72"/>
      <c r="AY88" s="72"/>
      <c r="AZ88" s="72"/>
      <c r="BA88" s="72"/>
      <c r="BB88" s="72"/>
    </row>
    <row r="89" spans="2:55">
      <c r="B89" s="165" t="s">
        <v>143</v>
      </c>
      <c r="C89" s="74" t="s">
        <v>253</v>
      </c>
      <c r="D89" s="166" t="s">
        <v>143</v>
      </c>
      <c r="E89" s="398">
        <v>2</v>
      </c>
      <c r="F89" s="406">
        <v>3.1435268588529325E-2</v>
      </c>
      <c r="G89" s="169"/>
      <c r="H89" s="169"/>
      <c r="I89" s="169"/>
      <c r="J89" s="171"/>
      <c r="K89" s="402">
        <v>37</v>
      </c>
      <c r="L89" s="171"/>
      <c r="M89" s="173"/>
      <c r="N89" s="173"/>
      <c r="O89" s="171"/>
      <c r="P89" s="208"/>
      <c r="Q89" s="176"/>
      <c r="R89" s="176"/>
      <c r="S89" s="176"/>
      <c r="T89" s="176"/>
      <c r="U89" s="216">
        <v>8.8800000000000001E-4</v>
      </c>
      <c r="V89" s="177">
        <f t="shared" ref="V89:V94" si="81">SUM(Q89:U89)</f>
        <v>8.8800000000000001E-4</v>
      </c>
      <c r="W89" s="179"/>
      <c r="X89" s="179"/>
      <c r="Y89" s="179"/>
      <c r="Z89" s="177">
        <f t="shared" ref="Z89:Z94" si="82">SUM(W89:Y89)</f>
        <v>0</v>
      </c>
      <c r="AA89" s="180">
        <f t="shared" ref="AA89:AA94" si="83">+V89+Z89+P89</f>
        <v>8.8800000000000001E-4</v>
      </c>
      <c r="AB89" s="73">
        <f t="shared" si="75"/>
        <v>3.464107089664303E-3</v>
      </c>
      <c r="AC89" s="73">
        <f t="shared" si="76"/>
        <v>1.4694013946117853E-3</v>
      </c>
      <c r="AD89" s="73">
        <f t="shared" si="77"/>
        <v>1.8012408901227301E-4</v>
      </c>
      <c r="AE89" s="73">
        <f t="shared" si="78"/>
        <v>3.6710106657684548E-4</v>
      </c>
      <c r="AF89" s="182">
        <f t="shared" si="79"/>
        <v>2.7002895717546684E-6</v>
      </c>
      <c r="AG89" s="162">
        <f t="shared" si="80"/>
        <v>6.3714339294369616E-3</v>
      </c>
      <c r="AH89" s="183">
        <f t="shared" si="38"/>
        <v>2.8248525935103022</v>
      </c>
      <c r="AI89" s="183">
        <f t="shared" si="38"/>
        <v>11.019810694184269</v>
      </c>
      <c r="AJ89" s="183">
        <f t="shared" si="38"/>
        <v>4.6743720050413922</v>
      </c>
      <c r="AK89" s="160">
        <f t="shared" si="52"/>
        <v>20.268425292735966</v>
      </c>
      <c r="AL89" s="183">
        <f t="shared" si="63"/>
        <v>1.1678000000000002</v>
      </c>
      <c r="AM89" s="183">
        <f t="shared" si="63"/>
        <v>8.5899999999999987E-3</v>
      </c>
      <c r="AN89" s="160">
        <f t="shared" si="63"/>
        <v>20.268425292735966</v>
      </c>
      <c r="AO89" s="72"/>
      <c r="AP89" s="72"/>
      <c r="AQ89" s="72"/>
      <c r="AR89" s="72"/>
      <c r="AS89" s="72"/>
      <c r="AT89" s="72"/>
      <c r="AU89" s="72"/>
      <c r="AV89" s="72"/>
      <c r="AW89" s="72"/>
      <c r="AX89" s="72"/>
      <c r="AY89" s="72"/>
      <c r="AZ89" s="72"/>
      <c r="BA89" s="72"/>
      <c r="BB89" s="72"/>
    </row>
    <row r="90" spans="2:55">
      <c r="B90" s="165" t="s">
        <v>47</v>
      </c>
      <c r="C90" s="74" t="s">
        <v>269</v>
      </c>
      <c r="D90" s="213" t="s">
        <v>47</v>
      </c>
      <c r="E90" s="398">
        <v>23</v>
      </c>
      <c r="F90" s="205">
        <v>3.1091575656600652</v>
      </c>
      <c r="G90" s="169">
        <v>1.9812000000000001</v>
      </c>
      <c r="H90" s="169">
        <v>1.1279575656600649</v>
      </c>
      <c r="I90" s="169"/>
      <c r="J90" s="171"/>
      <c r="K90" s="171"/>
      <c r="L90" s="412">
        <v>21696</v>
      </c>
      <c r="M90" s="173"/>
      <c r="N90" s="173"/>
      <c r="O90" s="171"/>
      <c r="P90" s="208"/>
      <c r="Q90" s="175">
        <v>0.30855693312511695</v>
      </c>
      <c r="R90" s="175">
        <v>0</v>
      </c>
      <c r="S90" s="176"/>
      <c r="T90" s="176"/>
      <c r="U90" s="176"/>
      <c r="V90" s="177">
        <f t="shared" si="81"/>
        <v>0.30855693312511695</v>
      </c>
      <c r="W90" s="179"/>
      <c r="X90" s="179"/>
      <c r="Y90" s="179"/>
      <c r="Z90" s="177">
        <f t="shared" si="82"/>
        <v>0</v>
      </c>
      <c r="AA90" s="180">
        <f t="shared" si="83"/>
        <v>0.30855693312511695</v>
      </c>
      <c r="AB90" s="73">
        <f t="shared" si="75"/>
        <v>0.34262327791964714</v>
      </c>
      <c r="AC90" s="73">
        <f t="shared" si="76"/>
        <v>0.14533359084184053</v>
      </c>
      <c r="AD90" s="73">
        <f t="shared" si="77"/>
        <v>1.7815472851232174E-2</v>
      </c>
      <c r="AE90" s="73">
        <f t="shared" si="78"/>
        <v>3.6308742051778246E-2</v>
      </c>
      <c r="AF90" s="182">
        <f t="shared" si="79"/>
        <v>2.6707663489019954E-4</v>
      </c>
      <c r="AG90" s="162">
        <f t="shared" si="80"/>
        <v>0.85090509342450527</v>
      </c>
      <c r="AH90" s="183">
        <f t="shared" si="38"/>
        <v>9.9241330363265519</v>
      </c>
      <c r="AI90" s="183">
        <f t="shared" si="38"/>
        <v>11.019810694184269</v>
      </c>
      <c r="AJ90" s="183">
        <f t="shared" si="38"/>
        <v>4.6743720050413922</v>
      </c>
      <c r="AK90" s="160">
        <f t="shared" si="52"/>
        <v>27.367705735552217</v>
      </c>
      <c r="AL90" s="183">
        <f t="shared" si="63"/>
        <v>1.1678000000000002</v>
      </c>
      <c r="AM90" s="183">
        <f t="shared" si="63"/>
        <v>8.5899999999999969E-3</v>
      </c>
      <c r="AN90" s="160">
        <f t="shared" si="63"/>
        <v>27.367705735552217</v>
      </c>
      <c r="AO90" s="72"/>
      <c r="AP90" s="72"/>
      <c r="AQ90" s="72"/>
      <c r="AR90" s="72"/>
      <c r="AS90" s="72"/>
      <c r="AT90" s="72"/>
      <c r="AU90" s="72"/>
      <c r="AV90" s="72"/>
      <c r="AW90" s="72"/>
      <c r="AX90" s="72"/>
      <c r="AY90" s="72"/>
      <c r="AZ90" s="72"/>
      <c r="BA90" s="72"/>
      <c r="BB90" s="72"/>
    </row>
    <row r="91" spans="2:55">
      <c r="B91" s="165" t="s">
        <v>125</v>
      </c>
      <c r="C91" s="74" t="s">
        <v>253</v>
      </c>
      <c r="D91" s="213" t="s">
        <v>125</v>
      </c>
      <c r="E91" s="398">
        <v>226</v>
      </c>
      <c r="F91" s="205">
        <v>2.7</v>
      </c>
      <c r="G91" s="169"/>
      <c r="H91" s="169"/>
      <c r="I91" s="169"/>
      <c r="J91" s="171"/>
      <c r="K91" s="171"/>
      <c r="L91" s="171"/>
      <c r="M91" s="173"/>
      <c r="N91" s="173"/>
      <c r="O91" s="171"/>
      <c r="P91" s="174">
        <v>1.206E-2</v>
      </c>
      <c r="Q91" s="176"/>
      <c r="R91" s="176"/>
      <c r="S91" s="176"/>
      <c r="T91" s="176"/>
      <c r="U91" s="175">
        <v>0.19164660216564494</v>
      </c>
      <c r="V91" s="177">
        <f t="shared" si="81"/>
        <v>0.19164660216564494</v>
      </c>
      <c r="W91" s="179"/>
      <c r="X91" s="179"/>
      <c r="Y91" s="179"/>
      <c r="Z91" s="177">
        <f t="shared" si="82"/>
        <v>0</v>
      </c>
      <c r="AA91" s="180">
        <f t="shared" si="83"/>
        <v>0.20370660216564493</v>
      </c>
      <c r="AB91" s="73">
        <f t="shared" si="75"/>
        <v>0.29753488874297529</v>
      </c>
      <c r="AC91" s="73">
        <f t="shared" si="76"/>
        <v>0.12620804413611761</v>
      </c>
      <c r="AD91" s="73">
        <f t="shared" si="77"/>
        <v>1.5471E-2</v>
      </c>
      <c r="AE91" s="73">
        <f t="shared" si="78"/>
        <v>3.1530600000000006E-2</v>
      </c>
      <c r="AF91" s="182">
        <f t="shared" si="79"/>
        <v>2.3192999999999998E-4</v>
      </c>
      <c r="AG91" s="162">
        <f t="shared" si="80"/>
        <v>0.67468306504473785</v>
      </c>
      <c r="AH91" s="183">
        <f t="shared" si="38"/>
        <v>7.5446889690979599</v>
      </c>
      <c r="AI91" s="183">
        <f t="shared" si="38"/>
        <v>11.019810694184269</v>
      </c>
      <c r="AJ91" s="183">
        <f t="shared" si="38"/>
        <v>4.6743720050413922</v>
      </c>
      <c r="AK91" s="160">
        <f t="shared" si="52"/>
        <v>24.988261668323624</v>
      </c>
      <c r="AL91" s="183">
        <f t="shared" si="63"/>
        <v>1.1678000000000002</v>
      </c>
      <c r="AM91" s="183">
        <f t="shared" si="63"/>
        <v>8.5899999999999987E-3</v>
      </c>
      <c r="AN91" s="160">
        <f t="shared" si="63"/>
        <v>24.988261668323624</v>
      </c>
      <c r="AO91" s="72"/>
      <c r="AP91" s="72"/>
      <c r="AQ91" s="72"/>
      <c r="AR91" s="72"/>
      <c r="AS91" s="72"/>
      <c r="AT91" s="72"/>
      <c r="AU91" s="72"/>
      <c r="AV91" s="72"/>
      <c r="AW91" s="72"/>
      <c r="AX91" s="72"/>
      <c r="AY91" s="72"/>
      <c r="AZ91" s="72"/>
      <c r="BA91" s="72"/>
      <c r="BB91" s="72"/>
    </row>
    <row r="92" spans="2:55">
      <c r="B92" s="165" t="s">
        <v>138</v>
      </c>
      <c r="C92" s="74" t="s">
        <v>253</v>
      </c>
      <c r="D92" s="213" t="s">
        <v>286</v>
      </c>
      <c r="E92" s="398">
        <v>80</v>
      </c>
      <c r="F92" s="214">
        <v>0.7</v>
      </c>
      <c r="G92" s="169"/>
      <c r="H92" s="169"/>
      <c r="I92" s="169"/>
      <c r="J92" s="171"/>
      <c r="K92" s="171"/>
      <c r="L92" s="171"/>
      <c r="M92" s="173"/>
      <c r="N92" s="173"/>
      <c r="O92" s="171"/>
      <c r="P92" s="174">
        <v>4.8599999999999997E-3</v>
      </c>
      <c r="Q92" s="176"/>
      <c r="R92" s="176"/>
      <c r="S92" s="176"/>
      <c r="T92" s="176"/>
      <c r="U92" s="175">
        <v>4.818005435019572E-2</v>
      </c>
      <c r="V92" s="177">
        <f t="shared" si="81"/>
        <v>4.818005435019572E-2</v>
      </c>
      <c r="W92" s="179"/>
      <c r="X92" s="179"/>
      <c r="Y92" s="179"/>
      <c r="Z92" s="177">
        <f t="shared" si="82"/>
        <v>0</v>
      </c>
      <c r="AA92" s="180">
        <f t="shared" si="83"/>
        <v>5.3040054350195723E-2</v>
      </c>
      <c r="AB92" s="73">
        <f t="shared" si="75"/>
        <v>7.713867485928988E-2</v>
      </c>
      <c r="AC92" s="73">
        <f t="shared" si="76"/>
        <v>3.2720604035289744E-2</v>
      </c>
      <c r="AD92" s="73">
        <f t="shared" si="77"/>
        <v>4.0109999999999998E-3</v>
      </c>
      <c r="AE92" s="73">
        <f t="shared" si="78"/>
        <v>8.1746000000000006E-3</v>
      </c>
      <c r="AF92" s="182">
        <f t="shared" si="79"/>
        <v>6.0129999999999988E-5</v>
      </c>
      <c r="AG92" s="162">
        <f t="shared" si="80"/>
        <v>0.17514506324477533</v>
      </c>
      <c r="AH92" s="183">
        <f t="shared" si="38"/>
        <v>7.577150621456533</v>
      </c>
      <c r="AI92" s="183">
        <f t="shared" si="38"/>
        <v>11.019810694184269</v>
      </c>
      <c r="AJ92" s="183">
        <f t="shared" si="38"/>
        <v>4.6743720050413922</v>
      </c>
      <c r="AK92" s="160">
        <f t="shared" si="52"/>
        <v>25.020723320682194</v>
      </c>
      <c r="AL92" s="183">
        <f t="shared" si="63"/>
        <v>1.1678000000000002</v>
      </c>
      <c r="AM92" s="183">
        <f t="shared" si="63"/>
        <v>8.5899999999999987E-3</v>
      </c>
      <c r="AN92" s="160">
        <f t="shared" si="63"/>
        <v>25.020723320682194</v>
      </c>
      <c r="AO92" s="72"/>
      <c r="AP92" s="72"/>
      <c r="AQ92" s="72"/>
      <c r="AR92" s="72"/>
      <c r="AS92" s="72"/>
      <c r="AT92" s="72"/>
      <c r="AU92" s="72"/>
      <c r="AV92" s="72"/>
      <c r="AW92" s="72"/>
      <c r="AX92" s="72"/>
      <c r="AY92" s="72"/>
      <c r="AZ92" s="72"/>
      <c r="BA92" s="72"/>
      <c r="BB92" s="72"/>
    </row>
    <row r="93" spans="2:55">
      <c r="B93" s="165" t="s">
        <v>139</v>
      </c>
      <c r="C93" s="74" t="s">
        <v>253</v>
      </c>
      <c r="D93" s="213" t="s">
        <v>287</v>
      </c>
      <c r="E93" s="398">
        <v>687</v>
      </c>
      <c r="F93" s="205">
        <v>1.4</v>
      </c>
      <c r="G93" s="169"/>
      <c r="H93" s="169"/>
      <c r="I93" s="169"/>
      <c r="J93" s="171"/>
      <c r="K93" s="171"/>
      <c r="L93" s="171"/>
      <c r="M93" s="173"/>
      <c r="N93" s="173"/>
      <c r="O93" s="171"/>
      <c r="P93" s="208"/>
      <c r="Q93" s="176"/>
      <c r="R93" s="176"/>
      <c r="S93" s="176"/>
      <c r="T93" s="176"/>
      <c r="U93" s="175">
        <v>7.1241229236892703E-2</v>
      </c>
      <c r="V93" s="177">
        <f t="shared" si="81"/>
        <v>7.1241229236892703E-2</v>
      </c>
      <c r="W93" s="179"/>
      <c r="X93" s="179"/>
      <c r="Y93" s="179"/>
      <c r="Z93" s="177">
        <f t="shared" si="82"/>
        <v>0</v>
      </c>
      <c r="AA93" s="180">
        <f t="shared" si="83"/>
        <v>7.1241229236892703E-2</v>
      </c>
      <c r="AB93" s="73">
        <f t="shared" si="75"/>
        <v>0.15427734971857976</v>
      </c>
      <c r="AC93" s="73">
        <f t="shared" si="76"/>
        <v>6.5441208070579487E-2</v>
      </c>
      <c r="AD93" s="73">
        <f t="shared" si="77"/>
        <v>8.0219999999999996E-3</v>
      </c>
      <c r="AE93" s="73">
        <f t="shared" si="78"/>
        <v>1.6349200000000001E-2</v>
      </c>
      <c r="AF93" s="182">
        <f t="shared" si="79"/>
        <v>1.2025999999999998E-4</v>
      </c>
      <c r="AG93" s="162">
        <f t="shared" si="80"/>
        <v>0.31545124702605193</v>
      </c>
      <c r="AH93" s="183">
        <f t="shared" si="38"/>
        <v>5.0886592312066226</v>
      </c>
      <c r="AI93" s="183">
        <f t="shared" si="38"/>
        <v>11.019810694184269</v>
      </c>
      <c r="AJ93" s="183">
        <f t="shared" si="38"/>
        <v>4.6743720050413922</v>
      </c>
      <c r="AK93" s="160">
        <f t="shared" si="52"/>
        <v>22.532231930432282</v>
      </c>
      <c r="AL93" s="183">
        <f t="shared" si="63"/>
        <v>1.1678000000000002</v>
      </c>
      <c r="AM93" s="183">
        <f t="shared" si="63"/>
        <v>8.5899999999999987E-3</v>
      </c>
      <c r="AN93" s="160">
        <f t="shared" si="63"/>
        <v>22.532231930432282</v>
      </c>
      <c r="AO93" s="72"/>
      <c r="AP93" s="72"/>
      <c r="AQ93" s="72"/>
      <c r="AR93" s="72"/>
      <c r="AS93" s="72"/>
      <c r="AT93" s="72"/>
      <c r="AU93" s="72"/>
      <c r="AV93" s="72"/>
      <c r="AW93" s="72"/>
      <c r="AX93" s="72"/>
      <c r="AY93" s="72"/>
      <c r="AZ93" s="72"/>
      <c r="BA93" s="72"/>
      <c r="BB93" s="72"/>
    </row>
    <row r="94" spans="2:55">
      <c r="B94" s="165" t="s">
        <v>140</v>
      </c>
      <c r="C94" s="74" t="s">
        <v>253</v>
      </c>
      <c r="D94" s="213" t="s">
        <v>140</v>
      </c>
      <c r="E94" s="407">
        <v>1038</v>
      </c>
      <c r="F94" s="205">
        <v>13</v>
      </c>
      <c r="G94" s="219"/>
      <c r="H94" s="219"/>
      <c r="I94" s="219"/>
      <c r="J94" s="230"/>
      <c r="K94" s="230"/>
      <c r="L94" s="230"/>
      <c r="M94" s="254"/>
      <c r="N94" s="254"/>
      <c r="O94" s="230"/>
      <c r="P94" s="174">
        <v>6.1800000000000001E-2</v>
      </c>
      <c r="Q94" s="222"/>
      <c r="R94" s="222"/>
      <c r="S94" s="222"/>
      <c r="T94" s="222"/>
      <c r="U94" s="175">
        <v>0.3951391848937581</v>
      </c>
      <c r="V94" s="177">
        <f t="shared" si="81"/>
        <v>0.3951391848937581</v>
      </c>
      <c r="W94" s="179"/>
      <c r="X94" s="179"/>
      <c r="Y94" s="179"/>
      <c r="Z94" s="177">
        <f t="shared" si="82"/>
        <v>0</v>
      </c>
      <c r="AA94" s="180">
        <f t="shared" si="83"/>
        <v>0.45693918489375812</v>
      </c>
      <c r="AB94" s="73">
        <f t="shared" si="75"/>
        <v>1.4325753902439551</v>
      </c>
      <c r="AC94" s="73">
        <f t="shared" si="76"/>
        <v>0.60766836065538099</v>
      </c>
      <c r="AD94" s="73">
        <f t="shared" si="77"/>
        <v>7.4490000000000001E-2</v>
      </c>
      <c r="AE94" s="73">
        <f t="shared" si="78"/>
        <v>0.151814</v>
      </c>
      <c r="AF94" s="182">
        <f t="shared" si="79"/>
        <v>1.1166999999999998E-3</v>
      </c>
      <c r="AG94" s="162">
        <f t="shared" si="80"/>
        <v>2.7246036357930943</v>
      </c>
      <c r="AH94" s="183">
        <f t="shared" si="38"/>
        <v>3.5149168068750622</v>
      </c>
      <c r="AI94" s="183">
        <f t="shared" si="38"/>
        <v>11.019810694184271</v>
      </c>
      <c r="AJ94" s="183">
        <f t="shared" si="38"/>
        <v>4.6743720050413922</v>
      </c>
      <c r="AK94" s="160">
        <f t="shared" si="52"/>
        <v>20.958489506100726</v>
      </c>
      <c r="AL94" s="183">
        <f t="shared" si="63"/>
        <v>1.1678000000000002</v>
      </c>
      <c r="AM94" s="183">
        <f t="shared" si="63"/>
        <v>8.5899999999999987E-3</v>
      </c>
      <c r="AN94" s="160">
        <f t="shared" si="63"/>
        <v>20.958489506100726</v>
      </c>
      <c r="AO94" s="72"/>
      <c r="AP94" s="72"/>
      <c r="AQ94" s="72"/>
      <c r="AR94" s="72"/>
      <c r="AS94" s="72"/>
      <c r="AT94" s="72"/>
      <c r="AU94" s="72"/>
      <c r="AV94" s="72"/>
      <c r="AW94" s="72"/>
      <c r="AX94" s="72"/>
      <c r="AY94" s="72"/>
      <c r="AZ94" s="72"/>
      <c r="BA94" s="72"/>
      <c r="BB94" s="72"/>
    </row>
    <row r="95" spans="2:55">
      <c r="C95" s="187"/>
      <c r="D95" s="187" t="s">
        <v>222</v>
      </c>
      <c r="E95" s="188">
        <f>SUM(E79:E94)</f>
        <v>2207.1047265987027</v>
      </c>
      <c r="F95" s="190">
        <f>+F79+F87+F88+F89+F90+F91+F92+F93+F94</f>
        <v>268.85386689968573</v>
      </c>
      <c r="G95" s="190">
        <f t="shared" ref="G95:AF95" si="84">+G79+G87+G88+G89+G90+G91+G92+G93+G94</f>
        <v>1.9812000000000001</v>
      </c>
      <c r="H95" s="190">
        <f t="shared" si="84"/>
        <v>1.1279575656600649</v>
      </c>
      <c r="I95" s="190">
        <f t="shared" si="84"/>
        <v>0</v>
      </c>
      <c r="J95" s="191">
        <f t="shared" si="84"/>
        <v>0</v>
      </c>
      <c r="K95" s="191">
        <f t="shared" si="84"/>
        <v>446276</v>
      </c>
      <c r="L95" s="191"/>
      <c r="M95" s="192">
        <f t="shared" si="84"/>
        <v>0</v>
      </c>
      <c r="N95" s="192">
        <f t="shared" si="84"/>
        <v>0</v>
      </c>
      <c r="O95" s="193">
        <f t="shared" si="84"/>
        <v>0</v>
      </c>
      <c r="P95" s="194">
        <f>+P79+P87+P88+P89+P90+P91+P92+P93+P94</f>
        <v>7.8719999999999998E-2</v>
      </c>
      <c r="Q95" s="255">
        <f>+Q79+Q87+Q88+Q89+Q90+Q91+Q92+Q93+Q94</f>
        <v>0.30855693312511695</v>
      </c>
      <c r="R95" s="231">
        <f t="shared" ref="R95:T95" si="85">+R79+R87+R88+R89+R90+R91+R92+R93+R94</f>
        <v>0</v>
      </c>
      <c r="S95" s="231">
        <f t="shared" si="85"/>
        <v>0</v>
      </c>
      <c r="T95" s="231">
        <f t="shared" si="85"/>
        <v>0</v>
      </c>
      <c r="U95" s="231">
        <f>+U79+U87+U88+U89+U90+U91+U92+U93+U94</f>
        <v>61.642122350646481</v>
      </c>
      <c r="V95" s="256">
        <f>+V79+V87+V88+V89+V90+V91+V92+V93+V94</f>
        <v>61.950679283771599</v>
      </c>
      <c r="W95" s="257">
        <f>+W79+W87+W88+W89+W90+W91+W92+W93+W94</f>
        <v>0</v>
      </c>
      <c r="X95" s="231">
        <f>+X79+X87+X88+X89+X90+X91+X92+X93+X94</f>
        <v>0</v>
      </c>
      <c r="Y95" s="231">
        <f t="shared" ref="Y95" si="86">+Y79+Y87+Y88+Y89+Y90+Y91+Y92+Y93+Y94</f>
        <v>0</v>
      </c>
      <c r="Z95" s="256">
        <f>+Z79+Z87+Z88+Z89+Z90+Z91+Z92+Z93+Z94</f>
        <v>0</v>
      </c>
      <c r="AA95" s="194">
        <f>+AA79+AA87+AA88+AA89+AA90+AA91+AA92+AA93+AA94</f>
        <v>62.029399283771596</v>
      </c>
      <c r="AB95" s="198">
        <f t="shared" si="84"/>
        <v>29.627187176339497</v>
      </c>
      <c r="AC95" s="198">
        <f t="shared" si="84"/>
        <v>12.567229888830155</v>
      </c>
      <c r="AD95" s="198">
        <f t="shared" si="84"/>
        <v>1.540532657335199</v>
      </c>
      <c r="AE95" s="198">
        <f t="shared" si="84"/>
        <v>3.1396754576545312</v>
      </c>
      <c r="AF95" s="258">
        <f t="shared" si="84"/>
        <v>2.3094547166682997E-2</v>
      </c>
      <c r="AG95" s="259">
        <f t="shared" si="80"/>
        <v>108.92711901109766</v>
      </c>
      <c r="AH95" s="259">
        <f t="shared" ref="AH95:AJ95" si="87">+AA95/$F95*100</f>
        <v>23.071789890571257</v>
      </c>
      <c r="AI95" s="259">
        <f t="shared" si="87"/>
        <v>11.019810694184265</v>
      </c>
      <c r="AJ95" s="259">
        <f t="shared" si="87"/>
        <v>4.6743720050413922</v>
      </c>
      <c r="AK95" s="202">
        <f t="shared" si="52"/>
        <v>40.515362589796915</v>
      </c>
      <c r="AL95" s="201">
        <f t="shared" ref="AL95:AN95" si="88">+AE95/$F95*100</f>
        <v>1.1678000000000004</v>
      </c>
      <c r="AM95" s="201">
        <f t="shared" si="88"/>
        <v>8.5899999999999969E-3</v>
      </c>
      <c r="AN95" s="202">
        <f t="shared" si="88"/>
        <v>40.515362589796915</v>
      </c>
      <c r="AO95" s="72"/>
      <c r="AP95" s="72"/>
      <c r="AQ95" s="72"/>
      <c r="AR95" s="72"/>
      <c r="AS95" s="72"/>
      <c r="AT95" s="72"/>
      <c r="AU95" s="72"/>
      <c r="AV95" s="72"/>
      <c r="AW95" s="72"/>
      <c r="AX95" s="72"/>
      <c r="AY95" s="72"/>
      <c r="AZ95" s="72"/>
      <c r="BA95" s="72"/>
      <c r="BB95" s="72"/>
      <c r="BC95" s="72"/>
    </row>
    <row r="96" spans="2:55" ht="21.75" customHeight="1">
      <c r="C96" s="155" t="s">
        <v>288</v>
      </c>
      <c r="D96" s="72"/>
      <c r="E96" s="167"/>
      <c r="F96" s="168"/>
      <c r="G96" s="169"/>
      <c r="H96" s="169"/>
      <c r="I96" s="169"/>
      <c r="J96" s="171"/>
      <c r="K96" s="171"/>
      <c r="L96" s="171"/>
      <c r="M96" s="173"/>
      <c r="N96" s="173"/>
      <c r="O96" s="184"/>
      <c r="P96" s="208"/>
      <c r="Q96" s="179"/>
      <c r="R96" s="179"/>
      <c r="S96" s="179"/>
      <c r="T96" s="179"/>
      <c r="U96" s="179"/>
      <c r="V96" s="209"/>
      <c r="W96" s="179"/>
      <c r="X96" s="179"/>
      <c r="Y96" s="179"/>
      <c r="Z96" s="209"/>
      <c r="AA96" s="182"/>
      <c r="AB96" s="260"/>
      <c r="AC96" s="260"/>
      <c r="AD96" s="260"/>
      <c r="AE96" s="260"/>
      <c r="AF96" s="209"/>
      <c r="AG96" s="162"/>
      <c r="AH96" s="183"/>
      <c r="AI96" s="212"/>
      <c r="AJ96" s="183"/>
      <c r="AK96" s="160"/>
      <c r="AL96" s="183"/>
      <c r="AM96" s="183"/>
      <c r="AN96" s="160"/>
      <c r="AO96" s="72"/>
      <c r="AP96" s="72"/>
      <c r="AQ96" s="72"/>
      <c r="AR96" s="72"/>
      <c r="AS96" s="72"/>
      <c r="AT96" s="72"/>
      <c r="AU96" s="72"/>
      <c r="AV96" s="72"/>
      <c r="AW96" s="72"/>
      <c r="AX96" s="72"/>
      <c r="AY96" s="72"/>
      <c r="AZ96" s="72"/>
      <c r="BA96" s="72"/>
      <c r="BB96" s="72"/>
    </row>
    <row r="97" spans="2:54">
      <c r="B97" s="165" t="s">
        <v>13</v>
      </c>
      <c r="C97" s="261" t="s">
        <v>271</v>
      </c>
      <c r="D97" s="262" t="s">
        <v>289</v>
      </c>
      <c r="E97" s="407">
        <v>2</v>
      </c>
      <c r="F97" s="263">
        <v>38.293598199999998</v>
      </c>
      <c r="G97" s="219">
        <v>22.384799999999998</v>
      </c>
      <c r="H97" s="219">
        <v>15.9087982</v>
      </c>
      <c r="I97" s="219"/>
      <c r="J97" s="230"/>
      <c r="K97" s="230"/>
      <c r="L97" s="403">
        <v>70176</v>
      </c>
      <c r="M97" s="408">
        <v>76284</v>
      </c>
      <c r="N97" s="254"/>
      <c r="O97" s="264"/>
      <c r="P97" s="265">
        <v>1.0800000000000001E-2</v>
      </c>
      <c r="Q97" s="266">
        <v>0.72413488800000003</v>
      </c>
      <c r="R97" s="266">
        <v>0.5302680862796606</v>
      </c>
      <c r="S97" s="222"/>
      <c r="T97" s="222"/>
      <c r="U97" s="222"/>
      <c r="V97" s="267">
        <f>SUM(Q97:U97)</f>
        <v>1.2544029742796607</v>
      </c>
      <c r="W97" s="268">
        <v>0.54783959999999998</v>
      </c>
      <c r="X97" s="222"/>
      <c r="Y97" s="222"/>
      <c r="Z97" s="267">
        <f>SUM(W97:Y97)</f>
        <v>0.54783959999999998</v>
      </c>
      <c r="AA97" s="269">
        <f>+V97+Z97+P97</f>
        <v>1.8130425742796608</v>
      </c>
      <c r="AB97" s="270">
        <f>$H$2*F97</f>
        <v>4.2198820296315542</v>
      </c>
      <c r="AC97" s="270">
        <f>+$H$3*F97</f>
        <v>1.7899852339838345</v>
      </c>
      <c r="AD97" s="270">
        <f>+$H$4*F97</f>
        <v>0.21942231768599998</v>
      </c>
      <c r="AE97" s="270">
        <f>+$H$5*F97</f>
        <v>0.4471926397796</v>
      </c>
      <c r="AF97" s="271">
        <f>+$H$6*F97</f>
        <v>3.2894200853799994E-3</v>
      </c>
      <c r="AG97" s="271">
        <f>+AF97+AD97+AC97+AB97+AA97+AE97</f>
        <v>8.49281421544603</v>
      </c>
      <c r="AH97" s="272">
        <f>+AA97/$F97*100</f>
        <v>4.7345840022932624</v>
      </c>
      <c r="AI97" s="272">
        <f>+AB97/$F97*100</f>
        <v>11.019810694184267</v>
      </c>
      <c r="AJ97" s="272">
        <f>+AC97/$F97*100</f>
        <v>4.6743720050413922</v>
      </c>
      <c r="AK97" s="272">
        <f>+AG97/$F97*100</f>
        <v>22.178156701518926</v>
      </c>
      <c r="AL97" s="272">
        <f t="shared" ref="AL97:AN98" si="89">+AE97/$F97*100</f>
        <v>1.1678000000000002</v>
      </c>
      <c r="AM97" s="272">
        <f t="shared" si="89"/>
        <v>8.5899999999999987E-3</v>
      </c>
      <c r="AN97" s="273">
        <f t="shared" si="89"/>
        <v>22.178156701518926</v>
      </c>
      <c r="AO97" s="72"/>
      <c r="AP97" s="203"/>
      <c r="AQ97" s="72"/>
      <c r="AR97" s="72"/>
      <c r="AS97" s="72"/>
      <c r="AT97" s="72"/>
      <c r="AU97" s="72"/>
      <c r="AV97" s="72"/>
      <c r="AW97" s="72"/>
      <c r="AX97" s="72"/>
      <c r="AY97" s="72"/>
      <c r="AZ97" s="72"/>
      <c r="BA97" s="72"/>
      <c r="BB97" s="72"/>
    </row>
    <row r="98" spans="2:54">
      <c r="C98" s="187"/>
      <c r="D98" s="187" t="s">
        <v>222</v>
      </c>
      <c r="E98" s="188">
        <f t="shared" ref="E98:K98" si="90">SUM(E97:E97)</f>
        <v>2</v>
      </c>
      <c r="F98" s="190">
        <f t="shared" si="90"/>
        <v>38.293598199999998</v>
      </c>
      <c r="G98" s="190">
        <f t="shared" si="90"/>
        <v>22.384799999999998</v>
      </c>
      <c r="H98" s="190">
        <f t="shared" si="90"/>
        <v>15.9087982</v>
      </c>
      <c r="I98" s="190">
        <f t="shared" si="90"/>
        <v>0</v>
      </c>
      <c r="J98" s="191">
        <f t="shared" si="90"/>
        <v>0</v>
      </c>
      <c r="K98" s="191">
        <f t="shared" si="90"/>
        <v>0</v>
      </c>
      <c r="L98" s="191"/>
      <c r="M98" s="192">
        <f t="shared" ref="M98:AF98" si="91">SUM(M97:M97)</f>
        <v>76284</v>
      </c>
      <c r="N98" s="192">
        <f t="shared" si="91"/>
        <v>0</v>
      </c>
      <c r="O98" s="193">
        <f t="shared" si="91"/>
        <v>0</v>
      </c>
      <c r="P98" s="194">
        <f>SUM(P97:P97)</f>
        <v>1.0800000000000001E-2</v>
      </c>
      <c r="Q98" s="195">
        <f>SUM(Q97:Q97)</f>
        <v>0.72413488800000003</v>
      </c>
      <c r="R98" s="195">
        <f t="shared" ref="R98:AA98" si="92">SUM(R97:R97)</f>
        <v>0.5302680862796606</v>
      </c>
      <c r="S98" s="195">
        <f t="shared" si="92"/>
        <v>0</v>
      </c>
      <c r="T98" s="195">
        <f t="shared" si="92"/>
        <v>0</v>
      </c>
      <c r="U98" s="195">
        <f t="shared" si="92"/>
        <v>0</v>
      </c>
      <c r="V98" s="196">
        <f t="shared" si="92"/>
        <v>1.2544029742796607</v>
      </c>
      <c r="W98" s="195">
        <f t="shared" si="92"/>
        <v>0.54783959999999998</v>
      </c>
      <c r="X98" s="195">
        <f t="shared" si="92"/>
        <v>0</v>
      </c>
      <c r="Y98" s="195">
        <f t="shared" si="92"/>
        <v>0</v>
      </c>
      <c r="Z98" s="195">
        <f t="shared" si="92"/>
        <v>0.54783959999999998</v>
      </c>
      <c r="AA98" s="274">
        <f t="shared" si="92"/>
        <v>1.8130425742796608</v>
      </c>
      <c r="AB98" s="198">
        <f t="shared" si="91"/>
        <v>4.2198820296315542</v>
      </c>
      <c r="AC98" s="198">
        <f t="shared" si="91"/>
        <v>1.7899852339838345</v>
      </c>
      <c r="AD98" s="198">
        <f t="shared" si="91"/>
        <v>0.21942231768599998</v>
      </c>
      <c r="AE98" s="198">
        <f t="shared" si="91"/>
        <v>0.4471926397796</v>
      </c>
      <c r="AF98" s="258">
        <f t="shared" si="91"/>
        <v>3.2894200853799994E-3</v>
      </c>
      <c r="AG98" s="259">
        <f t="shared" ref="AG98" si="93">+AF98+AD98+AC98+AB98+AA98+AE98</f>
        <v>8.49281421544603</v>
      </c>
      <c r="AH98" s="259">
        <f t="shared" ref="AH98:AJ98" si="94">+AA98/$F98*100</f>
        <v>4.7345840022932624</v>
      </c>
      <c r="AI98" s="259">
        <f t="shared" si="94"/>
        <v>11.019810694184267</v>
      </c>
      <c r="AJ98" s="259">
        <f t="shared" si="94"/>
        <v>4.6743720050413922</v>
      </c>
      <c r="AK98" s="259">
        <f>+AG98/$F98*100</f>
        <v>22.178156701518926</v>
      </c>
      <c r="AL98" s="201">
        <f t="shared" si="89"/>
        <v>1.1678000000000002</v>
      </c>
      <c r="AM98" s="201">
        <f t="shared" si="89"/>
        <v>8.5899999999999987E-3</v>
      </c>
      <c r="AN98" s="202">
        <f>+AG98/$F98*100</f>
        <v>22.178156701518926</v>
      </c>
      <c r="AO98" s="72"/>
      <c r="AP98" s="203"/>
      <c r="AQ98" s="72"/>
      <c r="AR98" s="72"/>
      <c r="AS98" s="72"/>
      <c r="AT98" s="72"/>
      <c r="AU98" s="72"/>
      <c r="AV98" s="72"/>
      <c r="AW98" s="72"/>
      <c r="AX98" s="72"/>
      <c r="AY98" s="72"/>
      <c r="AZ98" s="72"/>
      <c r="BA98" s="72"/>
      <c r="BB98" s="72"/>
    </row>
    <row r="99" spans="2:54" ht="25.5" customHeight="1">
      <c r="C99" s="155" t="s">
        <v>290</v>
      </c>
      <c r="D99" s="72"/>
      <c r="E99" s="167"/>
      <c r="F99" s="168"/>
      <c r="G99" s="169"/>
      <c r="H99" s="169"/>
      <c r="I99" s="169"/>
      <c r="J99" s="171"/>
      <c r="K99" s="171"/>
      <c r="L99" s="171"/>
      <c r="M99" s="173"/>
      <c r="N99" s="173"/>
      <c r="O99" s="184"/>
      <c r="P99" s="208"/>
      <c r="Q99" s="179"/>
      <c r="R99" s="179"/>
      <c r="S99" s="179"/>
      <c r="T99" s="179"/>
      <c r="U99" s="179"/>
      <c r="V99" s="209"/>
      <c r="W99" s="179"/>
      <c r="X99" s="179"/>
      <c r="Y99" s="179"/>
      <c r="Z99" s="209"/>
      <c r="AA99" s="182"/>
      <c r="AB99" s="260"/>
      <c r="AC99" s="260"/>
      <c r="AD99" s="260"/>
      <c r="AE99" s="260"/>
      <c r="AF99" s="209"/>
      <c r="AG99" s="162"/>
      <c r="AH99" s="183"/>
      <c r="AI99" s="183"/>
      <c r="AJ99" s="183"/>
      <c r="AK99" s="160"/>
      <c r="AL99" s="183"/>
      <c r="AM99" s="183"/>
      <c r="AN99" s="275"/>
      <c r="AO99" s="72"/>
      <c r="AP99" s="72"/>
      <c r="AQ99" s="72"/>
      <c r="AR99" s="72"/>
      <c r="AS99" s="72"/>
      <c r="AT99" s="72"/>
      <c r="AU99" s="72"/>
      <c r="AV99" s="72"/>
      <c r="AW99" s="72"/>
      <c r="AX99" s="72"/>
      <c r="AY99" s="72"/>
      <c r="AZ99" s="72"/>
      <c r="BA99" s="72"/>
      <c r="BB99" s="72"/>
    </row>
    <row r="100" spans="2:54">
      <c r="B100" s="165" t="s">
        <v>19</v>
      </c>
      <c r="C100" s="261" t="s">
        <v>253</v>
      </c>
      <c r="D100" s="262" t="s">
        <v>291</v>
      </c>
      <c r="E100" s="167">
        <v>1082</v>
      </c>
      <c r="F100" s="263">
        <v>23.109614930104854</v>
      </c>
      <c r="G100" s="219"/>
      <c r="H100" s="219"/>
      <c r="I100" s="219"/>
      <c r="J100" s="230"/>
      <c r="K100" s="230"/>
      <c r="L100" s="230"/>
      <c r="M100" s="254"/>
      <c r="N100" s="254"/>
      <c r="O100" s="264"/>
      <c r="P100" s="265">
        <v>0.13236000000000001</v>
      </c>
      <c r="Q100" s="222"/>
      <c r="R100" s="222"/>
      <c r="S100" s="222"/>
      <c r="T100" s="222"/>
      <c r="U100" s="175">
        <v>1.2058546745066152</v>
      </c>
      <c r="V100" s="267">
        <f>SUM(Q100:U100)</f>
        <v>1.2058546745066152</v>
      </c>
      <c r="W100" s="222"/>
      <c r="X100" s="222"/>
      <c r="Y100" s="222"/>
      <c r="Z100" s="267">
        <f>SUM(W100:Y100)</f>
        <v>0</v>
      </c>
      <c r="AA100" s="269">
        <f>+V100+Z100+P100</f>
        <v>1.3382146745066152</v>
      </c>
      <c r="AB100" s="270">
        <f>$H$2*F100</f>
        <v>2.5466358174524992</v>
      </c>
      <c r="AC100" s="270">
        <f>+$H$3*F100</f>
        <v>1.0802293707656874</v>
      </c>
      <c r="AD100" s="270">
        <f>+$H$4*F100</f>
        <v>0.13241809354950082</v>
      </c>
      <c r="AE100" s="260">
        <f t="shared" ref="AE100" si="95">+$H$5*F100</f>
        <v>0.26987408315376449</v>
      </c>
      <c r="AF100" s="182">
        <f t="shared" ref="AF100" si="96">+$H$6*F100</f>
        <v>1.9851159224960066E-3</v>
      </c>
      <c r="AG100" s="162">
        <f t="shared" ref="AG100:AG101" si="97">+AF100+AD100+AC100+AB100+AA100+AE100</f>
        <v>5.3693571553505635</v>
      </c>
      <c r="AH100" s="183">
        <f t="shared" ref="AH100:AJ101" si="98">+AA100/$F100*100</f>
        <v>5.7907268405555534</v>
      </c>
      <c r="AI100" s="183">
        <f t="shared" si="98"/>
        <v>11.019810694184269</v>
      </c>
      <c r="AJ100" s="183">
        <f t="shared" si="98"/>
        <v>4.6743720050413931</v>
      </c>
      <c r="AK100" s="160">
        <f>+AG100/$F100*100</f>
        <v>23.234299539781215</v>
      </c>
      <c r="AL100" s="183">
        <f t="shared" ref="AL100:AM102" si="99">+AE100/$F100*100</f>
        <v>1.1678000000000002</v>
      </c>
      <c r="AM100" s="183">
        <f t="shared" si="99"/>
        <v>8.5899999999999987E-3</v>
      </c>
      <c r="AN100" s="160">
        <f>+AG100/$F100*100</f>
        <v>23.234299539781215</v>
      </c>
      <c r="AO100" s="72"/>
      <c r="AP100" s="72"/>
      <c r="AQ100" s="72"/>
      <c r="AR100" s="72"/>
      <c r="AS100" s="72"/>
      <c r="AT100" s="72"/>
      <c r="AU100" s="72"/>
      <c r="AV100" s="72"/>
      <c r="AW100" s="72"/>
      <c r="AX100" s="72"/>
      <c r="AY100" s="72"/>
      <c r="AZ100" s="72"/>
      <c r="BA100" s="72"/>
      <c r="BB100" s="72"/>
    </row>
    <row r="101" spans="2:54">
      <c r="C101" s="187"/>
      <c r="D101" s="187" t="s">
        <v>222</v>
      </c>
      <c r="E101" s="188">
        <f t="shared" ref="E101:K101" si="100">SUM(E100:E100)</f>
        <v>1082</v>
      </c>
      <c r="F101" s="190">
        <f t="shared" si="100"/>
        <v>23.109614930104854</v>
      </c>
      <c r="G101" s="190">
        <f t="shared" si="100"/>
        <v>0</v>
      </c>
      <c r="H101" s="190">
        <f t="shared" si="100"/>
        <v>0</v>
      </c>
      <c r="I101" s="190">
        <f t="shared" si="100"/>
        <v>0</v>
      </c>
      <c r="J101" s="191">
        <f t="shared" si="100"/>
        <v>0</v>
      </c>
      <c r="K101" s="191">
        <f t="shared" si="100"/>
        <v>0</v>
      </c>
      <c r="L101" s="191"/>
      <c r="M101" s="192">
        <f t="shared" ref="M101:AF101" si="101">SUM(M100:M100)</f>
        <v>0</v>
      </c>
      <c r="N101" s="192">
        <f t="shared" si="101"/>
        <v>0</v>
      </c>
      <c r="O101" s="193">
        <f t="shared" si="101"/>
        <v>0</v>
      </c>
      <c r="P101" s="194">
        <f>SUM(P100:P100)</f>
        <v>0.13236000000000001</v>
      </c>
      <c r="Q101" s="195">
        <f t="shared" si="101"/>
        <v>0</v>
      </c>
      <c r="R101" s="195">
        <f t="shared" si="101"/>
        <v>0</v>
      </c>
      <c r="S101" s="195">
        <f t="shared" si="101"/>
        <v>0</v>
      </c>
      <c r="T101" s="195">
        <f t="shared" si="101"/>
        <v>0</v>
      </c>
      <c r="U101" s="195">
        <f t="shared" si="101"/>
        <v>1.2058546745066152</v>
      </c>
      <c r="V101" s="196">
        <f t="shared" si="101"/>
        <v>1.2058546745066152</v>
      </c>
      <c r="W101" s="195">
        <f t="shared" si="101"/>
        <v>0</v>
      </c>
      <c r="X101" s="195">
        <f t="shared" si="101"/>
        <v>0</v>
      </c>
      <c r="Y101" s="195">
        <f t="shared" si="101"/>
        <v>0</v>
      </c>
      <c r="Z101" s="196">
        <f t="shared" si="101"/>
        <v>0</v>
      </c>
      <c r="AA101" s="197">
        <f t="shared" si="101"/>
        <v>1.3382146745066152</v>
      </c>
      <c r="AB101" s="198">
        <f t="shared" si="101"/>
        <v>2.5466358174524992</v>
      </c>
      <c r="AC101" s="198">
        <f t="shared" si="101"/>
        <v>1.0802293707656874</v>
      </c>
      <c r="AD101" s="198">
        <f t="shared" si="101"/>
        <v>0.13241809354950082</v>
      </c>
      <c r="AE101" s="198">
        <f t="shared" si="101"/>
        <v>0.26987408315376449</v>
      </c>
      <c r="AF101" s="258">
        <f t="shared" si="101"/>
        <v>1.9851159224960066E-3</v>
      </c>
      <c r="AG101" s="259">
        <f t="shared" si="97"/>
        <v>5.3693571553505635</v>
      </c>
      <c r="AH101" s="259">
        <f t="shared" si="98"/>
        <v>5.7907268405555534</v>
      </c>
      <c r="AI101" s="259">
        <f t="shared" si="98"/>
        <v>11.019810694184269</v>
      </c>
      <c r="AJ101" s="259">
        <f t="shared" si="98"/>
        <v>4.6743720050413931</v>
      </c>
      <c r="AK101" s="259">
        <f>+AG101/$F101*100</f>
        <v>23.234299539781215</v>
      </c>
      <c r="AL101" s="201">
        <f t="shared" si="99"/>
        <v>1.1678000000000002</v>
      </c>
      <c r="AM101" s="201">
        <f t="shared" si="99"/>
        <v>8.5899999999999987E-3</v>
      </c>
      <c r="AN101" s="202">
        <f>+AG101/$F101*100</f>
        <v>23.234299539781215</v>
      </c>
      <c r="AO101" s="72"/>
      <c r="AP101" s="203"/>
      <c r="AQ101" s="72"/>
      <c r="AR101" s="72"/>
      <c r="AS101" s="72"/>
      <c r="AT101" s="72"/>
      <c r="AU101" s="72"/>
      <c r="AV101" s="72"/>
      <c r="AW101" s="72"/>
      <c r="AX101" s="72"/>
      <c r="AY101" s="72"/>
      <c r="AZ101" s="72"/>
      <c r="BA101" s="72"/>
      <c r="BB101" s="72"/>
    </row>
    <row r="102" spans="2:54" ht="24" customHeight="1" thickBot="1">
      <c r="C102" s="276"/>
      <c r="D102" s="276" t="s">
        <v>222</v>
      </c>
      <c r="E102" s="277">
        <f t="shared" ref="E102:K102" si="102">+E101+E97+E95+E54+E45+E34</f>
        <v>1517953.1047265986</v>
      </c>
      <c r="F102" s="278">
        <f t="shared" si="102"/>
        <v>15526.65708002979</v>
      </c>
      <c r="G102" s="279">
        <f t="shared" si="102"/>
        <v>9962.6660000000011</v>
      </c>
      <c r="H102" s="279">
        <f t="shared" si="102"/>
        <v>2719.7367557656598</v>
      </c>
      <c r="I102" s="279">
        <f t="shared" si="102"/>
        <v>112.39999999999999</v>
      </c>
      <c r="J102" s="280">
        <f t="shared" si="102"/>
        <v>182.9</v>
      </c>
      <c r="K102" s="280">
        <f t="shared" si="102"/>
        <v>446276</v>
      </c>
      <c r="L102" s="280"/>
      <c r="M102" s="281">
        <f>+M101+M97+M95+M54+M45+M34</f>
        <v>21609000</v>
      </c>
      <c r="N102" s="281">
        <f>+N101+N97+N95+N54+N45+N34</f>
        <v>976344</v>
      </c>
      <c r="O102" s="282">
        <f>+O101+O97+O95+O54+O45+O34</f>
        <v>973680</v>
      </c>
      <c r="P102" s="283">
        <f>+P101+P98+P95+P54+P45+P34</f>
        <v>96.411145919999996</v>
      </c>
      <c r="Q102" s="284">
        <f>+Q101+Q98+Q95+Q54+Q45+Q34</f>
        <v>487.13301451410223</v>
      </c>
      <c r="R102" s="285">
        <f t="shared" ref="R102:V102" si="103">+R101+R98+R95+R54+R45+R34</f>
        <v>32.264380049887365</v>
      </c>
      <c r="S102" s="285">
        <f t="shared" si="103"/>
        <v>8.3080048073046893</v>
      </c>
      <c r="T102" s="285">
        <f t="shared" si="103"/>
        <v>5.0666950005874103</v>
      </c>
      <c r="U102" s="285">
        <f t="shared" si="103"/>
        <v>253.60415414356743</v>
      </c>
      <c r="V102" s="286">
        <f t="shared" si="103"/>
        <v>786.37624851544911</v>
      </c>
      <c r="W102" s="284">
        <f>+W101+W98+W95+W54+W45+W34</f>
        <v>172.18715331600001</v>
      </c>
      <c r="X102" s="285">
        <f>+X101+X98+X95+X54+X45+X34</f>
        <v>0.83276899999999998</v>
      </c>
      <c r="Y102" s="285">
        <f t="shared" ref="Y102:AA102" si="104">+Y101+Y98+Y95+Y54+Y45+Y34</f>
        <v>0.10777435</v>
      </c>
      <c r="Z102" s="286">
        <f t="shared" si="104"/>
        <v>173.12769666599999</v>
      </c>
      <c r="AA102" s="287">
        <f t="shared" si="104"/>
        <v>1055.915091101449</v>
      </c>
      <c r="AB102" s="288">
        <f t="shared" ref="AB102:AF102" si="105">(AB34+AB45+AB54+AB95+AB97+AB101)</f>
        <v>1711.0082173544417</v>
      </c>
      <c r="AC102" s="288">
        <f t="shared" si="105"/>
        <v>725.77371186768994</v>
      </c>
      <c r="AD102" s="288">
        <f t="shared" si="105"/>
        <v>88.967745068570693</v>
      </c>
      <c r="AE102" s="288">
        <f t="shared" si="105"/>
        <v>181.32030138058789</v>
      </c>
      <c r="AF102" s="289">
        <f t="shared" si="105"/>
        <v>1.3337398431745586</v>
      </c>
      <c r="AG102" s="290">
        <f>(AG34+AG45+AG54+AG95+AG97+AG100)</f>
        <v>3764.3188066159137</v>
      </c>
      <c r="AH102" s="291">
        <v>6</v>
      </c>
      <c r="AI102" s="291">
        <f>+AB102/$F102*100</f>
        <v>11.019810694184269</v>
      </c>
      <c r="AJ102" s="291">
        <f>+AC102/$F102*100</f>
        <v>4.6743720050413931</v>
      </c>
      <c r="AK102" s="292">
        <f>+AG102/$F102*100</f>
        <v>24.244232272364265</v>
      </c>
      <c r="AL102" s="291">
        <f t="shared" si="99"/>
        <v>1.1677999999999999</v>
      </c>
      <c r="AM102" s="291">
        <f t="shared" si="99"/>
        <v>8.5899999999999969E-3</v>
      </c>
      <c r="AN102" s="292">
        <f>+AG102/$F102*100</f>
        <v>24.244232272364265</v>
      </c>
      <c r="AO102" s="72"/>
      <c r="AP102" s="203"/>
      <c r="AQ102" s="72"/>
      <c r="AR102" s="72"/>
      <c r="AS102" s="72"/>
      <c r="AT102" s="72"/>
      <c r="AU102" s="72"/>
      <c r="AV102" s="72"/>
      <c r="AW102" s="72"/>
      <c r="AX102" s="72"/>
      <c r="AY102" s="72"/>
      <c r="AZ102" s="72"/>
      <c r="BA102" s="72"/>
      <c r="BB102" s="72"/>
    </row>
    <row r="103" spans="2:54">
      <c r="C103" s="74"/>
      <c r="F103" s="98"/>
      <c r="H103" s="100"/>
      <c r="I103" s="100"/>
      <c r="J103" s="100"/>
      <c r="K103" s="100"/>
      <c r="L103" s="100"/>
      <c r="M103" s="100"/>
      <c r="N103" s="100"/>
      <c r="Q103" s="108"/>
      <c r="R103" s="108"/>
      <c r="S103" s="108"/>
      <c r="T103" s="108"/>
      <c r="V103" s="108"/>
      <c r="W103" s="108"/>
      <c r="X103" s="108"/>
      <c r="Y103" s="108"/>
      <c r="Z103" s="108"/>
      <c r="AA103" s="108"/>
      <c r="AB103" s="73"/>
      <c r="AC103" s="73"/>
      <c r="AD103" s="73"/>
      <c r="AE103" s="73"/>
      <c r="AF103" s="72"/>
      <c r="AG103" s="72"/>
      <c r="AH103" s="72"/>
      <c r="AI103" s="293"/>
      <c r="AJ103" s="72"/>
      <c r="AK103" s="72"/>
      <c r="AL103" s="72"/>
      <c r="AM103" s="72"/>
      <c r="AN103" s="72"/>
      <c r="AO103" s="72"/>
      <c r="AP103" s="72"/>
      <c r="AQ103" s="72"/>
      <c r="AR103" s="72"/>
      <c r="AS103" s="72"/>
      <c r="AT103" s="72"/>
      <c r="AU103" s="72"/>
      <c r="AV103" s="72"/>
      <c r="AW103" s="72"/>
      <c r="AX103" s="72"/>
      <c r="AY103" s="72"/>
      <c r="AZ103" s="72"/>
      <c r="BA103" s="72"/>
      <c r="BB103" s="72"/>
    </row>
    <row r="104" spans="2:54">
      <c r="E104" s="294"/>
      <c r="F104" s="100">
        <f>F95-E12</f>
        <v>33.539140263858684</v>
      </c>
      <c r="P104" s="295">
        <v>-6.0246840000000077</v>
      </c>
      <c r="Q104" s="295">
        <v>-24.188412931402581</v>
      </c>
      <c r="R104" s="295">
        <v>-0.83294874224739601</v>
      </c>
      <c r="S104" s="295">
        <v>0</v>
      </c>
      <c r="T104" s="295">
        <v>0</v>
      </c>
      <c r="U104" s="295">
        <v>-4.7859700221948742E-2</v>
      </c>
      <c r="V104" s="295">
        <v>-25.069221373871983</v>
      </c>
      <c r="W104" s="295">
        <v>0</v>
      </c>
      <c r="X104" s="295">
        <v>3.0660606899999943E-2</v>
      </c>
      <c r="Y104" s="295">
        <v>0</v>
      </c>
      <c r="Z104" s="295">
        <v>3.0660606899999721E-2</v>
      </c>
      <c r="AA104" s="295">
        <v>-31.06324476697182</v>
      </c>
      <c r="AB104" s="73"/>
      <c r="AC104" s="73"/>
      <c r="AD104" s="73"/>
      <c r="AE104" s="73">
        <f>SUM(AE102:AF102)</f>
        <v>182.65404122376245</v>
      </c>
      <c r="AF104" s="73"/>
      <c r="AG104" s="72"/>
      <c r="AH104" s="72"/>
      <c r="AI104" s="296">
        <f>AI102/100*E15</f>
        <v>1607.7880984307726</v>
      </c>
      <c r="AJ104" s="72"/>
      <c r="AK104" s="72"/>
      <c r="AL104" s="72"/>
      <c r="AM104" s="72"/>
      <c r="AN104" s="72"/>
      <c r="AO104" s="72"/>
      <c r="AP104" s="72"/>
      <c r="AQ104" s="72"/>
      <c r="AR104" s="72"/>
      <c r="AS104" s="72"/>
      <c r="AT104" s="72"/>
      <c r="AU104" s="72"/>
      <c r="AV104" s="72"/>
      <c r="AW104" s="72"/>
      <c r="AX104" s="72"/>
      <c r="AY104" s="72"/>
      <c r="AZ104" s="72"/>
      <c r="BA104" s="72"/>
      <c r="BB104" s="72"/>
    </row>
    <row r="105" spans="2:54">
      <c r="E105" s="314" t="s">
        <v>292</v>
      </c>
      <c r="F105" s="315">
        <f>SUM(F95,F36)</f>
        <v>268.85386689968573</v>
      </c>
      <c r="U105" s="297"/>
      <c r="AB105" s="73"/>
      <c r="AC105" s="73"/>
      <c r="AD105" s="73"/>
      <c r="AE105" s="73"/>
      <c r="AF105" s="73"/>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row>
    <row r="106" spans="2:54">
      <c r="E106" s="314" t="s">
        <v>9</v>
      </c>
      <c r="F106" s="315">
        <f>SUM(F27:F29)</f>
        <v>262.10000000000002</v>
      </c>
      <c r="U106" s="297"/>
      <c r="AB106" s="73"/>
      <c r="AC106" s="73"/>
      <c r="AD106" s="73"/>
      <c r="AE106" s="73"/>
      <c r="AF106" s="73"/>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row>
    <row r="107" spans="2:54">
      <c r="C107" s="74"/>
      <c r="E107" s="314" t="s">
        <v>293</v>
      </c>
      <c r="F107" s="316">
        <f>F102-SUM(F105:F106)</f>
        <v>14995.703213130104</v>
      </c>
      <c r="H107" s="100"/>
      <c r="I107" s="100"/>
      <c r="J107" s="100"/>
      <c r="K107" s="100"/>
      <c r="L107" s="100"/>
      <c r="M107" s="100"/>
      <c r="N107" s="100"/>
      <c r="Q107" s="108"/>
      <c r="R107" s="108"/>
      <c r="S107" s="108"/>
      <c r="T107" s="108"/>
      <c r="V107" s="108"/>
      <c r="W107" s="108"/>
      <c r="X107" s="108"/>
      <c r="Y107" s="108"/>
      <c r="Z107" s="108"/>
      <c r="AA107" s="108"/>
      <c r="AB107" s="73"/>
      <c r="AC107" s="73"/>
      <c r="AD107" s="73"/>
      <c r="AE107" s="73"/>
      <c r="AF107" s="73"/>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row>
    <row r="108" spans="2:54">
      <c r="C108" s="74"/>
      <c r="H108" s="100"/>
      <c r="I108" s="100"/>
      <c r="J108" s="100"/>
      <c r="K108" s="100"/>
      <c r="L108" s="100"/>
      <c r="M108" s="100"/>
      <c r="N108" s="100"/>
      <c r="Q108" s="108"/>
      <c r="R108" s="108"/>
      <c r="S108" s="108"/>
      <c r="T108" s="108"/>
      <c r="V108" s="108"/>
      <c r="W108" s="108"/>
      <c r="X108" s="108"/>
      <c r="Y108" s="108"/>
      <c r="Z108" s="108"/>
      <c r="AA108" s="108"/>
      <c r="AB108" s="73"/>
      <c r="AC108" s="73"/>
      <c r="AD108" s="73"/>
      <c r="AE108" s="73"/>
      <c r="AF108" s="72"/>
      <c r="AG108" s="72"/>
      <c r="AH108" s="72"/>
      <c r="AJ108" s="72"/>
      <c r="AK108" s="72"/>
      <c r="AL108" s="72"/>
      <c r="AM108" s="72"/>
      <c r="AN108" s="72"/>
      <c r="AO108" s="72"/>
      <c r="AP108" s="72"/>
      <c r="AQ108" s="72"/>
      <c r="AR108" s="72"/>
      <c r="AS108" s="72"/>
      <c r="AT108" s="72"/>
      <c r="AU108" s="72"/>
      <c r="AV108" s="72"/>
      <c r="AW108" s="72"/>
      <c r="AX108" s="72"/>
      <c r="AY108" s="72"/>
      <c r="AZ108" s="72"/>
      <c r="BA108" s="72"/>
      <c r="BB108" s="72"/>
    </row>
    <row r="109" spans="2:54">
      <c r="C109" s="74"/>
      <c r="Q109" s="108"/>
      <c r="R109" s="108"/>
      <c r="S109" s="108"/>
      <c r="T109" s="108"/>
      <c r="U109" s="108"/>
      <c r="V109" s="108"/>
      <c r="W109" s="108"/>
      <c r="X109" s="108"/>
      <c r="Y109" s="108"/>
      <c r="Z109" s="108"/>
      <c r="AA109" s="108"/>
      <c r="AB109" s="73"/>
      <c r="AC109" s="73"/>
      <c r="AD109" s="73"/>
      <c r="AE109" s="73"/>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row>
    <row r="110" spans="2:54">
      <c r="C110" s="74"/>
      <c r="Q110" s="108"/>
      <c r="R110" s="108"/>
      <c r="S110" s="108"/>
      <c r="T110" s="108"/>
      <c r="U110" s="108"/>
      <c r="V110" s="108"/>
      <c r="W110" s="108"/>
      <c r="X110" s="108"/>
      <c r="Y110" s="108"/>
      <c r="Z110" s="108"/>
      <c r="AA110" s="108"/>
      <c r="AB110" s="73"/>
      <c r="AC110" s="73"/>
      <c r="AD110" s="73"/>
      <c r="AE110" s="44"/>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row>
    <row r="111" spans="2:54">
      <c r="C111" s="74"/>
      <c r="Q111" s="72"/>
      <c r="R111" s="72"/>
      <c r="S111" s="72"/>
      <c r="T111" s="72"/>
      <c r="U111" s="72"/>
      <c r="V111" s="72"/>
      <c r="W111" s="108"/>
      <c r="X111" s="72"/>
      <c r="Y111" s="72"/>
      <c r="Z111" s="72"/>
      <c r="AA111" s="108"/>
      <c r="AB111" s="73"/>
      <c r="AC111" s="73"/>
      <c r="AD111" s="73"/>
      <c r="AE111" s="73"/>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row>
    <row r="112" spans="2:54">
      <c r="C112" s="74"/>
      <c r="Q112" s="72"/>
      <c r="R112" s="72"/>
      <c r="S112" s="72"/>
      <c r="T112" s="72"/>
      <c r="U112" s="72"/>
      <c r="V112" s="72"/>
      <c r="W112" s="108"/>
      <c r="X112" s="72"/>
      <c r="Y112" s="72"/>
      <c r="Z112" s="72"/>
      <c r="AA112" s="108"/>
      <c r="AB112" s="73"/>
      <c r="AC112" s="73"/>
      <c r="AD112" s="73"/>
      <c r="AE112" s="73"/>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row>
    <row r="113" spans="3:54" ht="15.6">
      <c r="C113" s="74"/>
      <c r="D113" s="305" t="s">
        <v>294</v>
      </c>
      <c r="Q113" s="72"/>
      <c r="R113" s="72"/>
      <c r="S113" s="72"/>
      <c r="T113" s="72"/>
      <c r="U113" s="72"/>
      <c r="V113" s="72"/>
      <c r="W113" s="108"/>
      <c r="X113" s="72"/>
      <c r="Y113" s="72"/>
      <c r="Z113" s="72"/>
      <c r="AA113" s="108"/>
      <c r="AB113" s="73"/>
      <c r="AC113" s="73"/>
      <c r="AD113" s="73"/>
      <c r="AE113" s="73"/>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row>
    <row r="114" spans="3:54">
      <c r="C114" s="74"/>
      <c r="Q114" s="72"/>
      <c r="R114" s="72"/>
      <c r="S114" s="72"/>
      <c r="T114" s="72"/>
      <c r="U114" s="72"/>
      <c r="V114" s="72"/>
      <c r="X114" s="72"/>
      <c r="Y114" s="72"/>
      <c r="Z114" s="72"/>
      <c r="AB114" s="73"/>
      <c r="AC114" s="73"/>
      <c r="AD114" s="73"/>
      <c r="AE114" s="73"/>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row>
    <row r="115" spans="3:54">
      <c r="C115" s="74"/>
      <c r="Q115" s="72"/>
      <c r="R115" s="72"/>
      <c r="S115" s="72"/>
      <c r="T115" s="72"/>
      <c r="U115" s="72"/>
      <c r="V115" s="72"/>
      <c r="X115" s="72"/>
      <c r="Y115" s="72"/>
      <c r="Z115" s="72"/>
      <c r="AB115" s="73"/>
      <c r="AC115" s="73"/>
      <c r="AD115" s="73"/>
      <c r="AE115" s="73"/>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row>
    <row r="116" spans="3:54" ht="15.6">
      <c r="C116" s="74"/>
      <c r="D116" s="305" t="s">
        <v>295</v>
      </c>
      <c r="E116" s="306">
        <v>1072.2429613474512</v>
      </c>
      <c r="Q116" s="72"/>
      <c r="R116" s="72"/>
      <c r="S116" s="72"/>
      <c r="T116" s="72"/>
      <c r="U116" s="72"/>
      <c r="V116" s="72"/>
      <c r="X116" s="72"/>
      <c r="Y116" s="72"/>
      <c r="Z116" s="72"/>
      <c r="AB116" s="73"/>
      <c r="AC116" s="73"/>
      <c r="AD116" s="73"/>
      <c r="AE116" s="73"/>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row>
    <row r="117" spans="3:54">
      <c r="C117" s="74"/>
      <c r="E117" s="44">
        <f>-1</f>
        <v>-1</v>
      </c>
      <c r="F117" s="44" t="s">
        <v>296</v>
      </c>
      <c r="Q117" s="72"/>
      <c r="R117" s="72"/>
      <c r="S117" s="72"/>
      <c r="T117" s="72"/>
      <c r="U117" s="72"/>
      <c r="V117" s="72"/>
      <c r="X117" s="72"/>
      <c r="Y117" s="72"/>
      <c r="Z117" s="72"/>
      <c r="AB117" s="73"/>
      <c r="AC117" s="73"/>
      <c r="AD117" s="73"/>
      <c r="AE117" s="73"/>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row>
    <row r="118" spans="3:54">
      <c r="C118" s="74"/>
      <c r="F118" s="44" t="s">
        <v>297</v>
      </c>
      <c r="Q118" s="72"/>
      <c r="R118" s="72"/>
      <c r="S118" s="72"/>
      <c r="T118" s="72"/>
      <c r="U118" s="72"/>
      <c r="V118" s="72"/>
      <c r="X118" s="72"/>
      <c r="Y118" s="72"/>
      <c r="Z118" s="72"/>
      <c r="AB118" s="73"/>
      <c r="AC118" s="73"/>
      <c r="AD118" s="73"/>
      <c r="AE118" s="73"/>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row>
    <row r="119" spans="3:54">
      <c r="C119" s="74"/>
      <c r="F119" s="44" t="s">
        <v>297</v>
      </c>
      <c r="AB119" s="73"/>
      <c r="AC119" s="73"/>
      <c r="AD119" s="73"/>
      <c r="AE119" s="73"/>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row>
    <row r="120" spans="3:54">
      <c r="C120" s="74"/>
      <c r="F120" s="44" t="s">
        <v>297</v>
      </c>
      <c r="Q120" s="72"/>
      <c r="R120" s="72"/>
      <c r="S120" s="72"/>
      <c r="T120" s="72"/>
      <c r="U120" s="72"/>
      <c r="V120" s="72"/>
      <c r="X120" s="72"/>
      <c r="Y120" s="72"/>
      <c r="Z120" s="72"/>
      <c r="AB120" s="73"/>
      <c r="AC120" s="73"/>
      <c r="AD120" s="73"/>
      <c r="AE120" s="73"/>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row>
    <row r="121" spans="3:54">
      <c r="C121" s="74"/>
      <c r="F121" s="44" t="s">
        <v>297</v>
      </c>
      <c r="Q121" s="72"/>
      <c r="R121" s="72"/>
      <c r="S121" s="72"/>
      <c r="T121" s="72"/>
      <c r="U121" s="72"/>
      <c r="V121" s="72"/>
      <c r="X121" s="72"/>
      <c r="Y121" s="72"/>
      <c r="Z121" s="72"/>
      <c r="AB121" s="73"/>
      <c r="AC121" s="73"/>
      <c r="AD121" s="73"/>
      <c r="AE121" s="73"/>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row>
    <row r="122" spans="3:54">
      <c r="C122" s="74"/>
      <c r="F122" s="44" t="s">
        <v>297</v>
      </c>
      <c r="Q122" s="72"/>
      <c r="R122" s="72"/>
      <c r="S122" s="72"/>
      <c r="T122" s="72"/>
      <c r="U122" s="72"/>
      <c r="V122" s="72"/>
      <c r="X122" s="72"/>
      <c r="Y122" s="72"/>
      <c r="Z122" s="72"/>
      <c r="AB122" s="73"/>
      <c r="AC122" s="73"/>
      <c r="AD122" s="73"/>
      <c r="AE122" s="73"/>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row>
    <row r="123" spans="3:54">
      <c r="C123" s="74"/>
      <c r="F123" s="44" t="s">
        <v>297</v>
      </c>
      <c r="Q123" s="72"/>
      <c r="R123" s="72"/>
      <c r="S123" s="72"/>
      <c r="T123" s="72"/>
      <c r="U123" s="72"/>
      <c r="V123" s="72"/>
      <c r="X123" s="72"/>
      <c r="Y123" s="72"/>
      <c r="Z123" s="72"/>
      <c r="AB123" s="73"/>
      <c r="AC123" s="73"/>
      <c r="AD123" s="73"/>
      <c r="AE123" s="73"/>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row>
    <row r="124" spans="3:54">
      <c r="C124" s="74"/>
      <c r="F124" s="44" t="s">
        <v>298</v>
      </c>
      <c r="Q124" s="72"/>
      <c r="R124" s="72"/>
      <c r="S124" s="72"/>
      <c r="T124" s="72"/>
      <c r="U124" s="72"/>
      <c r="V124" s="72"/>
      <c r="X124" s="72"/>
      <c r="Y124" s="72"/>
      <c r="Z124" s="72"/>
      <c r="AB124" s="73"/>
      <c r="AC124" s="73"/>
      <c r="AD124" s="73"/>
      <c r="AE124" s="73"/>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row>
    <row r="125" spans="3:54">
      <c r="C125" s="74"/>
      <c r="F125" s="44" t="s">
        <v>298</v>
      </c>
      <c r="Q125" s="72"/>
      <c r="R125" s="72"/>
      <c r="S125" s="72"/>
      <c r="T125" s="72"/>
      <c r="U125" s="72"/>
      <c r="V125" s="72"/>
      <c r="X125" s="72"/>
      <c r="Y125" s="72"/>
      <c r="Z125" s="72"/>
      <c r="AB125" s="73"/>
      <c r="AC125" s="73"/>
      <c r="AD125" s="73"/>
      <c r="AE125" s="73"/>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row>
    <row r="126" spans="3:54">
      <c r="C126" s="74"/>
      <c r="F126" s="44" t="s">
        <v>298</v>
      </c>
      <c r="Q126" s="72"/>
      <c r="R126" s="72"/>
      <c r="S126" s="72"/>
      <c r="T126" s="72"/>
      <c r="U126" s="72"/>
      <c r="V126" s="72"/>
      <c r="X126" s="72"/>
      <c r="Y126" s="72"/>
      <c r="Z126" s="72"/>
      <c r="AB126" s="73"/>
      <c r="AC126" s="73"/>
      <c r="AD126" s="73"/>
      <c r="AE126" s="73"/>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row>
    <row r="127" spans="3:54">
      <c r="F127" s="44" t="s">
        <v>298</v>
      </c>
      <c r="Q127" s="72"/>
      <c r="R127" s="72"/>
      <c r="S127" s="72"/>
      <c r="T127" s="72"/>
      <c r="U127" s="72"/>
      <c r="V127" s="72"/>
      <c r="X127" s="72"/>
      <c r="Y127" s="72"/>
      <c r="Z127" s="72"/>
      <c r="AB127" s="73"/>
      <c r="AC127" s="73"/>
      <c r="AD127" s="73"/>
      <c r="AE127" s="73"/>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row>
    <row r="128" spans="3:54">
      <c r="C128" s="74"/>
      <c r="F128" s="44" t="s">
        <v>298</v>
      </c>
      <c r="Q128" s="72"/>
      <c r="R128" s="72"/>
      <c r="S128" s="72"/>
      <c r="T128" s="72"/>
      <c r="U128" s="72"/>
      <c r="V128" s="72"/>
      <c r="X128" s="72"/>
      <c r="Y128" s="72"/>
      <c r="Z128" s="72"/>
      <c r="AB128" s="73"/>
      <c r="AC128" s="73"/>
      <c r="AD128" s="73"/>
      <c r="AE128" s="73"/>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row>
    <row r="129" spans="3:54">
      <c r="C129" s="74"/>
      <c r="F129" s="44" t="s">
        <v>298</v>
      </c>
      <c r="Q129" s="72"/>
      <c r="R129" s="72"/>
      <c r="S129" s="72"/>
      <c r="T129" s="72"/>
      <c r="U129" s="72"/>
      <c r="V129" s="72"/>
      <c r="X129" s="72"/>
      <c r="Y129" s="72"/>
      <c r="Z129" s="72"/>
      <c r="AB129" s="73"/>
      <c r="AC129" s="73"/>
      <c r="AD129" s="73"/>
      <c r="AE129" s="73"/>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row>
    <row r="130" spans="3:54">
      <c r="C130" s="74"/>
      <c r="F130" s="44" t="s">
        <v>298</v>
      </c>
      <c r="Q130" s="72"/>
      <c r="R130" s="72"/>
      <c r="S130" s="72"/>
      <c r="T130" s="72"/>
      <c r="U130" s="72"/>
      <c r="V130" s="72"/>
      <c r="X130" s="72"/>
      <c r="Y130" s="72"/>
      <c r="Z130" s="72"/>
      <c r="AB130" s="73"/>
      <c r="AC130" s="73"/>
      <c r="AD130" s="73"/>
      <c r="AE130" s="73"/>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row>
    <row r="131" spans="3:54">
      <c r="C131" s="74"/>
      <c r="E131" s="303"/>
      <c r="F131" s="44" t="s">
        <v>298</v>
      </c>
      <c r="Q131" s="72"/>
      <c r="R131" s="72"/>
      <c r="S131" s="72"/>
      <c r="T131" s="72"/>
      <c r="U131" s="72"/>
      <c r="V131" s="72"/>
      <c r="X131" s="72"/>
      <c r="Y131" s="72"/>
      <c r="Z131" s="72"/>
      <c r="AB131" s="73"/>
      <c r="AC131" s="73"/>
      <c r="AD131" s="73"/>
      <c r="AE131" s="73"/>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row>
    <row r="132" spans="3:54" ht="15.6">
      <c r="C132" s="74"/>
      <c r="D132" s="305" t="s">
        <v>299</v>
      </c>
      <c r="E132" s="304">
        <f>SUM(E116:E131)</f>
        <v>1071.2429613474512</v>
      </c>
      <c r="Q132" s="72"/>
      <c r="R132" s="72"/>
      <c r="S132" s="72"/>
      <c r="T132" s="72"/>
      <c r="U132" s="72"/>
      <c r="V132" s="72"/>
      <c r="X132" s="72"/>
      <c r="Y132" s="72"/>
      <c r="Z132" s="72"/>
      <c r="AB132" s="73"/>
      <c r="AC132" s="73"/>
      <c r="AD132" s="73"/>
      <c r="AE132" s="73"/>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row>
    <row r="133" spans="3:54">
      <c r="C133" s="74"/>
      <c r="Q133" s="72"/>
      <c r="R133" s="72"/>
      <c r="S133" s="72"/>
      <c r="T133" s="72"/>
      <c r="U133" s="72"/>
      <c r="V133" s="72"/>
      <c r="X133" s="72"/>
      <c r="Y133" s="72"/>
      <c r="Z133" s="72"/>
      <c r="AB133" s="73"/>
      <c r="AC133" s="73"/>
      <c r="AD133" s="73"/>
      <c r="AE133" s="73"/>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row>
    <row r="134" spans="3:54">
      <c r="C134" s="74"/>
      <c r="AB134" s="73"/>
      <c r="AC134" s="73"/>
      <c r="AD134" s="73"/>
      <c r="AE134" s="73"/>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row>
    <row r="135" spans="3:54" ht="15.6">
      <c r="C135" s="74"/>
      <c r="D135" s="305" t="s">
        <v>300</v>
      </c>
      <c r="E135" s="306">
        <v>1041.9075906619378</v>
      </c>
      <c r="Q135" s="72"/>
      <c r="R135" s="72"/>
      <c r="S135" s="72"/>
      <c r="T135" s="72"/>
      <c r="U135" s="72"/>
      <c r="V135" s="72"/>
      <c r="X135" s="72"/>
      <c r="Y135" s="72"/>
      <c r="Z135" s="72"/>
      <c r="AB135" s="73"/>
      <c r="AC135" s="73"/>
      <c r="AD135" s="73"/>
      <c r="AE135" s="73"/>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row>
    <row r="136" spans="3:54">
      <c r="C136" s="74"/>
      <c r="E136" s="302">
        <v>-1.202016</v>
      </c>
      <c r="F136" s="44" t="s">
        <v>301</v>
      </c>
      <c r="Q136" s="72"/>
      <c r="R136" s="72"/>
      <c r="S136" s="72"/>
      <c r="T136" s="72"/>
      <c r="U136" s="72"/>
      <c r="V136" s="72"/>
      <c r="X136" s="72"/>
      <c r="Y136" s="72"/>
      <c r="Z136" s="72"/>
      <c r="AB136" s="73"/>
      <c r="AC136" s="73"/>
      <c r="AD136" s="73"/>
      <c r="AE136" s="73"/>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row>
    <row r="137" spans="3:54">
      <c r="C137" s="74"/>
      <c r="E137" s="302">
        <v>-21.904920000000001</v>
      </c>
      <c r="F137" s="44" t="s">
        <v>302</v>
      </c>
      <c r="Q137" s="72"/>
      <c r="R137" s="72"/>
      <c r="S137" s="72"/>
      <c r="T137" s="72"/>
      <c r="U137" s="72"/>
      <c r="V137" s="72"/>
      <c r="X137" s="72"/>
      <c r="Y137" s="72"/>
      <c r="Z137" s="72"/>
      <c r="AB137" s="73"/>
      <c r="AC137" s="73"/>
      <c r="AD137" s="73"/>
      <c r="AE137" s="73"/>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row>
    <row r="138" spans="3:54">
      <c r="C138" s="74"/>
      <c r="Q138" s="72"/>
      <c r="R138" s="72"/>
      <c r="S138" s="72"/>
      <c r="T138" s="72"/>
      <c r="U138" s="72"/>
      <c r="V138" s="72"/>
      <c r="X138" s="72"/>
      <c r="Y138" s="72"/>
      <c r="Z138" s="72"/>
      <c r="AB138" s="73"/>
      <c r="AC138" s="73"/>
      <c r="AD138" s="73"/>
      <c r="AE138" s="73"/>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row>
    <row r="139" spans="3:54">
      <c r="C139" s="74"/>
      <c r="Q139" s="72"/>
      <c r="R139" s="72"/>
      <c r="S139" s="72"/>
      <c r="T139" s="72"/>
      <c r="U139" s="72"/>
      <c r="V139" s="72"/>
      <c r="X139" s="72"/>
      <c r="Y139" s="72"/>
      <c r="Z139" s="72"/>
      <c r="AB139" s="73"/>
      <c r="AC139" s="73"/>
      <c r="AD139" s="73"/>
      <c r="AE139" s="73"/>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row>
    <row r="140" spans="3:54" ht="15.6">
      <c r="D140" s="305" t="s">
        <v>303</v>
      </c>
      <c r="E140" s="304">
        <f>E132-E135</f>
        <v>29.335370685513453</v>
      </c>
      <c r="Q140" s="72"/>
      <c r="R140" s="72"/>
      <c r="S140" s="72"/>
      <c r="T140" s="72"/>
      <c r="U140" s="72"/>
      <c r="V140" s="72"/>
      <c r="X140" s="72"/>
      <c r="Y140" s="72"/>
      <c r="Z140" s="72"/>
      <c r="AB140" s="73"/>
      <c r="AC140" s="73"/>
      <c r="AD140" s="73"/>
      <c r="AE140" s="73"/>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row>
    <row r="141" spans="3:54">
      <c r="C141" s="74"/>
      <c r="Q141" s="72"/>
      <c r="R141" s="72"/>
      <c r="S141" s="72"/>
      <c r="T141" s="72"/>
      <c r="U141" s="72"/>
      <c r="V141" s="72"/>
      <c r="X141" s="72"/>
      <c r="Y141" s="72"/>
      <c r="Z141" s="72"/>
      <c r="AB141" s="73"/>
      <c r="AC141" s="73"/>
      <c r="AD141" s="73"/>
      <c r="AE141" s="73"/>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row>
    <row r="142" spans="3:54">
      <c r="C142" s="74"/>
      <c r="Q142" s="72"/>
      <c r="R142" s="72"/>
      <c r="S142" s="72"/>
      <c r="T142" s="72"/>
      <c r="U142" s="72"/>
      <c r="V142" s="72"/>
      <c r="X142" s="72"/>
      <c r="Y142" s="72"/>
      <c r="Z142" s="72"/>
      <c r="AB142" s="73"/>
      <c r="AC142" s="73"/>
      <c r="AD142" s="73"/>
      <c r="AE142" s="73"/>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row>
    <row r="143" spans="3:54">
      <c r="C143" s="74"/>
      <c r="Q143" s="72"/>
      <c r="R143" s="72"/>
      <c r="S143" s="72"/>
      <c r="T143" s="72"/>
      <c r="U143" s="72"/>
      <c r="V143" s="72"/>
      <c r="X143" s="72"/>
      <c r="Y143" s="72"/>
      <c r="Z143" s="72"/>
      <c r="AB143" s="73"/>
      <c r="AC143" s="73"/>
      <c r="AD143" s="73"/>
      <c r="AE143" s="73"/>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row>
    <row r="144" spans="3:54">
      <c r="C144" s="74"/>
      <c r="Q144" s="72"/>
      <c r="R144" s="72"/>
      <c r="S144" s="72"/>
      <c r="T144" s="72"/>
      <c r="U144" s="72"/>
      <c r="V144" s="72"/>
      <c r="X144" s="72"/>
      <c r="Y144" s="72"/>
      <c r="Z144" s="72"/>
      <c r="AB144" s="73"/>
      <c r="AC144" s="73"/>
      <c r="AD144" s="73"/>
      <c r="AE144" s="73"/>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row>
    <row r="145" spans="3:54">
      <c r="C145" s="74"/>
      <c r="Q145" s="72"/>
      <c r="R145" s="72"/>
      <c r="S145" s="72"/>
      <c r="T145" s="72"/>
      <c r="U145" s="72"/>
      <c r="V145" s="72"/>
      <c r="X145" s="72"/>
      <c r="Y145" s="72"/>
      <c r="Z145" s="72"/>
      <c r="AB145" s="73"/>
      <c r="AC145" s="73"/>
      <c r="AD145" s="73"/>
      <c r="AE145" s="73"/>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row>
    <row r="146" spans="3:54">
      <c r="C146" s="74"/>
      <c r="Q146" s="72"/>
      <c r="R146" s="72"/>
      <c r="S146" s="72"/>
      <c r="T146" s="72"/>
      <c r="U146" s="72"/>
      <c r="V146" s="72"/>
      <c r="X146" s="72"/>
      <c r="Y146" s="72"/>
      <c r="Z146" s="72"/>
      <c r="AB146" s="73"/>
      <c r="AC146" s="73"/>
      <c r="AD146" s="73"/>
      <c r="AE146" s="73"/>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row>
    <row r="147" spans="3:54">
      <c r="C147" s="74"/>
      <c r="Q147" s="72"/>
      <c r="R147" s="72"/>
      <c r="S147" s="72"/>
      <c r="T147" s="72"/>
      <c r="U147" s="72"/>
      <c r="V147" s="72"/>
      <c r="X147" s="72"/>
      <c r="Y147" s="72"/>
      <c r="Z147" s="72"/>
      <c r="AB147" s="73"/>
      <c r="AC147" s="73"/>
      <c r="AD147" s="73"/>
      <c r="AE147" s="73"/>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row>
    <row r="148" spans="3:54">
      <c r="C148" s="74"/>
      <c r="Q148" s="72"/>
      <c r="R148" s="72"/>
      <c r="S148" s="72"/>
      <c r="T148" s="72"/>
      <c r="U148" s="72"/>
      <c r="V148" s="72"/>
      <c r="X148" s="72"/>
      <c r="Y148" s="72"/>
      <c r="Z148" s="72"/>
      <c r="AB148" s="73"/>
      <c r="AC148" s="73"/>
      <c r="AD148" s="73"/>
      <c r="AE148" s="73"/>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row>
    <row r="149" spans="3:54">
      <c r="C149" s="74"/>
      <c r="Q149" s="72"/>
      <c r="R149" s="72"/>
      <c r="S149" s="72"/>
      <c r="T149" s="72"/>
      <c r="U149" s="72"/>
      <c r="V149" s="72"/>
      <c r="X149" s="72"/>
      <c r="Y149" s="72"/>
      <c r="Z149" s="72"/>
      <c r="AB149" s="73"/>
      <c r="AC149" s="73"/>
      <c r="AD149" s="73"/>
      <c r="AE149" s="73"/>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row>
    <row r="150" spans="3:54">
      <c r="C150" s="74"/>
      <c r="Q150" s="72"/>
      <c r="R150" s="72"/>
      <c r="S150" s="72"/>
      <c r="T150" s="72"/>
      <c r="U150" s="72"/>
      <c r="V150" s="72"/>
      <c r="X150" s="72"/>
      <c r="Y150" s="72"/>
      <c r="Z150" s="72"/>
      <c r="AB150" s="73"/>
      <c r="AC150" s="73"/>
      <c r="AD150" s="73"/>
      <c r="AE150" s="73"/>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row>
    <row r="151" spans="3:54">
      <c r="C151" s="74"/>
      <c r="Q151" s="72"/>
      <c r="R151" s="72"/>
      <c r="S151" s="72"/>
      <c r="T151" s="72"/>
      <c r="U151" s="72"/>
      <c r="V151" s="72"/>
      <c r="X151" s="72"/>
      <c r="Y151" s="72"/>
      <c r="Z151" s="72"/>
      <c r="AB151" s="73"/>
      <c r="AC151" s="73"/>
      <c r="AD151" s="73"/>
      <c r="AE151" s="73"/>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row>
    <row r="152" spans="3:54">
      <c r="C152" s="74"/>
      <c r="Q152" s="72"/>
      <c r="R152" s="72"/>
      <c r="S152" s="72"/>
      <c r="T152" s="72"/>
      <c r="U152" s="72"/>
      <c r="V152" s="72"/>
      <c r="X152" s="72"/>
      <c r="Y152" s="72"/>
      <c r="Z152" s="72"/>
      <c r="AB152" s="73"/>
      <c r="AC152" s="73"/>
      <c r="AD152" s="73"/>
      <c r="AE152" s="73"/>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row>
    <row r="153" spans="3:54">
      <c r="C153" s="74"/>
      <c r="Q153" s="72"/>
      <c r="R153" s="72"/>
      <c r="S153" s="72"/>
      <c r="T153" s="72"/>
      <c r="U153" s="72"/>
      <c r="V153" s="72"/>
      <c r="X153" s="72"/>
      <c r="Y153" s="72"/>
      <c r="Z153" s="72"/>
      <c r="AB153" s="73"/>
      <c r="AC153" s="73"/>
      <c r="AD153" s="73"/>
      <c r="AE153" s="73"/>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row>
    <row r="154" spans="3:54">
      <c r="C154" s="74"/>
      <c r="Q154" s="72"/>
      <c r="R154" s="72"/>
      <c r="S154" s="72"/>
      <c r="T154" s="72"/>
      <c r="U154" s="72"/>
      <c r="V154" s="72"/>
      <c r="X154" s="72"/>
      <c r="Y154" s="72"/>
      <c r="Z154" s="72"/>
      <c r="AB154" s="73"/>
      <c r="AC154" s="73"/>
      <c r="AD154" s="73"/>
      <c r="AE154" s="73"/>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row>
    <row r="155" spans="3:54">
      <c r="C155" s="74"/>
      <c r="Q155" s="72"/>
      <c r="R155" s="72"/>
      <c r="S155" s="72"/>
      <c r="T155" s="72"/>
      <c r="U155" s="72"/>
      <c r="V155" s="72"/>
      <c r="X155" s="72"/>
      <c r="Y155" s="72"/>
      <c r="Z155" s="72"/>
      <c r="AB155" s="73"/>
      <c r="AC155" s="73"/>
      <c r="AD155" s="73"/>
      <c r="AE155" s="73"/>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row>
    <row r="156" spans="3:54">
      <c r="C156" s="74"/>
      <c r="Q156" s="72"/>
      <c r="R156" s="72"/>
      <c r="S156" s="72"/>
      <c r="T156" s="72"/>
      <c r="U156" s="72"/>
      <c r="V156" s="72"/>
      <c r="X156" s="72"/>
      <c r="Y156" s="72"/>
      <c r="Z156" s="72"/>
      <c r="AB156" s="73"/>
      <c r="AC156" s="73"/>
      <c r="AD156" s="73"/>
      <c r="AE156" s="73"/>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row>
    <row r="157" spans="3:54">
      <c r="C157" s="74"/>
      <c r="Q157" s="72"/>
      <c r="R157" s="72"/>
      <c r="S157" s="72"/>
      <c r="T157" s="72"/>
      <c r="U157" s="72"/>
      <c r="V157" s="72"/>
      <c r="X157" s="72"/>
      <c r="Y157" s="72"/>
      <c r="Z157" s="72"/>
      <c r="AB157" s="73"/>
      <c r="AC157" s="73"/>
      <c r="AD157" s="73"/>
      <c r="AE157" s="73"/>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row>
    <row r="158" spans="3:54">
      <c r="C158" s="74"/>
      <c r="AB158" s="73"/>
      <c r="AC158" s="73"/>
      <c r="AD158" s="73"/>
      <c r="AE158" s="73"/>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row>
    <row r="159" spans="3:54">
      <c r="C159" s="74"/>
      <c r="AB159" s="73"/>
      <c r="AC159" s="73"/>
      <c r="AD159" s="73"/>
      <c r="AE159" s="73"/>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row>
    <row r="160" spans="3:54">
      <c r="C160" s="74"/>
      <c r="Q160" s="72"/>
      <c r="R160" s="72"/>
      <c r="S160" s="72"/>
      <c r="T160" s="72"/>
      <c r="U160" s="72"/>
      <c r="V160" s="72"/>
      <c r="W160" s="72"/>
      <c r="X160" s="72"/>
      <c r="Y160" s="72"/>
      <c r="Z160" s="72"/>
      <c r="AA160" s="72"/>
      <c r="AB160" s="73"/>
      <c r="AC160" s="73"/>
      <c r="AD160" s="73"/>
      <c r="AE160" s="73"/>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row>
    <row r="161" spans="3:54">
      <c r="C161" s="74"/>
      <c r="Q161" s="72"/>
      <c r="R161" s="72"/>
      <c r="S161" s="72"/>
      <c r="T161" s="72"/>
      <c r="U161" s="72"/>
      <c r="V161" s="72"/>
      <c r="W161" s="72"/>
      <c r="X161" s="72"/>
      <c r="Y161" s="72"/>
      <c r="Z161" s="72"/>
      <c r="AA161" s="72"/>
      <c r="AB161" s="73"/>
      <c r="AC161" s="73"/>
      <c r="AD161" s="73"/>
      <c r="AE161" s="73"/>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row>
    <row r="162" spans="3:54">
      <c r="C162" s="74"/>
      <c r="Q162" s="72"/>
      <c r="R162" s="72"/>
      <c r="S162" s="72"/>
      <c r="T162" s="72"/>
      <c r="U162" s="72"/>
      <c r="V162" s="72"/>
      <c r="W162" s="72"/>
      <c r="X162" s="72"/>
      <c r="Y162" s="72"/>
      <c r="Z162" s="72"/>
      <c r="AA162" s="72"/>
      <c r="AB162" s="73"/>
      <c r="AC162" s="73"/>
      <c r="AD162" s="73"/>
      <c r="AE162" s="73"/>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row>
    <row r="163" spans="3:54">
      <c r="C163" s="74"/>
      <c r="Q163" s="72"/>
      <c r="R163" s="72"/>
      <c r="S163" s="72"/>
      <c r="T163" s="72"/>
      <c r="U163" s="72"/>
      <c r="V163" s="72"/>
      <c r="W163" s="72"/>
      <c r="X163" s="72"/>
      <c r="Y163" s="72"/>
      <c r="Z163" s="72"/>
      <c r="AA163" s="72"/>
      <c r="AB163" s="73"/>
      <c r="AC163" s="73"/>
      <c r="AD163" s="73"/>
      <c r="AE163" s="73"/>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row>
    <row r="164" spans="3:54">
      <c r="C164" s="74"/>
      <c r="Q164" s="72"/>
      <c r="R164" s="72"/>
      <c r="S164" s="72"/>
      <c r="T164" s="72"/>
      <c r="U164" s="72"/>
      <c r="V164" s="72"/>
      <c r="W164" s="72"/>
      <c r="X164" s="72"/>
      <c r="Y164" s="72"/>
      <c r="Z164" s="72"/>
      <c r="AA164" s="72"/>
      <c r="AB164" s="73"/>
      <c r="AC164" s="73"/>
      <c r="AD164" s="73"/>
      <c r="AE164" s="73"/>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row>
    <row r="165" spans="3:54">
      <c r="C165" s="74"/>
      <c r="Q165" s="72"/>
      <c r="R165" s="72"/>
      <c r="S165" s="72"/>
      <c r="T165" s="72"/>
      <c r="U165" s="72"/>
      <c r="V165" s="72"/>
      <c r="X165" s="72"/>
      <c r="Y165" s="72"/>
      <c r="Z165" s="72"/>
      <c r="AB165" s="73"/>
      <c r="AC165" s="73"/>
      <c r="AD165" s="73"/>
      <c r="AE165" s="73"/>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row>
    <row r="166" spans="3:54">
      <c r="C166" s="74"/>
      <c r="Q166" s="72"/>
      <c r="R166" s="72"/>
      <c r="S166" s="72"/>
      <c r="T166" s="72"/>
      <c r="U166" s="72"/>
      <c r="V166" s="72"/>
      <c r="X166" s="72"/>
      <c r="Y166" s="72"/>
      <c r="Z166" s="72"/>
      <c r="AB166" s="73"/>
      <c r="AC166" s="73"/>
      <c r="AD166" s="73"/>
      <c r="AE166" s="73"/>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row>
    <row r="167" spans="3:54">
      <c r="C167" s="74"/>
      <c r="AB167" s="73"/>
      <c r="AC167" s="73"/>
      <c r="AD167" s="73"/>
      <c r="AE167" s="73"/>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row>
    <row r="168" spans="3:54">
      <c r="C168" s="74"/>
      <c r="D168" s="298"/>
      <c r="AB168" s="73"/>
      <c r="AC168" s="73"/>
      <c r="AD168" s="73"/>
      <c r="AE168" s="73"/>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row>
    <row r="169" spans="3:54">
      <c r="C169" s="74"/>
      <c r="D169" s="298"/>
      <c r="AB169" s="73"/>
      <c r="AC169" s="73"/>
      <c r="AD169" s="73"/>
      <c r="AE169" s="73"/>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row>
    <row r="170" spans="3:54">
      <c r="C170" s="74"/>
      <c r="D170" s="298"/>
      <c r="Q170" s="72"/>
      <c r="R170" s="72"/>
      <c r="S170" s="72"/>
      <c r="T170" s="72"/>
      <c r="U170" s="72"/>
      <c r="V170" s="72"/>
      <c r="W170" s="72"/>
      <c r="X170" s="72"/>
      <c r="Y170" s="72"/>
      <c r="Z170" s="72"/>
      <c r="AA170" s="72"/>
      <c r="AB170" s="73"/>
      <c r="AC170" s="73"/>
      <c r="AD170" s="73"/>
      <c r="AE170" s="73"/>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row>
    <row r="171" spans="3:54">
      <c r="C171" s="74"/>
      <c r="D171" s="298"/>
      <c r="Q171" s="72"/>
      <c r="R171" s="72"/>
      <c r="S171" s="72"/>
      <c r="T171" s="72"/>
      <c r="U171" s="72"/>
      <c r="V171" s="72"/>
      <c r="W171" s="72"/>
      <c r="X171" s="72"/>
      <c r="Y171" s="72"/>
      <c r="Z171" s="72"/>
      <c r="AA171" s="72"/>
      <c r="AB171" s="73"/>
      <c r="AC171" s="73"/>
      <c r="AD171" s="73"/>
      <c r="AE171" s="73"/>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row>
    <row r="172" spans="3:54">
      <c r="C172" s="74"/>
      <c r="D172" s="298"/>
      <c r="Q172" s="72"/>
      <c r="R172" s="72"/>
      <c r="S172" s="72"/>
      <c r="T172" s="72"/>
      <c r="U172" s="72"/>
      <c r="V172" s="72"/>
      <c r="W172" s="72"/>
      <c r="X172" s="72"/>
      <c r="Y172" s="72"/>
      <c r="Z172" s="72"/>
      <c r="AA172" s="72"/>
      <c r="AB172" s="73"/>
      <c r="AC172" s="73"/>
      <c r="AD172" s="73"/>
      <c r="AE172" s="73"/>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row>
    <row r="173" spans="3:54">
      <c r="C173" s="74"/>
      <c r="Q173" s="72"/>
      <c r="R173" s="72"/>
      <c r="S173" s="72"/>
      <c r="T173" s="72"/>
      <c r="U173" s="72"/>
      <c r="V173" s="72"/>
      <c r="W173" s="72"/>
      <c r="X173" s="72"/>
      <c r="Y173" s="72"/>
      <c r="Z173" s="72"/>
      <c r="AA173" s="72"/>
      <c r="AB173" s="73"/>
      <c r="AC173" s="73"/>
      <c r="AD173" s="73"/>
      <c r="AE173" s="73"/>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row>
    <row r="174" spans="3:54">
      <c r="C174" s="74"/>
      <c r="Q174" s="72"/>
      <c r="R174" s="72"/>
      <c r="S174" s="72"/>
      <c r="T174" s="72"/>
      <c r="U174" s="72"/>
      <c r="V174" s="72"/>
      <c r="W174" s="72"/>
      <c r="X174" s="72"/>
      <c r="Y174" s="72"/>
      <c r="Z174" s="72"/>
      <c r="AA174" s="72"/>
      <c r="AB174" s="73"/>
      <c r="AC174" s="73"/>
      <c r="AD174" s="73"/>
      <c r="AE174" s="73"/>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row>
    <row r="175" spans="3:54">
      <c r="C175" s="74"/>
      <c r="Q175" s="72"/>
      <c r="R175" s="72"/>
      <c r="S175" s="72"/>
      <c r="T175" s="72"/>
      <c r="U175" s="72"/>
      <c r="V175" s="72"/>
      <c r="W175" s="72"/>
      <c r="X175" s="72"/>
      <c r="Y175" s="72"/>
      <c r="Z175" s="72"/>
      <c r="AA175" s="72"/>
      <c r="AB175" s="73"/>
      <c r="AC175" s="73"/>
      <c r="AD175" s="73"/>
      <c r="AE175" s="73"/>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row>
    <row r="176" spans="3:54">
      <c r="C176" s="74"/>
      <c r="Q176" s="72"/>
      <c r="R176" s="72"/>
      <c r="S176" s="72"/>
      <c r="T176" s="72"/>
      <c r="U176" s="72"/>
      <c r="V176" s="72"/>
      <c r="W176" s="72"/>
      <c r="X176" s="72"/>
      <c r="Y176" s="72"/>
      <c r="Z176" s="72"/>
      <c r="AB176" s="73"/>
      <c r="AC176" s="73"/>
      <c r="AD176" s="73"/>
      <c r="AE176" s="73"/>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row>
    <row r="177" spans="3:54">
      <c r="C177" s="74"/>
      <c r="Q177" s="72"/>
      <c r="R177" s="72"/>
      <c r="S177" s="72"/>
      <c r="T177" s="72"/>
      <c r="U177" s="72"/>
      <c r="V177" s="72"/>
      <c r="W177" s="72"/>
      <c r="X177" s="72"/>
      <c r="Y177" s="72"/>
      <c r="Z177" s="72"/>
      <c r="AA177" s="72"/>
      <c r="AB177" s="73"/>
      <c r="AC177" s="73"/>
      <c r="AD177" s="73"/>
      <c r="AE177" s="73"/>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row>
    <row r="178" spans="3:54">
      <c r="C178" s="74"/>
      <c r="Q178" s="72"/>
      <c r="R178" s="72"/>
      <c r="S178" s="72"/>
      <c r="T178" s="72"/>
      <c r="U178" s="72"/>
      <c r="V178" s="72"/>
      <c r="W178" s="72"/>
      <c r="X178" s="72"/>
      <c r="Y178" s="72"/>
      <c r="Z178" s="72"/>
      <c r="AA178" s="72"/>
      <c r="AB178" s="73"/>
      <c r="AC178" s="73"/>
      <c r="AD178" s="73"/>
      <c r="AE178" s="73"/>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row>
    <row r="179" spans="3:54">
      <c r="C179" s="74"/>
      <c r="Q179" s="72"/>
      <c r="R179" s="72"/>
      <c r="S179" s="72"/>
      <c r="T179" s="72"/>
      <c r="U179" s="72"/>
      <c r="V179" s="72"/>
      <c r="W179" s="72"/>
      <c r="X179" s="72"/>
      <c r="Y179" s="72"/>
      <c r="Z179" s="72"/>
      <c r="AA179" s="72"/>
      <c r="AB179" s="73"/>
      <c r="AC179" s="73"/>
      <c r="AD179" s="73"/>
      <c r="AE179" s="73"/>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row>
    <row r="180" spans="3:54">
      <c r="C180" s="74"/>
      <c r="Q180" s="72"/>
      <c r="R180" s="72"/>
      <c r="S180" s="72"/>
      <c r="T180" s="72"/>
      <c r="U180" s="72"/>
      <c r="V180" s="72"/>
      <c r="W180" s="72"/>
      <c r="X180" s="72"/>
      <c r="Y180" s="72"/>
      <c r="Z180" s="72"/>
      <c r="AA180" s="72"/>
      <c r="AB180" s="73"/>
      <c r="AC180" s="73"/>
      <c r="AD180" s="73"/>
      <c r="AE180" s="73"/>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row>
    <row r="181" spans="3:54">
      <c r="C181" s="74"/>
      <c r="Q181" s="72"/>
      <c r="R181" s="72"/>
      <c r="S181" s="72"/>
      <c r="T181" s="72"/>
      <c r="U181" s="72"/>
      <c r="V181" s="72"/>
      <c r="W181" s="72"/>
      <c r="X181" s="72"/>
      <c r="Y181" s="72"/>
      <c r="Z181" s="72"/>
      <c r="AA181" s="72"/>
      <c r="AB181" s="73"/>
      <c r="AC181" s="73"/>
      <c r="AD181" s="73"/>
      <c r="AE181" s="73"/>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row>
    <row r="182" spans="3:54">
      <c r="C182" s="74"/>
      <c r="Q182" s="72"/>
      <c r="R182" s="72"/>
      <c r="S182" s="72"/>
      <c r="T182" s="72"/>
      <c r="U182" s="72"/>
      <c r="V182" s="72"/>
      <c r="W182" s="72"/>
      <c r="X182" s="72"/>
      <c r="Y182" s="72"/>
      <c r="Z182" s="72"/>
      <c r="AA182" s="72"/>
      <c r="AB182" s="73"/>
      <c r="AC182" s="73"/>
      <c r="AD182" s="73"/>
      <c r="AE182" s="73"/>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row>
    <row r="183" spans="3:54">
      <c r="C183" s="74"/>
      <c r="Q183" s="72"/>
      <c r="R183" s="72"/>
      <c r="S183" s="72"/>
      <c r="T183" s="72"/>
      <c r="U183" s="72"/>
      <c r="V183" s="72"/>
      <c r="W183" s="72"/>
      <c r="X183" s="72"/>
      <c r="Y183" s="72"/>
      <c r="Z183" s="72"/>
      <c r="AA183" s="72"/>
      <c r="AB183" s="73"/>
      <c r="AC183" s="73"/>
      <c r="AD183" s="73"/>
      <c r="AE183" s="73"/>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row>
    <row r="184" spans="3:54">
      <c r="C184" s="74"/>
      <c r="Q184" s="72"/>
      <c r="R184" s="72"/>
      <c r="S184" s="72"/>
      <c r="T184" s="72"/>
      <c r="U184" s="72"/>
      <c r="V184" s="72"/>
      <c r="W184" s="72"/>
      <c r="X184" s="72"/>
      <c r="Y184" s="72"/>
      <c r="Z184" s="72"/>
      <c r="AA184" s="72"/>
      <c r="AB184" s="73"/>
      <c r="AC184" s="73"/>
      <c r="AD184" s="73"/>
      <c r="AE184" s="73"/>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row>
    <row r="185" spans="3:54">
      <c r="C185" s="74"/>
      <c r="Q185" s="72"/>
      <c r="R185" s="72"/>
      <c r="S185" s="72"/>
      <c r="T185" s="72"/>
      <c r="U185" s="72"/>
      <c r="V185" s="72"/>
      <c r="W185" s="72"/>
      <c r="X185" s="72"/>
      <c r="Y185" s="72"/>
      <c r="Z185" s="72"/>
      <c r="AA185" s="72"/>
      <c r="AB185" s="73"/>
      <c r="AC185" s="73"/>
      <c r="AD185" s="73"/>
      <c r="AE185" s="73"/>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row>
    <row r="186" spans="3:54">
      <c r="C186" s="74"/>
      <c r="Q186" s="72"/>
      <c r="R186" s="72"/>
      <c r="S186" s="72"/>
      <c r="T186" s="72"/>
      <c r="U186" s="72"/>
      <c r="V186" s="72"/>
      <c r="W186" s="72"/>
      <c r="X186" s="72"/>
      <c r="Y186" s="72"/>
      <c r="Z186" s="72"/>
      <c r="AA186" s="72"/>
      <c r="AB186" s="73"/>
      <c r="AC186" s="73"/>
      <c r="AD186" s="73"/>
      <c r="AE186" s="73"/>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row>
    <row r="187" spans="3:54">
      <c r="C187" s="74"/>
      <c r="Q187" s="72"/>
      <c r="R187" s="72"/>
      <c r="S187" s="72"/>
      <c r="T187" s="72"/>
      <c r="U187" s="72"/>
      <c r="V187" s="72"/>
      <c r="W187" s="72"/>
      <c r="X187" s="72"/>
      <c r="Y187" s="72"/>
      <c r="Z187" s="72"/>
      <c r="AA187" s="72"/>
      <c r="AB187" s="73"/>
      <c r="AC187" s="73"/>
      <c r="AD187" s="73"/>
      <c r="AE187" s="73"/>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row>
    <row r="188" spans="3:54">
      <c r="C188" s="74"/>
      <c r="Q188" s="72"/>
      <c r="R188" s="72"/>
      <c r="S188" s="72"/>
      <c r="T188" s="72"/>
      <c r="U188" s="72"/>
      <c r="V188" s="72"/>
      <c r="W188" s="72"/>
      <c r="X188" s="72"/>
      <c r="Y188" s="72"/>
      <c r="Z188" s="72"/>
      <c r="AA188" s="72"/>
      <c r="AB188" s="73"/>
      <c r="AC188" s="73"/>
      <c r="AD188" s="73"/>
      <c r="AE188" s="73"/>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row>
    <row r="189" spans="3:54">
      <c r="C189" s="74"/>
      <c r="Q189" s="72"/>
      <c r="R189" s="72"/>
      <c r="S189" s="72"/>
      <c r="T189" s="72"/>
      <c r="U189" s="72"/>
      <c r="V189" s="72"/>
      <c r="W189" s="72"/>
      <c r="X189" s="72"/>
      <c r="Y189" s="72"/>
      <c r="Z189" s="72"/>
      <c r="AA189" s="72"/>
      <c r="AB189" s="73"/>
      <c r="AC189" s="73"/>
      <c r="AD189" s="73"/>
      <c r="AE189" s="73"/>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row>
    <row r="190" spans="3:54">
      <c r="C190" s="74"/>
      <c r="Q190" s="72"/>
      <c r="R190" s="72"/>
      <c r="S190" s="72"/>
      <c r="T190" s="72"/>
      <c r="U190" s="72"/>
      <c r="V190" s="72"/>
      <c r="W190" s="72"/>
      <c r="X190" s="72"/>
      <c r="Y190" s="72"/>
      <c r="Z190" s="72"/>
      <c r="AA190" s="72"/>
      <c r="AB190" s="73"/>
      <c r="AC190" s="73"/>
      <c r="AD190" s="73"/>
      <c r="AE190" s="73"/>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row>
    <row r="191" spans="3:54">
      <c r="C191" s="74"/>
      <c r="Q191" s="72"/>
      <c r="R191" s="72"/>
      <c r="S191" s="72"/>
      <c r="T191" s="72"/>
      <c r="U191" s="72"/>
      <c r="V191" s="72"/>
      <c r="W191" s="72"/>
      <c r="X191" s="72"/>
      <c r="Y191" s="72"/>
      <c r="Z191" s="72"/>
      <c r="AA191" s="72"/>
      <c r="AB191" s="73"/>
      <c r="AC191" s="73"/>
      <c r="AD191" s="73"/>
      <c r="AE191" s="73"/>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row>
    <row r="192" spans="3:54">
      <c r="C192" s="74"/>
      <c r="Q192" s="72"/>
      <c r="R192" s="72"/>
      <c r="S192" s="72"/>
      <c r="T192" s="72"/>
      <c r="U192" s="72"/>
      <c r="V192" s="72"/>
      <c r="W192" s="72"/>
      <c r="X192" s="72"/>
      <c r="Y192" s="72"/>
      <c r="Z192" s="72"/>
      <c r="AA192" s="72"/>
      <c r="AB192" s="73"/>
      <c r="AC192" s="73"/>
      <c r="AD192" s="73"/>
      <c r="AE192" s="73"/>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row>
    <row r="193" spans="3:54">
      <c r="C193" s="74"/>
      <c r="Q193" s="72"/>
      <c r="R193" s="72"/>
      <c r="S193" s="72"/>
      <c r="T193" s="72"/>
      <c r="U193" s="72"/>
      <c r="V193" s="72"/>
      <c r="W193" s="72"/>
      <c r="X193" s="72"/>
      <c r="Y193" s="72"/>
      <c r="Z193" s="72"/>
      <c r="AA193" s="72"/>
      <c r="AB193" s="73"/>
      <c r="AC193" s="73"/>
      <c r="AD193" s="73"/>
      <c r="AE193" s="73"/>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row>
    <row r="194" spans="3:54">
      <c r="C194" s="74"/>
      <c r="Q194" s="72"/>
      <c r="R194" s="72"/>
      <c r="S194" s="72"/>
      <c r="T194" s="72"/>
      <c r="U194" s="72"/>
      <c r="V194" s="72"/>
      <c r="W194" s="72"/>
      <c r="X194" s="72"/>
      <c r="Y194" s="72"/>
      <c r="Z194" s="72"/>
      <c r="AA194" s="72"/>
      <c r="AB194" s="73"/>
      <c r="AC194" s="73"/>
      <c r="AD194" s="73"/>
      <c r="AE194" s="73"/>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row>
    <row r="195" spans="3:54">
      <c r="C195" s="74"/>
      <c r="Q195" s="72"/>
      <c r="R195" s="72"/>
      <c r="S195" s="72"/>
      <c r="T195" s="72"/>
      <c r="U195" s="72"/>
      <c r="V195" s="72"/>
      <c r="W195" s="72"/>
      <c r="X195" s="72"/>
      <c r="Y195" s="72"/>
      <c r="Z195" s="72"/>
      <c r="AA195" s="72"/>
      <c r="AB195" s="73"/>
      <c r="AC195" s="73"/>
      <c r="AD195" s="73"/>
      <c r="AE195" s="73"/>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row>
    <row r="196" spans="3:54">
      <c r="C196" s="74"/>
      <c r="Q196" s="72"/>
      <c r="R196" s="72"/>
      <c r="S196" s="72"/>
      <c r="T196" s="72"/>
      <c r="U196" s="72"/>
      <c r="V196" s="72"/>
      <c r="W196" s="72"/>
      <c r="X196" s="72"/>
      <c r="Y196" s="72"/>
      <c r="Z196" s="72"/>
      <c r="AA196" s="72"/>
      <c r="AB196" s="73"/>
      <c r="AC196" s="73"/>
      <c r="AD196" s="73"/>
      <c r="AE196" s="73"/>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row>
    <row r="197" spans="3:54">
      <c r="C197" s="74"/>
      <c r="Q197" s="72"/>
      <c r="R197" s="72"/>
      <c r="S197" s="72"/>
      <c r="T197" s="72"/>
      <c r="U197" s="72"/>
      <c r="V197" s="72"/>
      <c r="W197" s="72"/>
      <c r="X197" s="72"/>
      <c r="Y197" s="72"/>
      <c r="Z197" s="72"/>
      <c r="AA197" s="72"/>
      <c r="AB197" s="73"/>
      <c r="AC197" s="73"/>
      <c r="AD197" s="73"/>
      <c r="AE197" s="73"/>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row>
    <row r="198" spans="3:54">
      <c r="C198" s="74"/>
      <c r="Q198" s="72"/>
      <c r="R198" s="72"/>
      <c r="S198" s="72"/>
      <c r="T198" s="72"/>
      <c r="U198" s="72"/>
      <c r="V198" s="72"/>
      <c r="W198" s="72"/>
      <c r="X198" s="72"/>
      <c r="Y198" s="72"/>
      <c r="Z198" s="72"/>
      <c r="AA198" s="72"/>
      <c r="AB198" s="73"/>
      <c r="AC198" s="73"/>
      <c r="AD198" s="73"/>
      <c r="AE198" s="73"/>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row>
    <row r="199" spans="3:54">
      <c r="C199" s="74"/>
      <c r="Q199" s="72"/>
      <c r="R199" s="72"/>
      <c r="S199" s="72"/>
      <c r="T199" s="72"/>
      <c r="U199" s="72"/>
      <c r="V199" s="72"/>
      <c r="W199" s="72"/>
      <c r="X199" s="72"/>
      <c r="Y199" s="72"/>
      <c r="Z199" s="72"/>
      <c r="AA199" s="72"/>
      <c r="AB199" s="73"/>
      <c r="AC199" s="73"/>
      <c r="AD199" s="73"/>
      <c r="AE199" s="73"/>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row>
    <row r="200" spans="3:54">
      <c r="C200" s="74"/>
      <c r="Q200" s="72"/>
      <c r="R200" s="72"/>
      <c r="S200" s="72"/>
      <c r="T200" s="72"/>
      <c r="U200" s="72"/>
      <c r="V200" s="72"/>
      <c r="W200" s="72"/>
      <c r="X200" s="72"/>
      <c r="Y200" s="72"/>
      <c r="Z200" s="72"/>
      <c r="AA200" s="72"/>
      <c r="AB200" s="73"/>
      <c r="AC200" s="73"/>
      <c r="AD200" s="73"/>
      <c r="AE200" s="73"/>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row>
    <row r="201" spans="3:54">
      <c r="C201" s="74"/>
      <c r="Q201" s="72"/>
      <c r="R201" s="72"/>
      <c r="S201" s="72"/>
      <c r="T201" s="72"/>
      <c r="U201" s="72"/>
      <c r="V201" s="72"/>
      <c r="W201" s="72"/>
      <c r="X201" s="72"/>
      <c r="Y201" s="72"/>
      <c r="Z201" s="72"/>
      <c r="AA201" s="72"/>
      <c r="AB201" s="73"/>
      <c r="AC201" s="73"/>
      <c r="AD201" s="73"/>
      <c r="AE201" s="73"/>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row>
    <row r="202" spans="3:54">
      <c r="C202" s="74"/>
      <c r="Q202" s="72"/>
      <c r="R202" s="72"/>
      <c r="S202" s="72"/>
      <c r="T202" s="72"/>
      <c r="U202" s="72"/>
      <c r="V202" s="72"/>
      <c r="W202" s="72"/>
      <c r="X202" s="72"/>
      <c r="Y202" s="72"/>
      <c r="Z202" s="72"/>
      <c r="AA202" s="72"/>
      <c r="AB202" s="73"/>
      <c r="AC202" s="73"/>
      <c r="AD202" s="73"/>
      <c r="AE202" s="73"/>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row>
    <row r="203" spans="3:54">
      <c r="C203" s="74"/>
      <c r="Q203" s="72"/>
      <c r="R203" s="72"/>
      <c r="S203" s="72"/>
      <c r="T203" s="72"/>
      <c r="U203" s="72"/>
      <c r="V203" s="72"/>
      <c r="W203" s="72"/>
      <c r="X203" s="72"/>
      <c r="Y203" s="72"/>
      <c r="Z203" s="72"/>
      <c r="AA203" s="72"/>
      <c r="AB203" s="73"/>
      <c r="AC203" s="73"/>
      <c r="AD203" s="73"/>
      <c r="AE203" s="73"/>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row>
    <row r="204" spans="3:54">
      <c r="C204" s="74"/>
      <c r="Q204" s="72"/>
      <c r="R204" s="72"/>
      <c r="S204" s="72"/>
      <c r="T204" s="72"/>
      <c r="U204" s="72"/>
      <c r="V204" s="72"/>
      <c r="W204" s="72"/>
      <c r="X204" s="72"/>
      <c r="Y204" s="72"/>
      <c r="Z204" s="72"/>
      <c r="AA204" s="72"/>
      <c r="AB204" s="73"/>
      <c r="AC204" s="73"/>
      <c r="AD204" s="73"/>
      <c r="AE204" s="73"/>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row>
    <row r="205" spans="3:54">
      <c r="C205" s="74"/>
      <c r="Q205" s="72"/>
      <c r="R205" s="72"/>
      <c r="S205" s="72"/>
      <c r="T205" s="72"/>
      <c r="U205" s="72"/>
      <c r="V205" s="72"/>
      <c r="W205" s="72"/>
      <c r="X205" s="72"/>
      <c r="Y205" s="72"/>
      <c r="Z205" s="72"/>
      <c r="AA205" s="72"/>
      <c r="AB205" s="73"/>
      <c r="AC205" s="73"/>
      <c r="AD205" s="73"/>
      <c r="AE205" s="73"/>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row>
    <row r="206" spans="3:54">
      <c r="C206" s="74"/>
      <c r="Q206" s="72"/>
      <c r="R206" s="72"/>
      <c r="S206" s="72"/>
      <c r="T206" s="72"/>
      <c r="U206" s="72"/>
      <c r="V206" s="72"/>
      <c r="W206" s="72"/>
      <c r="X206" s="72"/>
      <c r="Y206" s="72"/>
      <c r="Z206" s="72"/>
      <c r="AA206" s="72"/>
      <c r="AB206" s="73"/>
      <c r="AC206" s="73"/>
      <c r="AD206" s="73"/>
      <c r="AE206" s="73"/>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row>
    <row r="207" spans="3:54">
      <c r="C207" s="74"/>
      <c r="Q207" s="72"/>
      <c r="R207" s="72"/>
      <c r="S207" s="72"/>
      <c r="T207" s="72"/>
      <c r="U207" s="72"/>
      <c r="V207" s="72"/>
      <c r="W207" s="72"/>
      <c r="X207" s="72"/>
      <c r="Y207" s="72"/>
      <c r="Z207" s="72"/>
      <c r="AA207" s="72"/>
      <c r="AB207" s="73"/>
      <c r="AC207" s="73"/>
      <c r="AD207" s="73"/>
      <c r="AE207" s="73"/>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row>
    <row r="208" spans="3:54">
      <c r="C208" s="74"/>
      <c r="Q208" s="72"/>
      <c r="R208" s="72"/>
      <c r="S208" s="72"/>
      <c r="T208" s="72"/>
      <c r="U208" s="72"/>
      <c r="V208" s="72"/>
      <c r="W208" s="72"/>
      <c r="X208" s="72"/>
      <c r="Y208" s="72"/>
      <c r="Z208" s="72"/>
      <c r="AA208" s="72"/>
      <c r="AB208" s="73"/>
      <c r="AC208" s="73"/>
      <c r="AD208" s="73"/>
      <c r="AE208" s="73"/>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row>
    <row r="209" spans="3:54">
      <c r="C209" s="74"/>
      <c r="Q209" s="72"/>
      <c r="R209" s="72"/>
      <c r="S209" s="72"/>
      <c r="T209" s="72"/>
      <c r="U209" s="72"/>
      <c r="V209" s="72"/>
      <c r="W209" s="72"/>
      <c r="X209" s="72"/>
      <c r="Y209" s="72"/>
      <c r="Z209" s="72"/>
      <c r="AA209" s="72"/>
      <c r="AB209" s="73"/>
      <c r="AC209" s="73"/>
      <c r="AD209" s="73"/>
      <c r="AE209" s="73"/>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row>
    <row r="210" spans="3:54">
      <c r="C210" s="74"/>
      <c r="Q210" s="72"/>
      <c r="R210" s="72"/>
      <c r="S210" s="72"/>
      <c r="T210" s="72"/>
      <c r="U210" s="72"/>
      <c r="V210" s="72"/>
      <c r="W210" s="72"/>
      <c r="X210" s="72"/>
      <c r="Y210" s="72"/>
      <c r="Z210" s="72"/>
      <c r="AA210" s="72"/>
      <c r="AB210" s="73"/>
      <c r="AC210" s="73"/>
      <c r="AD210" s="73"/>
      <c r="AE210" s="73"/>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row>
    <row r="211" spans="3:54">
      <c r="C211" s="74"/>
      <c r="Q211" s="72"/>
      <c r="R211" s="72"/>
      <c r="S211" s="72"/>
      <c r="T211" s="72"/>
      <c r="U211" s="72"/>
      <c r="V211" s="72"/>
      <c r="W211" s="72"/>
      <c r="X211" s="72"/>
      <c r="Y211" s="72"/>
      <c r="Z211" s="72"/>
      <c r="AA211" s="72"/>
      <c r="AB211" s="73"/>
      <c r="AC211" s="73"/>
      <c r="AD211" s="73"/>
      <c r="AE211" s="73"/>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row>
    <row r="212" spans="3:54">
      <c r="C212" s="74"/>
      <c r="Q212" s="72"/>
      <c r="R212" s="72"/>
      <c r="S212" s="72"/>
      <c r="T212" s="72"/>
      <c r="U212" s="72"/>
      <c r="V212" s="72"/>
      <c r="W212" s="72"/>
      <c r="X212" s="72"/>
      <c r="Y212" s="72"/>
      <c r="Z212" s="72"/>
      <c r="AA212" s="72"/>
      <c r="AB212" s="73"/>
      <c r="AC212" s="73"/>
      <c r="AD212" s="73"/>
      <c r="AE212" s="73"/>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row>
    <row r="213" spans="3:54">
      <c r="C213" s="74"/>
      <c r="Q213" s="72"/>
      <c r="R213" s="72"/>
      <c r="S213" s="72"/>
      <c r="T213" s="72"/>
      <c r="U213" s="72"/>
      <c r="V213" s="72"/>
      <c r="W213" s="72"/>
      <c r="X213" s="72"/>
      <c r="Y213" s="72"/>
      <c r="Z213" s="72"/>
      <c r="AA213" s="72"/>
      <c r="AB213" s="73"/>
      <c r="AC213" s="73"/>
      <c r="AD213" s="73"/>
      <c r="AE213" s="73"/>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row>
    <row r="214" spans="3:54">
      <c r="C214" s="74"/>
      <c r="Q214" s="72"/>
      <c r="R214" s="72"/>
      <c r="S214" s="72"/>
      <c r="T214" s="72"/>
      <c r="U214" s="72"/>
      <c r="V214" s="72"/>
      <c r="W214" s="72"/>
      <c r="X214" s="72"/>
      <c r="Y214" s="72"/>
      <c r="Z214" s="72"/>
      <c r="AA214" s="72"/>
      <c r="AB214" s="73"/>
      <c r="AC214" s="73"/>
      <c r="AD214" s="73"/>
      <c r="AE214" s="73"/>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row>
    <row r="215" spans="3:54">
      <c r="C215" s="74"/>
      <c r="Q215" s="72"/>
      <c r="R215" s="72"/>
      <c r="S215" s="72"/>
      <c r="T215" s="72"/>
      <c r="U215" s="72"/>
      <c r="V215" s="72"/>
      <c r="W215" s="72"/>
      <c r="X215" s="72"/>
      <c r="Y215" s="72"/>
      <c r="Z215" s="72"/>
      <c r="AA215" s="72"/>
      <c r="AB215" s="73"/>
      <c r="AC215" s="73"/>
      <c r="AD215" s="73"/>
      <c r="AE215" s="73"/>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row>
    <row r="216" spans="3:54">
      <c r="C216" s="74"/>
      <c r="Q216" s="72"/>
      <c r="R216" s="72"/>
      <c r="S216" s="72"/>
      <c r="T216" s="72"/>
      <c r="U216" s="72"/>
      <c r="V216" s="72"/>
      <c r="W216" s="72"/>
      <c r="X216" s="72"/>
      <c r="Y216" s="72"/>
      <c r="Z216" s="72"/>
      <c r="AA216" s="72"/>
      <c r="AB216" s="73"/>
      <c r="AC216" s="73"/>
      <c r="AD216" s="73"/>
      <c r="AE216" s="73"/>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row>
    <row r="217" spans="3:54">
      <c r="C217" s="74"/>
      <c r="Q217" s="72"/>
      <c r="R217" s="72"/>
      <c r="S217" s="72"/>
      <c r="T217" s="72"/>
      <c r="U217" s="72"/>
      <c r="V217" s="72"/>
      <c r="W217" s="72"/>
      <c r="X217" s="72"/>
      <c r="Y217" s="72"/>
      <c r="Z217" s="72"/>
      <c r="AA217" s="72"/>
      <c r="AB217" s="73"/>
      <c r="AC217" s="73"/>
      <c r="AD217" s="73"/>
      <c r="AE217" s="73"/>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row>
    <row r="218" spans="3:54">
      <c r="C218" s="74"/>
      <c r="Q218" s="72"/>
      <c r="R218" s="72"/>
      <c r="S218" s="72"/>
      <c r="T218" s="72"/>
      <c r="U218" s="72"/>
      <c r="V218" s="72"/>
      <c r="W218" s="72"/>
      <c r="X218" s="72"/>
      <c r="Y218" s="72"/>
      <c r="Z218" s="72"/>
      <c r="AA218" s="72"/>
      <c r="AB218" s="73"/>
      <c r="AC218" s="73"/>
      <c r="AD218" s="73"/>
      <c r="AE218" s="73"/>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row>
    <row r="219" spans="3:54">
      <c r="C219" s="74"/>
      <c r="Q219" s="72"/>
      <c r="R219" s="72"/>
      <c r="S219" s="72"/>
      <c r="T219" s="72"/>
      <c r="U219" s="72"/>
      <c r="V219" s="72"/>
      <c r="W219" s="72"/>
      <c r="X219" s="72"/>
      <c r="Y219" s="72"/>
      <c r="Z219" s="72"/>
      <c r="AA219" s="72"/>
      <c r="AB219" s="73"/>
      <c r="AC219" s="73"/>
      <c r="AD219" s="73"/>
      <c r="AE219" s="73"/>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row>
    <row r="220" spans="3:54">
      <c r="C220" s="74"/>
      <c r="Q220" s="72"/>
      <c r="R220" s="72"/>
      <c r="S220" s="72"/>
      <c r="T220" s="72"/>
      <c r="U220" s="72"/>
      <c r="V220" s="72"/>
      <c r="W220" s="72"/>
      <c r="X220" s="72"/>
      <c r="Y220" s="72"/>
      <c r="Z220" s="72"/>
      <c r="AA220" s="72"/>
      <c r="AB220" s="73"/>
      <c r="AC220" s="73"/>
      <c r="AD220" s="73"/>
      <c r="AE220" s="73"/>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row>
    <row r="221" spans="3:54">
      <c r="C221" s="74"/>
      <c r="Q221" s="72"/>
      <c r="R221" s="72"/>
      <c r="S221" s="72"/>
      <c r="T221" s="72"/>
      <c r="U221" s="72"/>
      <c r="V221" s="72"/>
      <c r="W221" s="72"/>
      <c r="X221" s="72"/>
      <c r="Y221" s="72"/>
      <c r="Z221" s="72"/>
      <c r="AA221" s="72"/>
      <c r="AB221" s="73"/>
      <c r="AC221" s="73"/>
      <c r="AD221" s="73"/>
      <c r="AE221" s="73"/>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row>
    <row r="222" spans="3:54">
      <c r="C222" s="74"/>
      <c r="Q222" s="72"/>
      <c r="R222" s="72"/>
      <c r="S222" s="72"/>
      <c r="T222" s="72"/>
      <c r="U222" s="72"/>
      <c r="V222" s="72"/>
      <c r="W222" s="72"/>
      <c r="X222" s="72"/>
      <c r="Y222" s="72"/>
      <c r="Z222" s="72"/>
      <c r="AA222" s="72"/>
      <c r="AB222" s="73"/>
      <c r="AC222" s="73"/>
      <c r="AD222" s="73"/>
      <c r="AE222" s="73"/>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row>
    <row r="223" spans="3:54">
      <c r="C223" s="74"/>
      <c r="Q223" s="72"/>
      <c r="R223" s="72"/>
      <c r="S223" s="72"/>
      <c r="T223" s="72"/>
      <c r="U223" s="72"/>
      <c r="V223" s="72"/>
      <c r="W223" s="72"/>
      <c r="X223" s="72"/>
      <c r="Y223" s="72"/>
      <c r="Z223" s="72"/>
      <c r="AA223" s="72"/>
      <c r="AB223" s="73"/>
      <c r="AC223" s="73"/>
      <c r="AD223" s="73"/>
      <c r="AE223" s="73"/>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row>
    <row r="224" spans="3:54">
      <c r="C224" s="74"/>
      <c r="Q224" s="72"/>
      <c r="R224" s="72"/>
      <c r="S224" s="72"/>
      <c r="T224" s="72"/>
      <c r="U224" s="72"/>
      <c r="V224" s="72"/>
      <c r="W224" s="72"/>
      <c r="X224" s="72"/>
      <c r="Y224" s="72"/>
      <c r="Z224" s="72"/>
      <c r="AA224" s="72"/>
      <c r="AB224" s="73"/>
      <c r="AC224" s="73"/>
      <c r="AD224" s="73"/>
      <c r="AE224" s="73"/>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row>
    <row r="225" spans="3:54">
      <c r="C225" s="74"/>
      <c r="Q225" s="72"/>
      <c r="R225" s="72"/>
      <c r="S225" s="72"/>
      <c r="T225" s="72"/>
      <c r="U225" s="72"/>
      <c r="V225" s="72"/>
      <c r="W225" s="72"/>
      <c r="X225" s="72"/>
      <c r="Y225" s="72"/>
      <c r="Z225" s="72"/>
      <c r="AA225" s="72"/>
      <c r="AB225" s="73"/>
      <c r="AC225" s="73"/>
      <c r="AD225" s="73"/>
      <c r="AE225" s="73"/>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row>
    <row r="226" spans="3:54">
      <c r="C226" s="74"/>
      <c r="Q226" s="72"/>
      <c r="R226" s="72"/>
      <c r="S226" s="72"/>
      <c r="T226" s="72"/>
      <c r="U226" s="72"/>
      <c r="V226" s="72"/>
      <c r="W226" s="72"/>
      <c r="X226" s="72"/>
      <c r="Y226" s="72"/>
      <c r="Z226" s="72"/>
      <c r="AA226" s="72"/>
      <c r="AB226" s="73"/>
      <c r="AC226" s="73"/>
      <c r="AD226" s="73"/>
      <c r="AE226" s="73"/>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row>
    <row r="227" spans="3:54">
      <c r="C227" s="74"/>
      <c r="Q227" s="72"/>
      <c r="R227" s="72"/>
      <c r="S227" s="72"/>
      <c r="T227" s="72"/>
      <c r="U227" s="72"/>
      <c r="V227" s="72"/>
      <c r="W227" s="72"/>
      <c r="X227" s="72"/>
      <c r="Y227" s="72"/>
      <c r="Z227" s="72"/>
      <c r="AA227" s="72"/>
      <c r="AB227" s="73"/>
      <c r="AC227" s="73"/>
      <c r="AD227" s="73"/>
      <c r="AE227" s="73"/>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row>
    <row r="228" spans="3:54">
      <c r="C228" s="74"/>
      <c r="Q228" s="72"/>
      <c r="R228" s="72"/>
      <c r="S228" s="72"/>
      <c r="T228" s="72"/>
      <c r="U228" s="72"/>
      <c r="V228" s="72"/>
      <c r="W228" s="72"/>
      <c r="X228" s="72"/>
      <c r="Y228" s="72"/>
      <c r="Z228" s="72"/>
      <c r="AA228" s="72"/>
      <c r="AB228" s="73"/>
      <c r="AC228" s="73"/>
      <c r="AD228" s="73"/>
      <c r="AE228" s="73"/>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row>
    <row r="229" spans="3:54">
      <c r="C229" s="74"/>
      <c r="Q229" s="72"/>
      <c r="R229" s="72"/>
      <c r="S229" s="72"/>
      <c r="T229" s="72"/>
      <c r="U229" s="72"/>
      <c r="V229" s="72"/>
      <c r="W229" s="72"/>
      <c r="X229" s="72"/>
      <c r="Y229" s="72"/>
      <c r="Z229" s="72"/>
      <c r="AA229" s="72"/>
      <c r="AB229" s="73"/>
      <c r="AC229" s="73"/>
      <c r="AD229" s="73"/>
      <c r="AE229" s="73"/>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row>
    <row r="230" spans="3:54">
      <c r="C230" s="74"/>
      <c r="Q230" s="72"/>
      <c r="R230" s="72"/>
      <c r="S230" s="72"/>
      <c r="T230" s="72"/>
      <c r="U230" s="72"/>
      <c r="V230" s="72"/>
      <c r="W230" s="72"/>
      <c r="X230" s="72"/>
      <c r="Y230" s="72"/>
      <c r="Z230" s="72"/>
      <c r="AA230" s="72"/>
      <c r="AB230" s="73"/>
      <c r="AC230" s="73"/>
      <c r="AD230" s="73"/>
      <c r="AE230" s="73"/>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row>
    <row r="231" spans="3:54">
      <c r="C231" s="74"/>
      <c r="Q231" s="72"/>
      <c r="R231" s="72"/>
      <c r="S231" s="72"/>
      <c r="T231" s="72"/>
      <c r="U231" s="72"/>
      <c r="V231" s="72"/>
      <c r="W231" s="72"/>
      <c r="X231" s="72"/>
      <c r="Y231" s="72"/>
      <c r="Z231" s="72"/>
      <c r="AA231" s="72"/>
      <c r="AB231" s="73"/>
      <c r="AC231" s="73"/>
      <c r="AD231" s="73"/>
      <c r="AE231" s="73"/>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row>
    <row r="232" spans="3:54">
      <c r="C232" s="74"/>
      <c r="Q232" s="72"/>
      <c r="R232" s="72"/>
      <c r="S232" s="72"/>
      <c r="T232" s="72"/>
      <c r="U232" s="72"/>
      <c r="V232" s="72"/>
      <c r="W232" s="72"/>
      <c r="X232" s="72"/>
      <c r="Y232" s="72"/>
      <c r="Z232" s="72"/>
      <c r="AA232" s="72"/>
      <c r="AB232" s="73"/>
      <c r="AC232" s="73"/>
      <c r="AD232" s="73"/>
      <c r="AE232" s="73"/>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row>
    <row r="233" spans="3:54">
      <c r="C233" s="74"/>
      <c r="Q233" s="72"/>
      <c r="R233" s="72"/>
      <c r="S233" s="72"/>
      <c r="T233" s="72"/>
      <c r="U233" s="72"/>
      <c r="V233" s="72"/>
      <c r="W233" s="72"/>
      <c r="X233" s="72"/>
      <c r="Y233" s="72"/>
      <c r="Z233" s="72"/>
      <c r="AA233" s="72"/>
      <c r="AB233" s="73"/>
      <c r="AC233" s="73"/>
      <c r="AD233" s="73"/>
      <c r="AE233" s="73"/>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row>
    <row r="234" spans="3:54">
      <c r="C234" s="74"/>
      <c r="Q234" s="72"/>
      <c r="R234" s="72"/>
      <c r="S234" s="72"/>
      <c r="T234" s="72"/>
      <c r="U234" s="72"/>
      <c r="V234" s="72"/>
      <c r="W234" s="72"/>
      <c r="X234" s="72"/>
      <c r="Y234" s="72"/>
      <c r="Z234" s="72"/>
      <c r="AA234" s="72"/>
      <c r="AB234" s="73"/>
      <c r="AC234" s="73"/>
      <c r="AD234" s="73"/>
      <c r="AE234" s="73"/>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row>
    <row r="235" spans="3:54">
      <c r="C235" s="74"/>
      <c r="Q235" s="72"/>
      <c r="R235" s="72"/>
      <c r="S235" s="72"/>
      <c r="T235" s="72"/>
      <c r="U235" s="72"/>
      <c r="V235" s="72"/>
      <c r="W235" s="72"/>
      <c r="X235" s="72"/>
      <c r="Y235" s="72"/>
      <c r="Z235" s="72"/>
      <c r="AA235" s="72"/>
      <c r="AB235" s="73"/>
      <c r="AC235" s="73"/>
      <c r="AD235" s="73"/>
      <c r="AE235" s="73"/>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row>
    <row r="236" spans="3:54">
      <c r="C236" s="74"/>
      <c r="Q236" s="72"/>
      <c r="R236" s="72"/>
      <c r="S236" s="72"/>
      <c r="T236" s="72"/>
      <c r="U236" s="72"/>
      <c r="V236" s="72"/>
      <c r="W236" s="72"/>
      <c r="X236" s="72"/>
      <c r="Y236" s="72"/>
      <c r="Z236" s="72"/>
      <c r="AA236" s="72"/>
      <c r="AB236" s="73"/>
      <c r="AC236" s="73"/>
      <c r="AD236" s="73"/>
      <c r="AE236" s="73"/>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row>
    <row r="237" spans="3:54">
      <c r="C237" s="74"/>
      <c r="Q237" s="72"/>
      <c r="R237" s="72"/>
      <c r="S237" s="72"/>
      <c r="T237" s="72"/>
      <c r="U237" s="72"/>
      <c r="V237" s="72"/>
      <c r="W237" s="72"/>
      <c r="X237" s="72"/>
      <c r="Y237" s="72"/>
      <c r="Z237" s="72"/>
      <c r="AA237" s="72"/>
      <c r="AB237" s="73"/>
      <c r="AC237" s="73"/>
      <c r="AD237" s="73"/>
      <c r="AE237" s="73"/>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row>
    <row r="238" spans="3:54">
      <c r="C238" s="74"/>
      <c r="Q238" s="72"/>
      <c r="R238" s="72"/>
      <c r="S238" s="72"/>
      <c r="T238" s="72"/>
      <c r="U238" s="72"/>
      <c r="V238" s="72"/>
      <c r="W238" s="72"/>
      <c r="X238" s="72"/>
      <c r="Y238" s="72"/>
      <c r="Z238" s="72"/>
      <c r="AA238" s="72"/>
      <c r="AB238" s="73"/>
      <c r="AC238" s="73"/>
      <c r="AD238" s="73"/>
      <c r="AE238" s="73"/>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row>
    <row r="239" spans="3:54">
      <c r="C239" s="74"/>
      <c r="Q239" s="72"/>
      <c r="R239" s="72"/>
      <c r="S239" s="72"/>
      <c r="T239" s="72"/>
      <c r="U239" s="72"/>
      <c r="V239" s="72"/>
      <c r="W239" s="72"/>
      <c r="X239" s="72"/>
      <c r="Y239" s="72"/>
      <c r="Z239" s="72"/>
      <c r="AA239" s="72"/>
      <c r="AB239" s="73"/>
      <c r="AC239" s="73"/>
      <c r="AD239" s="73"/>
      <c r="AE239" s="73"/>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row>
    <row r="240" spans="3:54">
      <c r="C240" s="74"/>
      <c r="Q240" s="72"/>
      <c r="R240" s="72"/>
      <c r="S240" s="72"/>
      <c r="T240" s="72"/>
      <c r="U240" s="72"/>
      <c r="V240" s="72"/>
      <c r="W240" s="72"/>
      <c r="X240" s="72"/>
      <c r="Y240" s="72"/>
      <c r="Z240" s="72"/>
      <c r="AA240" s="72"/>
      <c r="AB240" s="73"/>
      <c r="AC240" s="73"/>
      <c r="AD240" s="73"/>
      <c r="AE240" s="73"/>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row>
    <row r="241" spans="3:54">
      <c r="C241" s="74"/>
      <c r="Q241" s="72"/>
      <c r="R241" s="72"/>
      <c r="S241" s="72"/>
      <c r="T241" s="72"/>
      <c r="U241" s="72"/>
      <c r="V241" s="72"/>
      <c r="W241" s="72"/>
      <c r="X241" s="72"/>
      <c r="Y241" s="72"/>
      <c r="Z241" s="72"/>
      <c r="AA241" s="72"/>
      <c r="AB241" s="73"/>
      <c r="AC241" s="73"/>
      <c r="AD241" s="73"/>
      <c r="AE241" s="73"/>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row>
    <row r="242" spans="3:54">
      <c r="C242" s="74"/>
      <c r="Q242" s="72"/>
      <c r="R242" s="72"/>
      <c r="S242" s="72"/>
      <c r="T242" s="72"/>
      <c r="U242" s="72"/>
      <c r="V242" s="72"/>
      <c r="W242" s="72"/>
      <c r="X242" s="72"/>
      <c r="Y242" s="72"/>
      <c r="Z242" s="72"/>
      <c r="AA242" s="72"/>
      <c r="AB242" s="73"/>
      <c r="AC242" s="73"/>
      <c r="AD242" s="73"/>
      <c r="AE242" s="73"/>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row>
    <row r="243" spans="3:54">
      <c r="C243" s="74"/>
      <c r="Q243" s="72"/>
      <c r="R243" s="72"/>
      <c r="S243" s="72"/>
      <c r="T243" s="72"/>
      <c r="U243" s="72"/>
      <c r="V243" s="72"/>
      <c r="W243" s="72"/>
      <c r="X243" s="72"/>
      <c r="Y243" s="72"/>
      <c r="Z243" s="72"/>
      <c r="AA243" s="72"/>
      <c r="AB243" s="73"/>
      <c r="AC243" s="73"/>
      <c r="AD243" s="73"/>
      <c r="AE243" s="73"/>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row>
    <row r="244" spans="3:54">
      <c r="C244" s="74"/>
      <c r="Q244" s="72"/>
      <c r="R244" s="72"/>
      <c r="S244" s="72"/>
      <c r="T244" s="72"/>
      <c r="U244" s="72"/>
      <c r="V244" s="72"/>
      <c r="W244" s="72"/>
      <c r="X244" s="72"/>
      <c r="Y244" s="72"/>
      <c r="Z244" s="72"/>
      <c r="AA244" s="72"/>
      <c r="AB244" s="73"/>
      <c r="AC244" s="73"/>
      <c r="AD244" s="73"/>
      <c r="AE244" s="73"/>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row>
    <row r="245" spans="3:54">
      <c r="C245" s="74"/>
      <c r="Q245" s="72"/>
      <c r="R245" s="72"/>
      <c r="S245" s="72"/>
      <c r="T245" s="72"/>
      <c r="U245" s="72"/>
      <c r="V245" s="72"/>
      <c r="W245" s="72"/>
      <c r="X245" s="72"/>
      <c r="Y245" s="72"/>
      <c r="Z245" s="72"/>
      <c r="AA245" s="72"/>
      <c r="AB245" s="73"/>
      <c r="AC245" s="73"/>
      <c r="AD245" s="73"/>
      <c r="AE245" s="73"/>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row>
    <row r="246" spans="3:54">
      <c r="C246" s="74"/>
      <c r="Q246" s="72"/>
      <c r="R246" s="72"/>
      <c r="S246" s="72"/>
      <c r="T246" s="72"/>
      <c r="U246" s="72"/>
      <c r="V246" s="72"/>
      <c r="W246" s="72"/>
      <c r="X246" s="72"/>
      <c r="Y246" s="72"/>
      <c r="Z246" s="72"/>
      <c r="AA246" s="72"/>
      <c r="AB246" s="73"/>
      <c r="AC246" s="73"/>
      <c r="AD246" s="73"/>
      <c r="AE246" s="73"/>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row>
    <row r="247" spans="3:54">
      <c r="C247" s="74"/>
      <c r="Q247" s="72"/>
      <c r="R247" s="72"/>
      <c r="S247" s="72"/>
      <c r="T247" s="72"/>
      <c r="U247" s="72"/>
      <c r="V247" s="72"/>
      <c r="W247" s="72"/>
      <c r="X247" s="72"/>
      <c r="Y247" s="72"/>
      <c r="Z247" s="72"/>
      <c r="AA247" s="72"/>
      <c r="AB247" s="73"/>
      <c r="AC247" s="73"/>
      <c r="AD247" s="73"/>
      <c r="AE247" s="73"/>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row>
    <row r="248" spans="3:54">
      <c r="C248" s="74"/>
      <c r="Q248" s="72"/>
      <c r="R248" s="72"/>
      <c r="S248" s="72"/>
      <c r="T248" s="72"/>
      <c r="U248" s="72"/>
      <c r="V248" s="72"/>
      <c r="W248" s="72"/>
      <c r="X248" s="72"/>
      <c r="Y248" s="72"/>
      <c r="Z248" s="72"/>
      <c r="AA248" s="72"/>
      <c r="AB248" s="73"/>
      <c r="AC248" s="73"/>
      <c r="AD248" s="73"/>
      <c r="AE248" s="73"/>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row>
    <row r="249" spans="3:54">
      <c r="C249" s="74"/>
      <c r="Q249" s="72"/>
      <c r="R249" s="72"/>
      <c r="S249" s="72"/>
      <c r="T249" s="72"/>
      <c r="U249" s="72"/>
      <c r="V249" s="72"/>
      <c r="W249" s="72"/>
      <c r="X249" s="72"/>
      <c r="Y249" s="72"/>
      <c r="Z249" s="72"/>
      <c r="AA249" s="72"/>
      <c r="AB249" s="73"/>
      <c r="AC249" s="73"/>
      <c r="AD249" s="73"/>
      <c r="AE249" s="73"/>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row>
    <row r="250" spans="3:54">
      <c r="C250" s="74"/>
      <c r="Q250" s="72"/>
      <c r="R250" s="72"/>
      <c r="S250" s="72"/>
      <c r="T250" s="72"/>
      <c r="U250" s="72"/>
      <c r="V250" s="72"/>
      <c r="W250" s="72"/>
      <c r="X250" s="72"/>
      <c r="Y250" s="72"/>
      <c r="Z250" s="72"/>
      <c r="AA250" s="72"/>
      <c r="AB250" s="73"/>
      <c r="AC250" s="73"/>
      <c r="AD250" s="73"/>
      <c r="AE250" s="73"/>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row>
    <row r="251" spans="3:54">
      <c r="C251" s="74"/>
      <c r="Q251" s="72"/>
      <c r="R251" s="72"/>
      <c r="S251" s="72"/>
      <c r="T251" s="72"/>
      <c r="U251" s="72"/>
      <c r="V251" s="72"/>
      <c r="W251" s="72"/>
      <c r="X251" s="72"/>
      <c r="Y251" s="72"/>
      <c r="Z251" s="72"/>
      <c r="AA251" s="72"/>
      <c r="AB251" s="73"/>
      <c r="AC251" s="73"/>
      <c r="AD251" s="73"/>
      <c r="AE251" s="73"/>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row>
    <row r="252" spans="3:54">
      <c r="C252" s="74"/>
      <c r="Q252" s="72"/>
      <c r="R252" s="72"/>
      <c r="S252" s="72"/>
      <c r="T252" s="72"/>
      <c r="U252" s="72"/>
      <c r="V252" s="72"/>
      <c r="W252" s="72"/>
      <c r="X252" s="72"/>
      <c r="Y252" s="72"/>
      <c r="Z252" s="72"/>
      <c r="AA252" s="72"/>
      <c r="AB252" s="73"/>
      <c r="AC252" s="73"/>
      <c r="AD252" s="73"/>
      <c r="AE252" s="73"/>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row>
    <row r="253" spans="3:54">
      <c r="C253" s="74"/>
      <c r="Q253" s="72"/>
      <c r="R253" s="72"/>
      <c r="S253" s="72"/>
      <c r="T253" s="72"/>
      <c r="U253" s="72"/>
      <c r="V253" s="72"/>
      <c r="W253" s="72"/>
      <c r="X253" s="72"/>
      <c r="Y253" s="72"/>
      <c r="Z253" s="72"/>
      <c r="AA253" s="72"/>
      <c r="AB253" s="73"/>
      <c r="AC253" s="73"/>
      <c r="AD253" s="73"/>
      <c r="AE253" s="73"/>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row>
    <row r="254" spans="3:54">
      <c r="C254" s="74"/>
      <c r="Q254" s="72"/>
      <c r="R254" s="72"/>
      <c r="S254" s="72"/>
      <c r="T254" s="72"/>
      <c r="U254" s="72"/>
      <c r="V254" s="72"/>
      <c r="W254" s="72"/>
      <c r="X254" s="72"/>
      <c r="Y254" s="72"/>
      <c r="Z254" s="72"/>
      <c r="AA254" s="72"/>
      <c r="AB254" s="73"/>
      <c r="AC254" s="73"/>
      <c r="AD254" s="73"/>
      <c r="AE254" s="73"/>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row>
    <row r="255" spans="3:54">
      <c r="C255" s="74"/>
      <c r="Q255" s="72"/>
      <c r="R255" s="72"/>
      <c r="S255" s="72"/>
      <c r="T255" s="72"/>
      <c r="U255" s="72"/>
      <c r="V255" s="72"/>
      <c r="W255" s="72"/>
      <c r="X255" s="72"/>
      <c r="Y255" s="72"/>
      <c r="Z255" s="72"/>
      <c r="AA255" s="72"/>
      <c r="AB255" s="73"/>
      <c r="AC255" s="73"/>
      <c r="AD255" s="73"/>
      <c r="AE255" s="73"/>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row>
    <row r="256" spans="3:54">
      <c r="C256" s="74"/>
      <c r="Q256" s="72"/>
      <c r="R256" s="72"/>
      <c r="S256" s="72"/>
      <c r="T256" s="72"/>
      <c r="U256" s="72"/>
      <c r="V256" s="72"/>
      <c r="W256" s="72"/>
      <c r="X256" s="72"/>
      <c r="Y256" s="72"/>
      <c r="Z256" s="72"/>
      <c r="AA256" s="72"/>
      <c r="AB256" s="73"/>
      <c r="AC256" s="73"/>
      <c r="AD256" s="73"/>
      <c r="AE256" s="73"/>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row>
    <row r="257" spans="3:54">
      <c r="C257" s="74"/>
      <c r="Q257" s="72"/>
      <c r="R257" s="72"/>
      <c r="S257" s="72"/>
      <c r="T257" s="72"/>
      <c r="U257" s="72"/>
      <c r="V257" s="72"/>
      <c r="W257" s="72"/>
      <c r="X257" s="72"/>
      <c r="Y257" s="72"/>
      <c r="Z257" s="72"/>
      <c r="AA257" s="72"/>
      <c r="AB257" s="73"/>
      <c r="AC257" s="73"/>
      <c r="AD257" s="73"/>
      <c r="AE257" s="73"/>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row>
    <row r="258" spans="3:54">
      <c r="C258" s="74"/>
      <c r="Q258" s="72"/>
      <c r="R258" s="72"/>
      <c r="S258" s="72"/>
      <c r="T258" s="72"/>
      <c r="U258" s="72"/>
      <c r="V258" s="72"/>
      <c r="W258" s="72"/>
      <c r="X258" s="72"/>
      <c r="Y258" s="72"/>
      <c r="Z258" s="72"/>
      <c r="AA258" s="72"/>
      <c r="AB258" s="73"/>
      <c r="AC258" s="73"/>
      <c r="AD258" s="73"/>
      <c r="AE258" s="73"/>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row>
    <row r="259" spans="3:54">
      <c r="C259" s="74"/>
      <c r="Q259" s="72"/>
      <c r="R259" s="72"/>
      <c r="S259" s="72"/>
      <c r="T259" s="72"/>
      <c r="U259" s="72"/>
      <c r="V259" s="72"/>
      <c r="W259" s="72"/>
      <c r="X259" s="72"/>
      <c r="Y259" s="72"/>
      <c r="Z259" s="72"/>
      <c r="AA259" s="72"/>
      <c r="AB259" s="73"/>
      <c r="AC259" s="73"/>
      <c r="AD259" s="73"/>
      <c r="AE259" s="73"/>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row>
    <row r="260" spans="3:54">
      <c r="C260" s="74"/>
      <c r="Q260" s="72"/>
      <c r="R260" s="72"/>
      <c r="S260" s="72"/>
      <c r="T260" s="72"/>
      <c r="U260" s="72"/>
      <c r="V260" s="72"/>
      <c r="W260" s="72"/>
      <c r="X260" s="72"/>
      <c r="Y260" s="72"/>
      <c r="Z260" s="72"/>
      <c r="AA260" s="72"/>
      <c r="AB260" s="73"/>
      <c r="AC260" s="73"/>
      <c r="AD260" s="73"/>
      <c r="AE260" s="73"/>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row>
    <row r="261" spans="3:54">
      <c r="C261" s="74"/>
      <c r="Q261" s="72"/>
      <c r="R261" s="72"/>
      <c r="S261" s="72"/>
      <c r="T261" s="72"/>
      <c r="U261" s="72"/>
      <c r="V261" s="72"/>
      <c r="W261" s="72"/>
      <c r="X261" s="72"/>
      <c r="Y261" s="72"/>
      <c r="Z261" s="72"/>
      <c r="AA261" s="72"/>
      <c r="AB261" s="73"/>
      <c r="AC261" s="73"/>
      <c r="AD261" s="73"/>
      <c r="AE261" s="73"/>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row>
    <row r="262" spans="3:54">
      <c r="C262" s="74"/>
      <c r="Q262" s="72"/>
      <c r="R262" s="72"/>
      <c r="S262" s="72"/>
      <c r="T262" s="72"/>
      <c r="U262" s="72"/>
      <c r="V262" s="72"/>
      <c r="W262" s="72"/>
      <c r="X262" s="72"/>
      <c r="Y262" s="72"/>
      <c r="Z262" s="72"/>
      <c r="AA262" s="72"/>
      <c r="AB262" s="73"/>
      <c r="AC262" s="73"/>
      <c r="AD262" s="73"/>
      <c r="AE262" s="73"/>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row>
    <row r="263" spans="3:54">
      <c r="C263" s="74"/>
      <c r="Q263" s="72"/>
      <c r="R263" s="72"/>
      <c r="S263" s="72"/>
      <c r="T263" s="72"/>
      <c r="U263" s="72"/>
      <c r="V263" s="72"/>
      <c r="W263" s="72"/>
      <c r="X263" s="72"/>
      <c r="Y263" s="72"/>
      <c r="Z263" s="72"/>
      <c r="AA263" s="72"/>
      <c r="AB263" s="73"/>
      <c r="AC263" s="73"/>
      <c r="AD263" s="73"/>
      <c r="AE263" s="73"/>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row>
    <row r="264" spans="3:54">
      <c r="C264" s="74"/>
      <c r="Q264" s="72"/>
      <c r="R264" s="72"/>
      <c r="S264" s="72"/>
      <c r="T264" s="72"/>
      <c r="U264" s="72"/>
      <c r="V264" s="72"/>
      <c r="W264" s="72"/>
      <c r="X264" s="72"/>
      <c r="Y264" s="72"/>
      <c r="Z264" s="72"/>
      <c r="AA264" s="72"/>
      <c r="AB264" s="73"/>
      <c r="AC264" s="73"/>
      <c r="AD264" s="73"/>
      <c r="AE264" s="73"/>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row>
    <row r="265" spans="3:54">
      <c r="C265" s="74"/>
      <c r="Q265" s="72"/>
      <c r="R265" s="72"/>
      <c r="S265" s="72"/>
      <c r="T265" s="72"/>
      <c r="U265" s="72"/>
      <c r="V265" s="72"/>
      <c r="W265" s="72"/>
      <c r="X265" s="72"/>
      <c r="Y265" s="72"/>
      <c r="Z265" s="72"/>
      <c r="AA265" s="72"/>
      <c r="AB265" s="73"/>
      <c r="AC265" s="73"/>
      <c r="AD265" s="73"/>
      <c r="AE265" s="73"/>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row>
    <row r="266" spans="3:54">
      <c r="C266" s="74"/>
      <c r="Q266" s="72"/>
      <c r="R266" s="72"/>
      <c r="S266" s="72"/>
      <c r="T266" s="72"/>
      <c r="U266" s="72"/>
      <c r="V266" s="72"/>
      <c r="W266" s="72"/>
      <c r="X266" s="72"/>
      <c r="Y266" s="72"/>
      <c r="Z266" s="72"/>
      <c r="AA266" s="72"/>
      <c r="AB266" s="73"/>
      <c r="AC266" s="73"/>
      <c r="AD266" s="73"/>
      <c r="AE266" s="73"/>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row>
    <row r="267" spans="3:54">
      <c r="C267" s="74"/>
      <c r="P267" s="72"/>
      <c r="Q267" s="72"/>
      <c r="R267" s="72"/>
      <c r="S267" s="72"/>
      <c r="T267" s="72"/>
      <c r="U267" s="72"/>
      <c r="V267" s="72"/>
      <c r="W267" s="72"/>
      <c r="X267" s="72"/>
      <c r="Y267" s="72"/>
      <c r="Z267" s="72"/>
      <c r="AA267" s="73"/>
      <c r="AB267" s="73"/>
      <c r="AC267" s="73"/>
      <c r="AD267" s="73"/>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row>
    <row r="268" spans="3:54">
      <c r="C268" s="74"/>
      <c r="P268" s="72"/>
      <c r="Q268" s="72"/>
      <c r="R268" s="72"/>
      <c r="S268" s="72"/>
      <c r="T268" s="72"/>
      <c r="U268" s="72"/>
      <c r="V268" s="72"/>
      <c r="W268" s="72"/>
      <c r="X268" s="72"/>
      <c r="Y268" s="72"/>
      <c r="Z268" s="72"/>
      <c r="AA268" s="73"/>
      <c r="AB268" s="73"/>
      <c r="AC268" s="73"/>
      <c r="AD268" s="73"/>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row>
    <row r="269" spans="3:54">
      <c r="C269" s="74"/>
      <c r="P269" s="72"/>
      <c r="Q269" s="72"/>
      <c r="R269" s="72"/>
      <c r="S269" s="72"/>
      <c r="T269" s="72"/>
      <c r="U269" s="72"/>
      <c r="V269" s="72"/>
      <c r="W269" s="72"/>
      <c r="X269" s="72"/>
      <c r="Y269" s="72"/>
      <c r="Z269" s="72"/>
      <c r="AA269" s="73"/>
      <c r="AB269" s="73"/>
      <c r="AC269" s="73"/>
      <c r="AD269" s="73"/>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row>
    <row r="270" spans="3:54">
      <c r="C270" s="74"/>
      <c r="P270" s="72"/>
      <c r="Q270" s="72"/>
      <c r="R270" s="72"/>
      <c r="S270" s="72"/>
      <c r="T270" s="72"/>
      <c r="U270" s="72"/>
      <c r="V270" s="72"/>
      <c r="W270" s="72"/>
      <c r="X270" s="72"/>
      <c r="Y270" s="72"/>
      <c r="Z270" s="72"/>
      <c r="AA270" s="73"/>
      <c r="AB270" s="73"/>
      <c r="AC270" s="73"/>
      <c r="AD270" s="73"/>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row>
    <row r="271" spans="3:54">
      <c r="C271" s="74"/>
      <c r="P271" s="72"/>
      <c r="Q271" s="72"/>
      <c r="R271" s="72"/>
      <c r="S271" s="72"/>
      <c r="T271" s="72"/>
      <c r="U271" s="72"/>
      <c r="V271" s="72"/>
      <c r="W271" s="72"/>
      <c r="X271" s="72"/>
      <c r="Y271" s="72"/>
      <c r="Z271" s="72"/>
      <c r="AA271" s="73"/>
      <c r="AB271" s="73"/>
      <c r="AC271" s="73"/>
      <c r="AD271" s="73"/>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row>
    <row r="272" spans="3:54">
      <c r="C272" s="74"/>
      <c r="P272" s="72"/>
      <c r="Q272" s="72"/>
      <c r="R272" s="72"/>
      <c r="S272" s="72"/>
      <c r="T272" s="72"/>
      <c r="U272" s="72"/>
      <c r="V272" s="72"/>
      <c r="W272" s="72"/>
      <c r="X272" s="72"/>
      <c r="Y272" s="72"/>
      <c r="Z272" s="72"/>
      <c r="AA272" s="73"/>
      <c r="AB272" s="73"/>
      <c r="AC272" s="73"/>
      <c r="AD272" s="73"/>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row>
    <row r="273" spans="3:54">
      <c r="C273" s="74"/>
      <c r="P273" s="72"/>
      <c r="Q273" s="72"/>
      <c r="R273" s="72"/>
      <c r="S273" s="72"/>
      <c r="T273" s="72"/>
      <c r="U273" s="72"/>
      <c r="V273" s="72"/>
      <c r="W273" s="72"/>
      <c r="X273" s="72"/>
      <c r="Y273" s="72"/>
      <c r="Z273" s="72"/>
      <c r="AA273" s="73"/>
      <c r="AB273" s="73"/>
      <c r="AC273" s="73"/>
      <c r="AD273" s="73"/>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row>
    <row r="274" spans="3:54">
      <c r="C274" s="74"/>
      <c r="P274" s="72"/>
      <c r="Q274" s="72"/>
      <c r="R274" s="72"/>
      <c r="S274" s="72"/>
      <c r="T274" s="72"/>
      <c r="U274" s="72"/>
      <c r="V274" s="72"/>
      <c r="W274" s="72"/>
      <c r="X274" s="72"/>
      <c r="Y274" s="72"/>
      <c r="Z274" s="72"/>
      <c r="AA274" s="73"/>
      <c r="AB274" s="73"/>
      <c r="AC274" s="73"/>
      <c r="AD274" s="73"/>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row>
    <row r="275" spans="3:54">
      <c r="C275" s="74"/>
      <c r="P275" s="72"/>
      <c r="Q275" s="72"/>
      <c r="R275" s="72"/>
      <c r="S275" s="72"/>
      <c r="T275" s="72"/>
      <c r="U275" s="72"/>
      <c r="V275" s="72"/>
      <c r="W275" s="72"/>
      <c r="X275" s="72"/>
      <c r="Y275" s="72"/>
      <c r="Z275" s="72"/>
      <c r="AA275" s="73"/>
      <c r="AB275" s="73"/>
      <c r="AC275" s="73"/>
      <c r="AD275" s="73"/>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row>
    <row r="276" spans="3:54">
      <c r="C276" s="74"/>
      <c r="P276" s="72"/>
      <c r="Q276" s="72"/>
      <c r="R276" s="72"/>
      <c r="S276" s="72"/>
      <c r="T276" s="72"/>
      <c r="U276" s="72"/>
      <c r="V276" s="72"/>
      <c r="W276" s="72"/>
      <c r="X276" s="72"/>
      <c r="Y276" s="72"/>
      <c r="Z276" s="72"/>
      <c r="AA276" s="73"/>
      <c r="AB276" s="73"/>
      <c r="AC276" s="73"/>
      <c r="AD276" s="73"/>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row>
    <row r="277" spans="3:54">
      <c r="C277" s="74"/>
      <c r="P277" s="72"/>
      <c r="Q277" s="72"/>
      <c r="R277" s="72"/>
      <c r="S277" s="72"/>
      <c r="T277" s="72"/>
      <c r="U277" s="72"/>
      <c r="V277" s="72"/>
      <c r="W277" s="72"/>
      <c r="X277" s="72"/>
      <c r="Y277" s="72"/>
      <c r="Z277" s="72"/>
      <c r="AA277" s="73"/>
      <c r="AB277" s="73"/>
      <c r="AC277" s="73"/>
      <c r="AD277" s="73"/>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row>
    <row r="278" spans="3:54">
      <c r="C278" s="74"/>
      <c r="P278" s="72"/>
      <c r="Q278" s="72"/>
      <c r="R278" s="72"/>
      <c r="S278" s="72"/>
      <c r="T278" s="72"/>
      <c r="U278" s="72"/>
      <c r="V278" s="72"/>
      <c r="W278" s="72"/>
      <c r="X278" s="72"/>
      <c r="Y278" s="72"/>
      <c r="Z278" s="72"/>
      <c r="AA278" s="73"/>
      <c r="AB278" s="73"/>
      <c r="AC278" s="73"/>
      <c r="AD278" s="73"/>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row>
    <row r="279" spans="3:54">
      <c r="C279" s="74"/>
      <c r="P279" s="72"/>
      <c r="Q279" s="72"/>
      <c r="R279" s="72"/>
      <c r="S279" s="72"/>
      <c r="T279" s="72"/>
      <c r="U279" s="72"/>
      <c r="V279" s="72"/>
      <c r="W279" s="72"/>
      <c r="X279" s="72"/>
      <c r="Y279" s="72"/>
      <c r="Z279" s="72"/>
      <c r="AA279" s="73"/>
      <c r="AB279" s="73"/>
      <c r="AC279" s="73"/>
      <c r="AD279" s="73"/>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row>
    <row r="280" spans="3:54">
      <c r="C280" s="74"/>
      <c r="P280" s="72"/>
      <c r="Q280" s="72"/>
      <c r="R280" s="72"/>
      <c r="S280" s="72"/>
      <c r="T280" s="72"/>
      <c r="U280" s="72"/>
      <c r="V280" s="72"/>
      <c r="W280" s="72"/>
      <c r="X280" s="72"/>
      <c r="Y280" s="72"/>
      <c r="Z280" s="72"/>
      <c r="AA280" s="73"/>
      <c r="AB280" s="73"/>
      <c r="AC280" s="73"/>
      <c r="AD280" s="73"/>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row>
    <row r="281" spans="3:54">
      <c r="C281" s="74"/>
      <c r="P281" s="72"/>
      <c r="Q281" s="72"/>
      <c r="R281" s="72"/>
      <c r="S281" s="72"/>
      <c r="T281" s="72"/>
      <c r="U281" s="72"/>
      <c r="V281" s="72"/>
      <c r="W281" s="72"/>
      <c r="X281" s="72"/>
      <c r="Y281" s="72"/>
      <c r="Z281" s="72"/>
      <c r="AA281" s="73"/>
      <c r="AB281" s="73"/>
      <c r="AC281" s="73"/>
      <c r="AD281" s="73"/>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row>
    <row r="282" spans="3:54">
      <c r="C282" s="74"/>
      <c r="P282" s="72"/>
      <c r="Q282" s="72"/>
      <c r="R282" s="72"/>
      <c r="S282" s="72"/>
      <c r="T282" s="72"/>
      <c r="U282" s="72"/>
      <c r="V282" s="72"/>
      <c r="W282" s="72"/>
      <c r="X282" s="72"/>
      <c r="Y282" s="72"/>
      <c r="Z282" s="72"/>
      <c r="AA282" s="73"/>
      <c r="AB282" s="73"/>
      <c r="AC282" s="73"/>
      <c r="AD282" s="73"/>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row>
    <row r="283" spans="3:54">
      <c r="C283" s="74"/>
      <c r="P283" s="72"/>
      <c r="Q283" s="72"/>
      <c r="R283" s="72"/>
      <c r="S283" s="72"/>
      <c r="T283" s="72"/>
      <c r="U283" s="72"/>
      <c r="V283" s="72"/>
      <c r="W283" s="72"/>
      <c r="X283" s="72"/>
      <c r="Y283" s="72"/>
      <c r="Z283" s="72"/>
      <c r="AA283" s="73"/>
      <c r="AB283" s="73"/>
      <c r="AC283" s="73"/>
      <c r="AD283" s="73"/>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row>
    <row r="284" spans="3:54">
      <c r="C284" s="74"/>
      <c r="P284" s="72"/>
      <c r="Q284" s="72"/>
      <c r="R284" s="72"/>
      <c r="S284" s="72"/>
      <c r="T284" s="72"/>
      <c r="U284" s="72"/>
      <c r="V284" s="72"/>
      <c r="W284" s="72"/>
      <c r="X284" s="72"/>
      <c r="Y284" s="72"/>
      <c r="Z284" s="72"/>
      <c r="AA284" s="73"/>
      <c r="AB284" s="73"/>
      <c r="AC284" s="73"/>
      <c r="AD284" s="73"/>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row>
    <row r="285" spans="3:54">
      <c r="C285" s="74"/>
      <c r="P285" s="72"/>
      <c r="Q285" s="72"/>
      <c r="R285" s="72"/>
      <c r="S285" s="72"/>
      <c r="T285" s="72"/>
      <c r="U285" s="72"/>
      <c r="V285" s="72"/>
      <c r="W285" s="72"/>
      <c r="X285" s="72"/>
      <c r="Y285" s="72"/>
      <c r="Z285" s="72"/>
      <c r="AA285" s="73"/>
      <c r="AB285" s="73"/>
      <c r="AC285" s="73"/>
      <c r="AD285" s="73"/>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row>
    <row r="286" spans="3:54">
      <c r="C286" s="74"/>
      <c r="P286" s="72"/>
      <c r="Q286" s="72"/>
      <c r="R286" s="72"/>
      <c r="S286" s="72"/>
      <c r="T286" s="72"/>
      <c r="U286" s="72"/>
      <c r="V286" s="72"/>
      <c r="W286" s="72"/>
      <c r="X286" s="72"/>
      <c r="Y286" s="72"/>
      <c r="Z286" s="72"/>
      <c r="AA286" s="73"/>
      <c r="AB286" s="73"/>
      <c r="AC286" s="73"/>
      <c r="AD286" s="73"/>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row>
    <row r="287" spans="3:54">
      <c r="C287" s="74"/>
      <c r="P287" s="72"/>
      <c r="Q287" s="72"/>
      <c r="R287" s="72"/>
      <c r="S287" s="72"/>
      <c r="T287" s="72"/>
      <c r="U287" s="72"/>
      <c r="V287" s="72"/>
      <c r="W287" s="72"/>
      <c r="X287" s="72"/>
      <c r="Y287" s="72"/>
      <c r="Z287" s="72"/>
      <c r="AA287" s="73"/>
      <c r="AB287" s="73"/>
      <c r="AC287" s="73"/>
      <c r="AD287" s="73"/>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row>
    <row r="288" spans="3:54">
      <c r="C288" s="74"/>
      <c r="P288" s="72"/>
      <c r="Q288" s="72"/>
      <c r="R288" s="72"/>
      <c r="S288" s="72"/>
      <c r="T288" s="72"/>
      <c r="U288" s="72"/>
      <c r="V288" s="72"/>
      <c r="W288" s="72"/>
      <c r="X288" s="72"/>
      <c r="Y288" s="72"/>
      <c r="Z288" s="72"/>
      <c r="AA288" s="73"/>
      <c r="AB288" s="73"/>
      <c r="AC288" s="73"/>
      <c r="AD288" s="73"/>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row>
    <row r="289" spans="3:58">
      <c r="C289" s="74"/>
      <c r="P289" s="72"/>
      <c r="Q289" s="72"/>
      <c r="R289" s="72"/>
      <c r="S289" s="72"/>
      <c r="T289" s="72"/>
      <c r="U289" s="72"/>
      <c r="V289" s="72"/>
      <c r="W289" s="72"/>
      <c r="X289" s="72"/>
      <c r="Y289" s="72"/>
      <c r="Z289" s="72"/>
      <c r="AA289" s="73"/>
      <c r="AB289" s="73"/>
      <c r="AC289" s="73"/>
      <c r="AD289" s="73"/>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row>
    <row r="290" spans="3:58">
      <c r="C290" s="74"/>
      <c r="P290" s="72"/>
      <c r="Q290" s="72"/>
      <c r="R290" s="72"/>
      <c r="S290" s="72"/>
      <c r="T290" s="72"/>
      <c r="U290" s="72"/>
      <c r="V290" s="72"/>
      <c r="W290" s="72"/>
      <c r="X290" s="72"/>
      <c r="Y290" s="72"/>
      <c r="Z290" s="72"/>
      <c r="AA290" s="73"/>
      <c r="AB290" s="73"/>
      <c r="AC290" s="73"/>
      <c r="AD290" s="73"/>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row>
    <row r="291" spans="3:58">
      <c r="C291" s="74"/>
      <c r="P291" s="72"/>
      <c r="Q291" s="72"/>
      <c r="R291" s="72"/>
      <c r="S291" s="72"/>
      <c r="T291" s="72"/>
      <c r="U291" s="72"/>
      <c r="V291" s="72"/>
      <c r="W291" s="72"/>
      <c r="X291" s="72"/>
      <c r="Y291" s="72"/>
      <c r="Z291" s="72"/>
      <c r="AA291" s="73"/>
      <c r="AB291" s="73"/>
      <c r="AC291" s="73"/>
      <c r="AD291" s="73"/>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row>
    <row r="292" spans="3:58">
      <c r="C292" s="74"/>
      <c r="P292" s="72"/>
      <c r="Q292" s="72"/>
      <c r="R292" s="72"/>
      <c r="S292" s="72"/>
      <c r="T292" s="72"/>
      <c r="U292" s="72"/>
      <c r="V292" s="72"/>
      <c r="W292" s="72"/>
      <c r="X292" s="72"/>
      <c r="Y292" s="72"/>
      <c r="Z292" s="72"/>
      <c r="AA292" s="73"/>
      <c r="AB292" s="73"/>
      <c r="AC292" s="73"/>
      <c r="AD292" s="73"/>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row>
    <row r="293" spans="3:58">
      <c r="C293" s="74"/>
      <c r="P293" s="72"/>
      <c r="Q293" s="72"/>
      <c r="R293" s="72"/>
      <c r="S293" s="72"/>
      <c r="T293" s="72"/>
      <c r="U293" s="72"/>
      <c r="V293" s="72"/>
      <c r="W293" s="72"/>
      <c r="X293" s="72"/>
      <c r="Y293" s="72"/>
      <c r="Z293" s="72"/>
      <c r="AA293" s="73"/>
      <c r="AB293" s="73"/>
      <c r="AC293" s="73"/>
      <c r="AD293" s="73"/>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row>
    <row r="294" spans="3:58">
      <c r="C294" s="74"/>
      <c r="P294" s="72"/>
      <c r="Q294" s="72"/>
      <c r="R294" s="72"/>
      <c r="S294" s="72"/>
      <c r="T294" s="72"/>
      <c r="U294" s="72"/>
      <c r="V294" s="72"/>
      <c r="W294" s="72"/>
      <c r="X294" s="72"/>
      <c r="Y294" s="72"/>
      <c r="Z294" s="72"/>
      <c r="AA294" s="73"/>
      <c r="AB294" s="73"/>
      <c r="AC294" s="73"/>
      <c r="AD294" s="73"/>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row>
    <row r="295" spans="3:58">
      <c r="C295" s="74"/>
      <c r="P295" s="72"/>
      <c r="Q295" s="72"/>
      <c r="R295" s="72"/>
      <c r="S295" s="72"/>
      <c r="T295" s="72"/>
      <c r="U295" s="72"/>
      <c r="V295" s="72"/>
      <c r="W295" s="72"/>
      <c r="X295" s="72"/>
      <c r="Y295" s="72"/>
      <c r="Z295" s="72"/>
      <c r="AA295" s="73"/>
      <c r="AB295" s="73"/>
      <c r="AC295" s="73"/>
      <c r="AD295" s="73"/>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row>
    <row r="296" spans="3:58">
      <c r="C296" s="74"/>
      <c r="P296" s="72"/>
      <c r="Q296" s="72"/>
      <c r="R296" s="72"/>
      <c r="S296" s="72"/>
      <c r="T296" s="72"/>
      <c r="U296" s="72"/>
      <c r="V296" s="72"/>
      <c r="W296" s="72"/>
      <c r="X296" s="72"/>
      <c r="Y296" s="72"/>
      <c r="Z296" s="72"/>
      <c r="AA296" s="73"/>
      <c r="AB296" s="73"/>
      <c r="AC296" s="73"/>
      <c r="AD296" s="73"/>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row>
    <row r="297" spans="3:58">
      <c r="C297" s="74"/>
      <c r="P297" s="72"/>
      <c r="Q297" s="72"/>
      <c r="R297" s="72"/>
      <c r="S297" s="72"/>
      <c r="T297" s="72"/>
      <c r="U297" s="72"/>
      <c r="V297" s="72"/>
      <c r="W297" s="72"/>
      <c r="X297" s="72"/>
      <c r="Y297" s="72"/>
      <c r="Z297" s="72"/>
      <c r="AA297" s="73"/>
      <c r="AB297" s="73"/>
      <c r="AC297" s="73"/>
      <c r="AD297" s="73"/>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row>
    <row r="298" spans="3:58">
      <c r="C298" s="74"/>
      <c r="P298" s="72"/>
      <c r="Q298" s="72"/>
      <c r="R298" s="72"/>
      <c r="S298" s="72"/>
      <c r="T298" s="72"/>
      <c r="U298" s="72"/>
      <c r="V298" s="72"/>
      <c r="W298" s="72"/>
      <c r="X298" s="72"/>
      <c r="Y298" s="72"/>
      <c r="Z298" s="72"/>
      <c r="AA298" s="73"/>
      <c r="AB298" s="73"/>
      <c r="AC298" s="73"/>
      <c r="AD298" s="73"/>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row>
    <row r="299" spans="3:58">
      <c r="C299" s="74"/>
      <c r="Q299" s="72"/>
      <c r="R299" s="72"/>
      <c r="S299" s="72"/>
      <c r="T299" s="72"/>
      <c r="U299" s="72"/>
      <c r="V299" s="72"/>
      <c r="W299" s="72"/>
      <c r="X299" s="72"/>
      <c r="Y299" s="72"/>
      <c r="Z299" s="72"/>
      <c r="AA299" s="72"/>
      <c r="AB299" s="73"/>
      <c r="AC299" s="73"/>
      <c r="AD299" s="73"/>
      <c r="AE299" s="73"/>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row>
    <row r="300" spans="3:58">
      <c r="C300" s="74"/>
      <c r="Q300" s="72"/>
      <c r="R300" s="72"/>
      <c r="S300" s="72"/>
      <c r="T300" s="72"/>
      <c r="U300" s="72"/>
      <c r="V300" s="72"/>
      <c r="W300" s="72"/>
      <c r="X300" s="72"/>
      <c r="Y300" s="72"/>
      <c r="Z300" s="72"/>
      <c r="AA300" s="72"/>
      <c r="AB300" s="73"/>
      <c r="AC300" s="73"/>
      <c r="AD300" s="73"/>
      <c r="AE300" s="73"/>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row>
    <row r="301" spans="3:58">
      <c r="C301" s="74"/>
      <c r="Q301" s="72"/>
      <c r="R301" s="72"/>
      <c r="S301" s="72"/>
      <c r="T301" s="72"/>
      <c r="U301" s="72"/>
      <c r="V301" s="72"/>
      <c r="W301" s="72"/>
      <c r="X301" s="72"/>
      <c r="Y301" s="72"/>
      <c r="Z301" s="72"/>
      <c r="AA301" s="72"/>
      <c r="AB301" s="73"/>
      <c r="AC301" s="73"/>
      <c r="AD301" s="73"/>
      <c r="AE301" s="73"/>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row>
    <row r="302" spans="3:58">
      <c r="C302" s="74"/>
      <c r="Q302" s="72"/>
      <c r="R302" s="72"/>
      <c r="S302" s="72"/>
      <c r="T302" s="72"/>
      <c r="U302" s="72"/>
      <c r="V302" s="72"/>
      <c r="W302" s="72"/>
      <c r="X302" s="72"/>
      <c r="Y302" s="72"/>
      <c r="Z302" s="72"/>
      <c r="AA302" s="72"/>
      <c r="AB302" s="73"/>
      <c r="AC302" s="73"/>
      <c r="AD302" s="73"/>
      <c r="AE302" s="73"/>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c r="BC302" s="72"/>
      <c r="BD302" s="72"/>
      <c r="BE302" s="72"/>
      <c r="BF302" s="72"/>
    </row>
    <row r="303" spans="3:58">
      <c r="C303" s="74"/>
      <c r="Q303" s="72"/>
      <c r="R303" s="72"/>
      <c r="S303" s="72"/>
      <c r="T303" s="72"/>
      <c r="U303" s="72"/>
      <c r="V303" s="72"/>
      <c r="W303" s="72"/>
      <c r="X303" s="72"/>
      <c r="Y303" s="72"/>
      <c r="Z303" s="72"/>
      <c r="AA303" s="72"/>
      <c r="AB303" s="73"/>
      <c r="AC303" s="73"/>
      <c r="AD303" s="73"/>
      <c r="AE303" s="73"/>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row>
    <row r="304" spans="3:58">
      <c r="C304" s="74"/>
      <c r="Q304" s="72"/>
      <c r="R304" s="72"/>
      <c r="S304" s="72"/>
      <c r="T304" s="72"/>
      <c r="U304" s="72"/>
      <c r="V304" s="72"/>
      <c r="W304" s="72"/>
      <c r="X304" s="72"/>
      <c r="Y304" s="72"/>
      <c r="Z304" s="72"/>
      <c r="AA304" s="72"/>
      <c r="AB304" s="73"/>
      <c r="AC304" s="73"/>
      <c r="AD304" s="73"/>
      <c r="AE304" s="73"/>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row>
    <row r="305" spans="3:58">
      <c r="C305" s="74"/>
      <c r="Q305" s="72"/>
      <c r="R305" s="72"/>
      <c r="S305" s="72"/>
      <c r="T305" s="72"/>
      <c r="U305" s="72"/>
      <c r="V305" s="72"/>
      <c r="W305" s="72"/>
      <c r="X305" s="72"/>
      <c r="Y305" s="72"/>
      <c r="Z305" s="72"/>
      <c r="AA305" s="72"/>
      <c r="AB305" s="73"/>
      <c r="AC305" s="73"/>
      <c r="AD305" s="73"/>
      <c r="AE305" s="73"/>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c r="BC305" s="72"/>
      <c r="BD305" s="72"/>
      <c r="BE305" s="72"/>
      <c r="BF305" s="72"/>
    </row>
    <row r="306" spans="3:58">
      <c r="C306" s="74"/>
      <c r="Q306" s="72"/>
      <c r="R306" s="72"/>
      <c r="S306" s="72"/>
      <c r="T306" s="72"/>
      <c r="U306" s="72"/>
      <c r="V306" s="72"/>
      <c r="W306" s="72"/>
      <c r="X306" s="72"/>
      <c r="Y306" s="72"/>
      <c r="Z306" s="72"/>
      <c r="AA306" s="72"/>
      <c r="AB306" s="73"/>
      <c r="AC306" s="73"/>
      <c r="AD306" s="73"/>
      <c r="AE306" s="73"/>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row>
    <row r="307" spans="3:58">
      <c r="C307" s="74"/>
      <c r="Q307" s="72"/>
      <c r="R307" s="72"/>
      <c r="S307" s="72"/>
      <c r="T307" s="72"/>
      <c r="U307" s="72"/>
      <c r="V307" s="72"/>
      <c r="W307" s="72"/>
      <c r="X307" s="72"/>
      <c r="Y307" s="72"/>
      <c r="Z307" s="72"/>
      <c r="AA307" s="72"/>
      <c r="AB307" s="73"/>
      <c r="AC307" s="73"/>
      <c r="AD307" s="73"/>
      <c r="AE307" s="73"/>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row>
    <row r="308" spans="3:58">
      <c r="C308" s="74"/>
      <c r="Q308" s="72"/>
      <c r="R308" s="72"/>
      <c r="S308" s="72"/>
      <c r="T308" s="72"/>
      <c r="U308" s="72"/>
      <c r="V308" s="72"/>
      <c r="W308" s="72"/>
      <c r="X308" s="72"/>
      <c r="Y308" s="72"/>
      <c r="Z308" s="72"/>
      <c r="AA308" s="72"/>
      <c r="AB308" s="73"/>
      <c r="AC308" s="73"/>
      <c r="AD308" s="73"/>
      <c r="AE308" s="73"/>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row>
    <row r="309" spans="3:58">
      <c r="C309" s="74"/>
      <c r="Q309" s="72"/>
      <c r="R309" s="72"/>
      <c r="S309" s="72"/>
      <c r="T309" s="72"/>
      <c r="U309" s="72"/>
      <c r="V309" s="72"/>
      <c r="W309" s="72"/>
      <c r="X309" s="72"/>
      <c r="Y309" s="72"/>
      <c r="Z309" s="72"/>
      <c r="AA309" s="72"/>
      <c r="AB309" s="73"/>
      <c r="AC309" s="73"/>
      <c r="AD309" s="73"/>
      <c r="AE309" s="73"/>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row>
    <row r="310" spans="3:58">
      <c r="C310" s="74"/>
      <c r="Q310" s="72"/>
      <c r="R310" s="72"/>
      <c r="S310" s="72"/>
      <c r="T310" s="72"/>
      <c r="U310" s="72"/>
      <c r="V310" s="72"/>
      <c r="W310" s="72"/>
      <c r="X310" s="72"/>
      <c r="Y310" s="72"/>
      <c r="Z310" s="72"/>
      <c r="AA310" s="72"/>
      <c r="AB310" s="73"/>
      <c r="AC310" s="73"/>
      <c r="AD310" s="73"/>
      <c r="AE310" s="73"/>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row>
    <row r="311" spans="3:58">
      <c r="C311" s="74"/>
      <c r="Q311" s="72"/>
      <c r="R311" s="72"/>
      <c r="S311" s="72"/>
      <c r="T311" s="72"/>
      <c r="U311" s="72"/>
      <c r="V311" s="72"/>
      <c r="W311" s="72"/>
      <c r="X311" s="72"/>
      <c r="Y311" s="72"/>
      <c r="Z311" s="72"/>
      <c r="AA311" s="72"/>
      <c r="AB311" s="73"/>
      <c r="AC311" s="73"/>
      <c r="AD311" s="73"/>
      <c r="AE311" s="73"/>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row>
    <row r="312" spans="3:58">
      <c r="C312" s="74"/>
      <c r="Q312" s="72"/>
      <c r="R312" s="72"/>
      <c r="S312" s="72"/>
      <c r="T312" s="72"/>
      <c r="U312" s="72"/>
      <c r="V312" s="72"/>
      <c r="W312" s="72"/>
      <c r="X312" s="72"/>
      <c r="Y312" s="72"/>
      <c r="Z312" s="72"/>
      <c r="AA312" s="72"/>
      <c r="AB312" s="73"/>
      <c r="AC312" s="73"/>
      <c r="AD312" s="73"/>
      <c r="AE312" s="73"/>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row>
    <row r="313" spans="3:58">
      <c r="C313" s="74"/>
      <c r="Q313" s="72"/>
      <c r="R313" s="72"/>
      <c r="S313" s="72"/>
      <c r="T313" s="72"/>
      <c r="U313" s="72"/>
      <c r="V313" s="72"/>
      <c r="W313" s="72"/>
      <c r="X313" s="72"/>
      <c r="Y313" s="72"/>
      <c r="Z313" s="72"/>
      <c r="AA313" s="72"/>
      <c r="AB313" s="73"/>
      <c r="AC313" s="73"/>
      <c r="AD313" s="73"/>
      <c r="AE313" s="73"/>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row>
    <row r="314" spans="3:58">
      <c r="C314" s="74"/>
      <c r="Q314" s="72"/>
      <c r="R314" s="72"/>
      <c r="S314" s="72"/>
      <c r="T314" s="72"/>
      <c r="U314" s="72"/>
      <c r="V314" s="72"/>
      <c r="W314" s="72"/>
      <c r="X314" s="72"/>
      <c r="Y314" s="72"/>
      <c r="Z314" s="72"/>
      <c r="AA314" s="72"/>
      <c r="AB314" s="73"/>
      <c r="AC314" s="73"/>
      <c r="AD314" s="73"/>
      <c r="AE314" s="73"/>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row>
    <row r="315" spans="3:58">
      <c r="C315" s="74"/>
      <c r="Q315" s="72"/>
      <c r="R315" s="72"/>
      <c r="S315" s="72"/>
      <c r="T315" s="72"/>
      <c r="U315" s="72"/>
      <c r="V315" s="72"/>
      <c r="W315" s="72"/>
      <c r="X315" s="72"/>
      <c r="Y315" s="72"/>
      <c r="Z315" s="72"/>
      <c r="AA315" s="72"/>
      <c r="AB315" s="73"/>
      <c r="AC315" s="73"/>
      <c r="AD315" s="73"/>
      <c r="AE315" s="73"/>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row>
    <row r="316" spans="3:58">
      <c r="C316" s="74"/>
      <c r="Q316" s="72"/>
      <c r="R316" s="72"/>
      <c r="S316" s="72"/>
      <c r="T316" s="72"/>
      <c r="U316" s="72"/>
      <c r="V316" s="72"/>
      <c r="W316" s="72"/>
      <c r="X316" s="72"/>
      <c r="Y316" s="72"/>
      <c r="Z316" s="72"/>
      <c r="AA316" s="72"/>
      <c r="AB316" s="73"/>
      <c r="AC316" s="73"/>
      <c r="AD316" s="73"/>
      <c r="AE316" s="73"/>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row>
    <row r="317" spans="3:58">
      <c r="C317" s="74"/>
      <c r="Q317" s="72"/>
      <c r="R317" s="72"/>
      <c r="S317" s="72"/>
      <c r="T317" s="72"/>
      <c r="U317" s="72"/>
      <c r="V317" s="72"/>
      <c r="W317" s="72"/>
      <c r="X317" s="72"/>
      <c r="Y317" s="72"/>
      <c r="Z317" s="72"/>
      <c r="AA317" s="72"/>
      <c r="AB317" s="73"/>
      <c r="AC317" s="73"/>
      <c r="AD317" s="73"/>
      <c r="AE317" s="73"/>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row>
    <row r="318" spans="3:58">
      <c r="C318" s="74"/>
      <c r="Q318" s="72"/>
      <c r="R318" s="72"/>
      <c r="S318" s="72"/>
      <c r="T318" s="72"/>
      <c r="U318" s="72"/>
      <c r="V318" s="72"/>
      <c r="W318" s="72"/>
      <c r="X318" s="72"/>
      <c r="Y318" s="72"/>
      <c r="Z318" s="72"/>
      <c r="AA318" s="72"/>
      <c r="AB318" s="73"/>
      <c r="AC318" s="73"/>
      <c r="AD318" s="73"/>
      <c r="AE318" s="73"/>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row>
    <row r="319" spans="3:58">
      <c r="C319" s="74"/>
      <c r="Q319" s="72"/>
      <c r="R319" s="72"/>
      <c r="S319" s="72"/>
      <c r="T319" s="72"/>
      <c r="U319" s="72"/>
      <c r="V319" s="72"/>
      <c r="W319" s="72"/>
      <c r="X319" s="72"/>
      <c r="Y319" s="72"/>
      <c r="Z319" s="72"/>
      <c r="AA319" s="72"/>
      <c r="AB319" s="73"/>
      <c r="AC319" s="73"/>
      <c r="AD319" s="73"/>
      <c r="AE319" s="73"/>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row>
    <row r="320" spans="3:58">
      <c r="C320" s="74"/>
      <c r="Q320" s="72"/>
      <c r="R320" s="72"/>
      <c r="S320" s="72"/>
      <c r="T320" s="72"/>
      <c r="U320" s="72"/>
      <c r="V320" s="72"/>
      <c r="W320" s="72"/>
      <c r="X320" s="72"/>
      <c r="Y320" s="72"/>
      <c r="Z320" s="72"/>
      <c r="AA320" s="72"/>
      <c r="AB320" s="73"/>
      <c r="AC320" s="73"/>
      <c r="AD320" s="73"/>
      <c r="AE320" s="73"/>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row>
    <row r="321" spans="3:58">
      <c r="C321" s="74"/>
      <c r="Q321" s="72"/>
      <c r="R321" s="72"/>
      <c r="S321" s="72"/>
      <c r="T321" s="72"/>
      <c r="U321" s="72"/>
      <c r="V321" s="72"/>
      <c r="W321" s="72"/>
      <c r="X321" s="72"/>
      <c r="Y321" s="72"/>
      <c r="Z321" s="72"/>
      <c r="AA321" s="72"/>
      <c r="AB321" s="73"/>
      <c r="AC321" s="73"/>
      <c r="AD321" s="73"/>
      <c r="AE321" s="73"/>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row>
    <row r="322" spans="3:58">
      <c r="C322" s="74"/>
      <c r="Q322" s="72"/>
      <c r="R322" s="72"/>
      <c r="S322" s="72"/>
      <c r="T322" s="72"/>
      <c r="U322" s="72"/>
      <c r="V322" s="72"/>
      <c r="W322" s="72"/>
      <c r="X322" s="72"/>
      <c r="Y322" s="72"/>
      <c r="Z322" s="72"/>
      <c r="AA322" s="72"/>
      <c r="AB322" s="73"/>
      <c r="AC322" s="73"/>
      <c r="AD322" s="73"/>
      <c r="AE322" s="73"/>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row>
    <row r="323" spans="3:58">
      <c r="C323" s="74"/>
      <c r="Q323" s="72"/>
      <c r="R323" s="72"/>
      <c r="S323" s="72"/>
      <c r="T323" s="72"/>
      <c r="U323" s="72"/>
      <c r="V323" s="72"/>
      <c r="W323" s="72"/>
      <c r="X323" s="72"/>
      <c r="Y323" s="72"/>
      <c r="Z323" s="72"/>
      <c r="AA323" s="72"/>
      <c r="AB323" s="73"/>
      <c r="AC323" s="73"/>
      <c r="AD323" s="73"/>
      <c r="AE323" s="73"/>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row>
    <row r="324" spans="3:58">
      <c r="C324" s="74"/>
      <c r="Q324" s="72"/>
      <c r="R324" s="72"/>
      <c r="S324" s="72"/>
      <c r="T324" s="72"/>
      <c r="U324" s="72"/>
      <c r="V324" s="72"/>
      <c r="W324" s="72"/>
      <c r="X324" s="72"/>
      <c r="Y324" s="72"/>
      <c r="Z324" s="72"/>
      <c r="AA324" s="72"/>
      <c r="AB324" s="73"/>
      <c r="AC324" s="73"/>
      <c r="AD324" s="73"/>
      <c r="AE324" s="73"/>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row>
    <row r="325" spans="3:58">
      <c r="C325" s="74"/>
      <c r="Q325" s="72"/>
      <c r="R325" s="72"/>
      <c r="S325" s="72"/>
      <c r="T325" s="72"/>
      <c r="U325" s="72"/>
      <c r="V325" s="72"/>
      <c r="W325" s="72"/>
      <c r="X325" s="72"/>
      <c r="Y325" s="72"/>
      <c r="Z325" s="72"/>
      <c r="AA325" s="72"/>
      <c r="AB325" s="73"/>
      <c r="AC325" s="73"/>
      <c r="AD325" s="73"/>
      <c r="AE325" s="73"/>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row>
    <row r="326" spans="3:58">
      <c r="C326" s="74"/>
      <c r="Q326" s="72"/>
      <c r="R326" s="72"/>
      <c r="S326" s="72"/>
      <c r="T326" s="72"/>
      <c r="U326" s="72"/>
      <c r="V326" s="72"/>
      <c r="W326" s="72"/>
      <c r="X326" s="72"/>
      <c r="Y326" s="72"/>
      <c r="Z326" s="72"/>
      <c r="AA326" s="72"/>
      <c r="AB326" s="73"/>
      <c r="AC326" s="73"/>
      <c r="AD326" s="73"/>
      <c r="AE326" s="73"/>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c r="BC326" s="72"/>
      <c r="BD326" s="72"/>
      <c r="BE326" s="72"/>
      <c r="BF326" s="72"/>
    </row>
    <row r="327" spans="3:58">
      <c r="C327" s="74"/>
      <c r="Q327" s="72"/>
      <c r="R327" s="72"/>
      <c r="S327" s="72"/>
      <c r="T327" s="72"/>
      <c r="U327" s="72"/>
      <c r="V327" s="72"/>
      <c r="W327" s="72"/>
      <c r="X327" s="72"/>
      <c r="Y327" s="72"/>
      <c r="Z327" s="72"/>
      <c r="AA327" s="72"/>
      <c r="AB327" s="73"/>
      <c r="AC327" s="73"/>
      <c r="AD327" s="73"/>
      <c r="AE327" s="73"/>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c r="BC327" s="72"/>
      <c r="BD327" s="72"/>
      <c r="BE327" s="72"/>
      <c r="BF327" s="72"/>
    </row>
    <row r="328" spans="3:58">
      <c r="C328" s="74"/>
      <c r="Q328" s="72"/>
      <c r="R328" s="72"/>
      <c r="S328" s="72"/>
      <c r="T328" s="72"/>
      <c r="U328" s="72"/>
      <c r="V328" s="72"/>
      <c r="W328" s="72"/>
      <c r="X328" s="72"/>
      <c r="Y328" s="72"/>
      <c r="Z328" s="72"/>
      <c r="AA328" s="72"/>
      <c r="AB328" s="73"/>
      <c r="AC328" s="73"/>
      <c r="AD328" s="73"/>
      <c r="AE328" s="73"/>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c r="BC328" s="72"/>
      <c r="BD328" s="72"/>
      <c r="BE328" s="72"/>
      <c r="BF328" s="72"/>
    </row>
    <row r="329" spans="3:58">
      <c r="C329" s="74"/>
      <c r="Q329" s="72"/>
      <c r="R329" s="72"/>
      <c r="S329" s="72"/>
      <c r="T329" s="72"/>
      <c r="U329" s="72"/>
      <c r="V329" s="72"/>
      <c r="W329" s="72"/>
      <c r="X329" s="72"/>
      <c r="Y329" s="72"/>
      <c r="Z329" s="72"/>
      <c r="AA329" s="72"/>
      <c r="AB329" s="73"/>
      <c r="AC329" s="73"/>
      <c r="AD329" s="73"/>
      <c r="AE329" s="73"/>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c r="BC329" s="72"/>
      <c r="BD329" s="72"/>
      <c r="BE329" s="72"/>
      <c r="BF329" s="72"/>
    </row>
    <row r="330" spans="3:58">
      <c r="C330" s="74"/>
      <c r="Q330" s="72"/>
      <c r="R330" s="72"/>
      <c r="S330" s="72"/>
      <c r="T330" s="72"/>
      <c r="U330" s="72"/>
      <c r="V330" s="72"/>
      <c r="W330" s="72"/>
      <c r="X330" s="72"/>
      <c r="Y330" s="72"/>
      <c r="Z330" s="72"/>
      <c r="AA330" s="72"/>
      <c r="AB330" s="73"/>
      <c r="AC330" s="73"/>
      <c r="AD330" s="73"/>
      <c r="AE330" s="73"/>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c r="BC330" s="72"/>
      <c r="BD330" s="72"/>
      <c r="BE330" s="72"/>
      <c r="BF330" s="72"/>
    </row>
    <row r="331" spans="3:58">
      <c r="C331" s="74"/>
      <c r="Q331" s="72"/>
      <c r="R331" s="72"/>
      <c r="S331" s="72"/>
      <c r="T331" s="72"/>
      <c r="U331" s="72"/>
      <c r="V331" s="72"/>
      <c r="W331" s="72"/>
      <c r="X331" s="72"/>
      <c r="Y331" s="72"/>
      <c r="Z331" s="72"/>
      <c r="AA331" s="72"/>
      <c r="AB331" s="73"/>
      <c r="AC331" s="73"/>
      <c r="AD331" s="73"/>
      <c r="AE331" s="73"/>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row>
    <row r="332" spans="3:58">
      <c r="C332" s="74"/>
      <c r="Q332" s="72"/>
      <c r="R332" s="72"/>
      <c r="S332" s="72"/>
      <c r="T332" s="72"/>
      <c r="U332" s="72"/>
      <c r="V332" s="72"/>
      <c r="W332" s="72"/>
      <c r="X332" s="72"/>
      <c r="Y332" s="72"/>
      <c r="Z332" s="72"/>
      <c r="AA332" s="72"/>
      <c r="AB332" s="73"/>
      <c r="AC332" s="73"/>
      <c r="AD332" s="73"/>
      <c r="AE332" s="73"/>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row>
    <row r="333" spans="3:58">
      <c r="C333" s="74"/>
      <c r="Q333" s="72"/>
      <c r="R333" s="72"/>
      <c r="S333" s="72"/>
      <c r="T333" s="72"/>
      <c r="U333" s="72"/>
      <c r="V333" s="72"/>
      <c r="W333" s="72"/>
      <c r="X333" s="72"/>
      <c r="Y333" s="72"/>
      <c r="Z333" s="72"/>
      <c r="AA333" s="72"/>
      <c r="AB333" s="73"/>
      <c r="AC333" s="73"/>
      <c r="AD333" s="73"/>
      <c r="AE333" s="73"/>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row>
    <row r="334" spans="3:58">
      <c r="C334" s="74"/>
      <c r="Q334" s="72"/>
      <c r="R334" s="72"/>
      <c r="S334" s="72"/>
      <c r="T334" s="72"/>
      <c r="U334" s="72"/>
      <c r="V334" s="72"/>
      <c r="W334" s="72"/>
      <c r="X334" s="72"/>
      <c r="Y334" s="72"/>
      <c r="Z334" s="72"/>
      <c r="AA334" s="72"/>
      <c r="AB334" s="73"/>
      <c r="AC334" s="73"/>
      <c r="AD334" s="73"/>
      <c r="AE334" s="73"/>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row>
    <row r="335" spans="3:58">
      <c r="C335" s="74"/>
      <c r="Q335" s="72"/>
      <c r="R335" s="72"/>
      <c r="S335" s="72"/>
      <c r="T335" s="72"/>
      <c r="U335" s="72"/>
      <c r="V335" s="72"/>
      <c r="W335" s="72"/>
      <c r="X335" s="72"/>
      <c r="Y335" s="72"/>
      <c r="Z335" s="72"/>
      <c r="AA335" s="72"/>
      <c r="AB335" s="73"/>
      <c r="AC335" s="73"/>
      <c r="AD335" s="73"/>
      <c r="AE335" s="73"/>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c r="BC335" s="72"/>
      <c r="BD335" s="72"/>
      <c r="BE335" s="72"/>
      <c r="BF335" s="72"/>
    </row>
    <row r="336" spans="3:58">
      <c r="C336" s="74"/>
      <c r="Q336" s="72"/>
      <c r="R336" s="72"/>
      <c r="S336" s="72"/>
      <c r="T336" s="72"/>
      <c r="U336" s="72"/>
      <c r="V336" s="72"/>
      <c r="W336" s="72"/>
      <c r="X336" s="72"/>
      <c r="Y336" s="72"/>
      <c r="Z336" s="72"/>
      <c r="AA336" s="72"/>
      <c r="AB336" s="73"/>
      <c r="AC336" s="73"/>
      <c r="AD336" s="73"/>
      <c r="AE336" s="73"/>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c r="BC336" s="72"/>
      <c r="BD336" s="72"/>
      <c r="BE336" s="72"/>
      <c r="BF336" s="72"/>
    </row>
    <row r="337" spans="3:58">
      <c r="C337" s="74"/>
      <c r="Q337" s="72"/>
      <c r="R337" s="72"/>
      <c r="S337" s="72"/>
      <c r="T337" s="72"/>
      <c r="U337" s="72"/>
      <c r="V337" s="72"/>
      <c r="W337" s="72"/>
      <c r="X337" s="72"/>
      <c r="Y337" s="72"/>
      <c r="Z337" s="72"/>
      <c r="AA337" s="72"/>
      <c r="AB337" s="73"/>
      <c r="AC337" s="73"/>
      <c r="AD337" s="73"/>
      <c r="AE337" s="73"/>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c r="BC337" s="72"/>
      <c r="BD337" s="72"/>
      <c r="BE337" s="72"/>
      <c r="BF337" s="72"/>
    </row>
    <row r="338" spans="3:58">
      <c r="C338" s="74"/>
      <c r="Q338" s="72"/>
      <c r="R338" s="72"/>
      <c r="S338" s="72"/>
      <c r="T338" s="72"/>
      <c r="U338" s="72"/>
      <c r="V338" s="72"/>
      <c r="W338" s="72"/>
      <c r="X338" s="72"/>
      <c r="Y338" s="72"/>
      <c r="Z338" s="72"/>
      <c r="AA338" s="72"/>
      <c r="AB338" s="73"/>
      <c r="AC338" s="73"/>
      <c r="AD338" s="73"/>
      <c r="AE338" s="73"/>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row>
    <row r="339" spans="3:58">
      <c r="C339" s="74"/>
      <c r="Q339" s="72"/>
      <c r="R339" s="72"/>
      <c r="S339" s="72"/>
      <c r="T339" s="72"/>
      <c r="U339" s="72"/>
      <c r="V339" s="72"/>
      <c r="W339" s="72"/>
      <c r="X339" s="72"/>
      <c r="Y339" s="72"/>
      <c r="Z339" s="72"/>
      <c r="AA339" s="72"/>
      <c r="AB339" s="73"/>
      <c r="AC339" s="73"/>
      <c r="AD339" s="73"/>
      <c r="AE339" s="73"/>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row>
    <row r="340" spans="3:58">
      <c r="C340" s="74"/>
      <c r="Q340" s="72"/>
      <c r="R340" s="72"/>
      <c r="S340" s="72"/>
      <c r="T340" s="72"/>
      <c r="U340" s="72"/>
      <c r="V340" s="72"/>
      <c r="W340" s="72"/>
      <c r="X340" s="72"/>
      <c r="Y340" s="72"/>
      <c r="Z340" s="72"/>
      <c r="AA340" s="72"/>
      <c r="AB340" s="73"/>
      <c r="AC340" s="73"/>
      <c r="AD340" s="73"/>
      <c r="AE340" s="73"/>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row>
    <row r="341" spans="3:58">
      <c r="C341" s="74"/>
      <c r="Q341" s="72"/>
      <c r="R341" s="72"/>
      <c r="S341" s="72"/>
      <c r="T341" s="72"/>
      <c r="U341" s="72"/>
      <c r="V341" s="72"/>
      <c r="W341" s="72"/>
      <c r="X341" s="72"/>
      <c r="Y341" s="72"/>
      <c r="Z341" s="72"/>
      <c r="AA341" s="72"/>
      <c r="AB341" s="73"/>
      <c r="AC341" s="73"/>
      <c r="AD341" s="73"/>
      <c r="AE341" s="73"/>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row>
    <row r="342" spans="3:58">
      <c r="C342" s="74"/>
      <c r="Q342" s="72"/>
      <c r="R342" s="72"/>
      <c r="S342" s="72"/>
      <c r="T342" s="72"/>
      <c r="U342" s="72"/>
      <c r="V342" s="72"/>
      <c r="W342" s="72"/>
      <c r="X342" s="72"/>
      <c r="Y342" s="72"/>
      <c r="Z342" s="72"/>
      <c r="AA342" s="72"/>
      <c r="AB342" s="73"/>
      <c r="AC342" s="73"/>
      <c r="AD342" s="73"/>
      <c r="AE342" s="73"/>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row>
    <row r="343" spans="3:58">
      <c r="C343" s="74"/>
      <c r="Q343" s="72"/>
      <c r="R343" s="72"/>
      <c r="S343" s="72"/>
      <c r="T343" s="72"/>
      <c r="U343" s="72"/>
      <c r="V343" s="72"/>
      <c r="W343" s="72"/>
      <c r="X343" s="72"/>
      <c r="Y343" s="72"/>
      <c r="Z343" s="72"/>
      <c r="AA343" s="72"/>
      <c r="AB343" s="73"/>
      <c r="AC343" s="73"/>
      <c r="AD343" s="73"/>
      <c r="AE343" s="73"/>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c r="BC343" s="72"/>
      <c r="BD343" s="72"/>
      <c r="BE343" s="72"/>
      <c r="BF343" s="72"/>
    </row>
    <row r="344" spans="3:58">
      <c r="C344" s="74"/>
      <c r="Q344" s="72"/>
      <c r="R344" s="72"/>
      <c r="S344" s="72"/>
      <c r="T344" s="72"/>
      <c r="U344" s="72"/>
      <c r="V344" s="72"/>
      <c r="W344" s="72"/>
      <c r="X344" s="72"/>
      <c r="Y344" s="72"/>
      <c r="Z344" s="72"/>
      <c r="AA344" s="72"/>
      <c r="AB344" s="73"/>
      <c r="AC344" s="73"/>
      <c r="AD344" s="73"/>
      <c r="AE344" s="73"/>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c r="BC344" s="72"/>
      <c r="BD344" s="72"/>
      <c r="BE344" s="72"/>
      <c r="BF344" s="72"/>
    </row>
    <row r="345" spans="3:58">
      <c r="C345" s="74"/>
      <c r="Q345" s="72"/>
      <c r="R345" s="72"/>
      <c r="S345" s="72"/>
      <c r="T345" s="72"/>
      <c r="U345" s="72"/>
      <c r="V345" s="72"/>
      <c r="W345" s="72"/>
      <c r="X345" s="72"/>
      <c r="Y345" s="72"/>
      <c r="Z345" s="72"/>
      <c r="AA345" s="72"/>
      <c r="AB345" s="73"/>
      <c r="AC345" s="73"/>
      <c r="AD345" s="73"/>
      <c r="AE345" s="73"/>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c r="BC345" s="72"/>
      <c r="BD345" s="72"/>
      <c r="BE345" s="72"/>
      <c r="BF345" s="72"/>
    </row>
    <row r="346" spans="3:58">
      <c r="C346" s="74"/>
      <c r="Q346" s="72"/>
      <c r="R346" s="72"/>
      <c r="S346" s="72"/>
      <c r="T346" s="72"/>
      <c r="U346" s="72"/>
      <c r="V346" s="72"/>
      <c r="W346" s="72"/>
      <c r="X346" s="72"/>
      <c r="Y346" s="72"/>
      <c r="Z346" s="72"/>
      <c r="AA346" s="72"/>
      <c r="AB346" s="73"/>
      <c r="AC346" s="73"/>
      <c r="AD346" s="73"/>
      <c r="AE346" s="73"/>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row>
    <row r="347" spans="3:58">
      <c r="C347" s="74"/>
      <c r="Q347" s="72"/>
      <c r="R347" s="72"/>
      <c r="S347" s="72"/>
      <c r="T347" s="72"/>
      <c r="U347" s="72"/>
      <c r="V347" s="72"/>
      <c r="W347" s="72"/>
      <c r="X347" s="72"/>
      <c r="Y347" s="72"/>
      <c r="Z347" s="72"/>
      <c r="AA347" s="72"/>
      <c r="AB347" s="73"/>
      <c r="AC347" s="73"/>
      <c r="AD347" s="73"/>
      <c r="AE347" s="73"/>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row>
    <row r="348" spans="3:58">
      <c r="C348" s="74"/>
      <c r="Q348" s="72"/>
      <c r="R348" s="72"/>
      <c r="S348" s="72"/>
      <c r="T348" s="72"/>
      <c r="U348" s="72"/>
      <c r="V348" s="72"/>
      <c r="W348" s="72"/>
      <c r="X348" s="72"/>
      <c r="Y348" s="72"/>
      <c r="Z348" s="72"/>
      <c r="AA348" s="72"/>
      <c r="AB348" s="73"/>
      <c r="AC348" s="73"/>
      <c r="AD348" s="73"/>
      <c r="AE348" s="73"/>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row>
    <row r="349" spans="3:58">
      <c r="C349" s="74"/>
      <c r="Q349" s="72"/>
      <c r="R349" s="72"/>
      <c r="S349" s="72"/>
      <c r="T349" s="72"/>
      <c r="U349" s="72"/>
      <c r="V349" s="72"/>
      <c r="W349" s="72"/>
      <c r="X349" s="72"/>
      <c r="Y349" s="72"/>
      <c r="Z349" s="72"/>
      <c r="AA349" s="72"/>
      <c r="AB349" s="73"/>
      <c r="AC349" s="73"/>
      <c r="AD349" s="73"/>
      <c r="AE349" s="73"/>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c r="BC349" s="72"/>
      <c r="BD349" s="72"/>
      <c r="BE349" s="72"/>
      <c r="BF349" s="72"/>
    </row>
    <row r="350" spans="3:58">
      <c r="C350" s="74"/>
      <c r="Q350" s="72"/>
      <c r="R350" s="72"/>
      <c r="S350" s="72"/>
      <c r="T350" s="72"/>
      <c r="U350" s="72"/>
      <c r="V350" s="72"/>
      <c r="W350" s="72"/>
      <c r="X350" s="72"/>
      <c r="Y350" s="72"/>
      <c r="Z350" s="72"/>
      <c r="AA350" s="72"/>
      <c r="AB350" s="73"/>
      <c r="AC350" s="73"/>
      <c r="AD350" s="73"/>
      <c r="AE350" s="73"/>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c r="BC350" s="72"/>
      <c r="BD350" s="72"/>
      <c r="BE350" s="72"/>
      <c r="BF350" s="72"/>
    </row>
    <row r="351" spans="3:58">
      <c r="C351" s="74"/>
      <c r="Q351" s="72"/>
      <c r="R351" s="72"/>
      <c r="S351" s="72"/>
      <c r="T351" s="72"/>
      <c r="U351" s="72"/>
      <c r="V351" s="72"/>
      <c r="W351" s="72"/>
      <c r="X351" s="72"/>
      <c r="Y351" s="72"/>
      <c r="Z351" s="72"/>
      <c r="AA351" s="72"/>
      <c r="AB351" s="73"/>
      <c r="AC351" s="73"/>
      <c r="AD351" s="73"/>
      <c r="AE351" s="73"/>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c r="BC351" s="72"/>
      <c r="BD351" s="72"/>
      <c r="BE351" s="72"/>
      <c r="BF351" s="72"/>
    </row>
    <row r="352" spans="3:58">
      <c r="C352" s="74"/>
      <c r="Q352" s="72"/>
      <c r="R352" s="72"/>
      <c r="S352" s="72"/>
      <c r="T352" s="72"/>
      <c r="U352" s="72"/>
      <c r="V352" s="72"/>
      <c r="W352" s="72"/>
      <c r="X352" s="72"/>
      <c r="Y352" s="72"/>
      <c r="Z352" s="72"/>
      <c r="AA352" s="72"/>
      <c r="AB352" s="73"/>
      <c r="AC352" s="73"/>
      <c r="AD352" s="73"/>
      <c r="AE352" s="73"/>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c r="BC352" s="72"/>
      <c r="BD352" s="72"/>
      <c r="BE352" s="72"/>
      <c r="BF352" s="72"/>
    </row>
    <row r="353" spans="3:58">
      <c r="C353" s="74"/>
      <c r="Q353" s="72"/>
      <c r="R353" s="72"/>
      <c r="S353" s="72"/>
      <c r="T353" s="72"/>
      <c r="U353" s="72"/>
      <c r="V353" s="72"/>
      <c r="W353" s="72"/>
      <c r="X353" s="72"/>
      <c r="Y353" s="72"/>
      <c r="Z353" s="72"/>
      <c r="AA353" s="72"/>
      <c r="AB353" s="73"/>
      <c r="AC353" s="73"/>
      <c r="AD353" s="73"/>
      <c r="AE353" s="73"/>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row>
    <row r="354" spans="3:58">
      <c r="C354" s="74"/>
      <c r="Q354" s="72"/>
      <c r="R354" s="72"/>
      <c r="S354" s="72"/>
      <c r="T354" s="72"/>
      <c r="U354" s="72"/>
      <c r="V354" s="72"/>
      <c r="W354" s="72"/>
      <c r="X354" s="72"/>
      <c r="Y354" s="72"/>
      <c r="Z354" s="72"/>
      <c r="AA354" s="72"/>
      <c r="AB354" s="73"/>
      <c r="AC354" s="73"/>
      <c r="AD354" s="73"/>
      <c r="AE354" s="73"/>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row>
    <row r="355" spans="3:58">
      <c r="C355" s="74"/>
      <c r="Q355" s="72"/>
      <c r="R355" s="72"/>
      <c r="S355" s="72"/>
      <c r="T355" s="72"/>
      <c r="U355" s="72"/>
      <c r="V355" s="72"/>
      <c r="W355" s="72"/>
      <c r="X355" s="72"/>
      <c r="Y355" s="72"/>
      <c r="Z355" s="72"/>
      <c r="AA355" s="72"/>
      <c r="AB355" s="73"/>
      <c r="AC355" s="73"/>
      <c r="AD355" s="73"/>
      <c r="AE355" s="73"/>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c r="BC355" s="72"/>
      <c r="BD355" s="72"/>
      <c r="BE355" s="72"/>
      <c r="BF355" s="72"/>
    </row>
    <row r="356" spans="3:58">
      <c r="C356" s="74"/>
      <c r="Q356" s="72"/>
      <c r="R356" s="72"/>
      <c r="S356" s="72"/>
      <c r="T356" s="72"/>
      <c r="U356" s="72"/>
      <c r="V356" s="72"/>
      <c r="W356" s="72"/>
      <c r="X356" s="72"/>
      <c r="Y356" s="72"/>
      <c r="Z356" s="72"/>
      <c r="AA356" s="72"/>
      <c r="AB356" s="73"/>
      <c r="AC356" s="73"/>
      <c r="AD356" s="73"/>
      <c r="AE356" s="73"/>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c r="BC356" s="72"/>
      <c r="BD356" s="72"/>
      <c r="BE356" s="72"/>
      <c r="BF356" s="72"/>
    </row>
    <row r="357" spans="3:58">
      <c r="C357" s="74"/>
      <c r="Q357" s="72"/>
      <c r="R357" s="72"/>
      <c r="S357" s="72"/>
      <c r="T357" s="72"/>
      <c r="U357" s="72"/>
      <c r="V357" s="72"/>
      <c r="W357" s="72"/>
      <c r="X357" s="72"/>
      <c r="Y357" s="72"/>
      <c r="Z357" s="72"/>
      <c r="AA357" s="72"/>
      <c r="AB357" s="73"/>
      <c r="AC357" s="73"/>
      <c r="AD357" s="73"/>
      <c r="AE357" s="73"/>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c r="BC357" s="72"/>
      <c r="BD357" s="72"/>
      <c r="BE357" s="72"/>
      <c r="BF357" s="72"/>
    </row>
    <row r="358" spans="3:58">
      <c r="C358" s="74"/>
      <c r="Q358" s="72"/>
      <c r="R358" s="72"/>
      <c r="S358" s="72"/>
      <c r="T358" s="72"/>
      <c r="U358" s="72"/>
      <c r="V358" s="72"/>
      <c r="W358" s="72"/>
      <c r="X358" s="72"/>
      <c r="Y358" s="72"/>
      <c r="Z358" s="72"/>
      <c r="AA358" s="72"/>
      <c r="AB358" s="73"/>
      <c r="AC358" s="73"/>
      <c r="AD358" s="73"/>
      <c r="AE358" s="73"/>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row>
    <row r="359" spans="3:58">
      <c r="C359" s="74"/>
      <c r="Q359" s="72"/>
      <c r="R359" s="72"/>
      <c r="S359" s="72"/>
      <c r="T359" s="72"/>
      <c r="U359" s="72"/>
      <c r="V359" s="72"/>
      <c r="W359" s="72"/>
      <c r="X359" s="72"/>
      <c r="Y359" s="72"/>
      <c r="Z359" s="72"/>
      <c r="AA359" s="72"/>
      <c r="AB359" s="73"/>
      <c r="AC359" s="73"/>
      <c r="AD359" s="73"/>
      <c r="AE359" s="73"/>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row>
    <row r="360" spans="3:58">
      <c r="C360" s="74"/>
      <c r="Q360" s="72"/>
      <c r="R360" s="72"/>
      <c r="S360" s="72"/>
      <c r="T360" s="72"/>
      <c r="U360" s="72"/>
      <c r="V360" s="72"/>
      <c r="W360" s="72"/>
      <c r="X360" s="72"/>
      <c r="Y360" s="72"/>
      <c r="Z360" s="72"/>
      <c r="AA360" s="72"/>
      <c r="AB360" s="73"/>
      <c r="AC360" s="73"/>
      <c r="AD360" s="73"/>
      <c r="AE360" s="73"/>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c r="BC360" s="72"/>
      <c r="BD360" s="72"/>
      <c r="BE360" s="72"/>
      <c r="BF360" s="72"/>
    </row>
    <row r="361" spans="3:58">
      <c r="C361" s="74"/>
      <c r="Q361" s="72"/>
      <c r="R361" s="72"/>
      <c r="S361" s="72"/>
      <c r="T361" s="72"/>
      <c r="U361" s="72"/>
      <c r="V361" s="72"/>
      <c r="W361" s="72"/>
      <c r="X361" s="72"/>
      <c r="Y361" s="72"/>
      <c r="Z361" s="72"/>
      <c r="AA361" s="72"/>
      <c r="AB361" s="73"/>
      <c r="AC361" s="73"/>
      <c r="AD361" s="73"/>
      <c r="AE361" s="73"/>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c r="BC361" s="72"/>
      <c r="BD361" s="72"/>
      <c r="BE361" s="72"/>
      <c r="BF361" s="72"/>
    </row>
    <row r="362" spans="3:58">
      <c r="C362" s="74"/>
      <c r="Q362" s="72"/>
      <c r="R362" s="72"/>
      <c r="S362" s="72"/>
      <c r="T362" s="72"/>
      <c r="U362" s="72"/>
      <c r="V362" s="72"/>
      <c r="W362" s="72"/>
      <c r="X362" s="72"/>
      <c r="Y362" s="72"/>
      <c r="Z362" s="72"/>
      <c r="AA362" s="72"/>
      <c r="AB362" s="73"/>
      <c r="AC362" s="73"/>
      <c r="AD362" s="73"/>
      <c r="AE362" s="73"/>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c r="BC362" s="72"/>
      <c r="BD362" s="72"/>
      <c r="BE362" s="72"/>
      <c r="BF362" s="72"/>
    </row>
    <row r="363" spans="3:58">
      <c r="C363" s="74"/>
      <c r="Q363" s="72"/>
      <c r="R363" s="72"/>
      <c r="S363" s="72"/>
      <c r="T363" s="72"/>
      <c r="U363" s="72"/>
      <c r="V363" s="72"/>
      <c r="W363" s="72"/>
      <c r="X363" s="72"/>
      <c r="Y363" s="72"/>
      <c r="Z363" s="72"/>
      <c r="AA363" s="72"/>
      <c r="AB363" s="73"/>
      <c r="AC363" s="73"/>
      <c r="AD363" s="73"/>
      <c r="AE363" s="73"/>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c r="BC363" s="72"/>
      <c r="BD363" s="72"/>
      <c r="BE363" s="72"/>
      <c r="BF363" s="72"/>
    </row>
    <row r="364" spans="3:58">
      <c r="C364" s="74"/>
      <c r="Q364" s="72"/>
      <c r="R364" s="72"/>
      <c r="S364" s="72"/>
      <c r="T364" s="72"/>
      <c r="U364" s="72"/>
      <c r="V364" s="72"/>
      <c r="W364" s="72"/>
      <c r="X364" s="72"/>
      <c r="Y364" s="72"/>
      <c r="Z364" s="72"/>
      <c r="AA364" s="72"/>
      <c r="AB364" s="73"/>
      <c r="AC364" s="73"/>
      <c r="AD364" s="73"/>
      <c r="AE364" s="73"/>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c r="BC364" s="72"/>
      <c r="BD364" s="72"/>
      <c r="BE364" s="72"/>
      <c r="BF364" s="72"/>
    </row>
    <row r="365" spans="3:58">
      <c r="C365" s="74"/>
      <c r="Q365" s="72"/>
      <c r="R365" s="72"/>
      <c r="S365" s="72"/>
      <c r="T365" s="72"/>
      <c r="U365" s="72"/>
      <c r="V365" s="72"/>
      <c r="W365" s="72"/>
      <c r="X365" s="72"/>
      <c r="Y365" s="72"/>
      <c r="Z365" s="72"/>
      <c r="AA365" s="72"/>
      <c r="AB365" s="73"/>
      <c r="AC365" s="73"/>
      <c r="AD365" s="73"/>
      <c r="AE365" s="73"/>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c r="BC365" s="72"/>
      <c r="BD365" s="72"/>
      <c r="BE365" s="72"/>
      <c r="BF365" s="72"/>
    </row>
    <row r="366" spans="3:58">
      <c r="C366" s="74"/>
      <c r="Q366" s="72"/>
      <c r="R366" s="72"/>
      <c r="S366" s="72"/>
      <c r="T366" s="72"/>
      <c r="U366" s="72"/>
      <c r="V366" s="72"/>
      <c r="W366" s="72"/>
      <c r="X366" s="72"/>
      <c r="Y366" s="72"/>
      <c r="Z366" s="72"/>
      <c r="AA366" s="72"/>
      <c r="AB366" s="73"/>
      <c r="AC366" s="73"/>
      <c r="AD366" s="73"/>
      <c r="AE366" s="73"/>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c r="BC366" s="72"/>
      <c r="BD366" s="72"/>
      <c r="BE366" s="72"/>
      <c r="BF366" s="72"/>
    </row>
    <row r="367" spans="3:58">
      <c r="C367" s="74"/>
      <c r="Q367" s="72"/>
      <c r="R367" s="72"/>
      <c r="S367" s="72"/>
      <c r="T367" s="72"/>
      <c r="U367" s="72"/>
      <c r="V367" s="72"/>
      <c r="W367" s="72"/>
      <c r="X367" s="72"/>
      <c r="Y367" s="72"/>
      <c r="Z367" s="72"/>
      <c r="AA367" s="72"/>
      <c r="AB367" s="73"/>
      <c r="AC367" s="73"/>
      <c r="AD367" s="73"/>
      <c r="AE367" s="73"/>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c r="BC367" s="72"/>
      <c r="BD367" s="72"/>
      <c r="BE367" s="72"/>
      <c r="BF367" s="72"/>
    </row>
    <row r="368" spans="3:58">
      <c r="C368" s="74"/>
      <c r="Q368" s="72"/>
      <c r="R368" s="72"/>
      <c r="S368" s="72"/>
      <c r="T368" s="72"/>
      <c r="U368" s="72"/>
      <c r="V368" s="72"/>
      <c r="W368" s="72"/>
      <c r="X368" s="72"/>
      <c r="Y368" s="72"/>
      <c r="Z368" s="72"/>
      <c r="AA368" s="72"/>
      <c r="AB368" s="73"/>
      <c r="AC368" s="73"/>
      <c r="AD368" s="73"/>
      <c r="AE368" s="73"/>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c r="BC368" s="72"/>
      <c r="BD368" s="72"/>
      <c r="BE368" s="72"/>
      <c r="BF368" s="72"/>
    </row>
    <row r="369" spans="3:58">
      <c r="C369" s="74"/>
      <c r="Q369" s="72"/>
      <c r="R369" s="72"/>
      <c r="S369" s="72"/>
      <c r="T369" s="72"/>
      <c r="U369" s="72"/>
      <c r="V369" s="72"/>
      <c r="W369" s="72"/>
      <c r="X369" s="72"/>
      <c r="Y369" s="72"/>
      <c r="Z369" s="72"/>
      <c r="AA369" s="72"/>
      <c r="AB369" s="73"/>
      <c r="AC369" s="73"/>
      <c r="AD369" s="73"/>
      <c r="AE369" s="73"/>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c r="BC369" s="72"/>
      <c r="BD369" s="72"/>
      <c r="BE369" s="72"/>
      <c r="BF369" s="72"/>
    </row>
    <row r="370" spans="3:58">
      <c r="C370" s="74"/>
      <c r="Q370" s="72"/>
      <c r="R370" s="72"/>
      <c r="S370" s="72"/>
      <c r="T370" s="72"/>
      <c r="U370" s="72"/>
      <c r="V370" s="72"/>
      <c r="W370" s="72"/>
      <c r="X370" s="72"/>
      <c r="Y370" s="72"/>
      <c r="Z370" s="72"/>
      <c r="AA370" s="72"/>
      <c r="AB370" s="73"/>
      <c r="AC370" s="73"/>
      <c r="AD370" s="73"/>
      <c r="AE370" s="73"/>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c r="BC370" s="72"/>
      <c r="BD370" s="72"/>
      <c r="BE370" s="72"/>
      <c r="BF370" s="72"/>
    </row>
    <row r="371" spans="3:58">
      <c r="C371" s="74"/>
      <c r="Q371" s="72"/>
      <c r="R371" s="72"/>
      <c r="S371" s="72"/>
      <c r="T371" s="72"/>
      <c r="U371" s="72"/>
      <c r="V371" s="72"/>
      <c r="W371" s="72"/>
      <c r="X371" s="72"/>
      <c r="Y371" s="72"/>
      <c r="Z371" s="72"/>
      <c r="AA371" s="72"/>
      <c r="AB371" s="73"/>
      <c r="AC371" s="73"/>
      <c r="AD371" s="73"/>
      <c r="AE371" s="73"/>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c r="BC371" s="72"/>
      <c r="BD371" s="72"/>
      <c r="BE371" s="72"/>
      <c r="BF371" s="72"/>
    </row>
    <row r="372" spans="3:58">
      <c r="C372" s="74"/>
      <c r="Q372" s="72"/>
      <c r="R372" s="72"/>
      <c r="S372" s="72"/>
      <c r="T372" s="72"/>
      <c r="U372" s="72"/>
      <c r="V372" s="72"/>
      <c r="W372" s="72"/>
      <c r="X372" s="72"/>
      <c r="Y372" s="72"/>
      <c r="Z372" s="72"/>
      <c r="AA372" s="72"/>
      <c r="AB372" s="73"/>
      <c r="AC372" s="73"/>
      <c r="AD372" s="73"/>
      <c r="AE372" s="73"/>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c r="BC372" s="72"/>
      <c r="BD372" s="72"/>
      <c r="BE372" s="72"/>
      <c r="BF372" s="72"/>
    </row>
    <row r="373" spans="3:58">
      <c r="C373" s="74"/>
      <c r="Q373" s="72"/>
      <c r="R373" s="72"/>
      <c r="S373" s="72"/>
      <c r="T373" s="72"/>
      <c r="U373" s="72"/>
      <c r="V373" s="72"/>
      <c r="W373" s="72"/>
      <c r="X373" s="72"/>
      <c r="Y373" s="72"/>
      <c r="Z373" s="72"/>
      <c r="AA373" s="72"/>
      <c r="AB373" s="73"/>
      <c r="AC373" s="73"/>
      <c r="AD373" s="73"/>
      <c r="AE373" s="73"/>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c r="BC373" s="72"/>
      <c r="BD373" s="72"/>
      <c r="BE373" s="72"/>
      <c r="BF373" s="72"/>
    </row>
    <row r="374" spans="3:58">
      <c r="C374" s="74"/>
      <c r="Q374" s="72"/>
      <c r="R374" s="72"/>
      <c r="S374" s="72"/>
      <c r="T374" s="72"/>
      <c r="U374" s="72"/>
      <c r="V374" s="72"/>
      <c r="W374" s="72"/>
      <c r="X374" s="72"/>
      <c r="Y374" s="72"/>
      <c r="Z374" s="72"/>
      <c r="AA374" s="72"/>
      <c r="AB374" s="73"/>
      <c r="AC374" s="73"/>
      <c r="AD374" s="73"/>
      <c r="AE374" s="73"/>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c r="BC374" s="72"/>
      <c r="BD374" s="72"/>
      <c r="BE374" s="72"/>
      <c r="BF374" s="72"/>
    </row>
    <row r="375" spans="3:58">
      <c r="C375" s="74"/>
      <c r="Q375" s="72"/>
      <c r="R375" s="72"/>
      <c r="S375" s="72"/>
      <c r="T375" s="72"/>
      <c r="U375" s="72"/>
      <c r="V375" s="72"/>
      <c r="W375" s="72"/>
      <c r="X375" s="72"/>
      <c r="Y375" s="72"/>
      <c r="Z375" s="72"/>
      <c r="AA375" s="72"/>
      <c r="AB375" s="73"/>
      <c r="AC375" s="73"/>
      <c r="AD375" s="73"/>
      <c r="AE375" s="73"/>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row>
    <row r="376" spans="3:58">
      <c r="C376" s="74"/>
      <c r="Q376" s="72"/>
      <c r="R376" s="72"/>
      <c r="S376" s="72"/>
      <c r="T376" s="72"/>
      <c r="U376" s="72"/>
      <c r="V376" s="72"/>
      <c r="W376" s="72"/>
      <c r="X376" s="72"/>
      <c r="Y376" s="72"/>
      <c r="Z376" s="72"/>
      <c r="AA376" s="72"/>
      <c r="AB376" s="73"/>
      <c r="AC376" s="73"/>
      <c r="AD376" s="73"/>
      <c r="AE376" s="73"/>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row>
    <row r="377" spans="3:58">
      <c r="C377" s="74"/>
      <c r="Q377" s="72"/>
      <c r="R377" s="72"/>
      <c r="S377" s="72"/>
      <c r="T377" s="72"/>
      <c r="U377" s="72"/>
      <c r="V377" s="72"/>
      <c r="W377" s="72"/>
      <c r="X377" s="72"/>
      <c r="Y377" s="72"/>
      <c r="Z377" s="72"/>
      <c r="AA377" s="72"/>
      <c r="AB377" s="73"/>
      <c r="AC377" s="73"/>
      <c r="AD377" s="73"/>
      <c r="AE377" s="73"/>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row>
    <row r="378" spans="3:58">
      <c r="C378" s="74"/>
      <c r="Q378" s="72"/>
      <c r="R378" s="72"/>
      <c r="S378" s="72"/>
      <c r="T378" s="72"/>
      <c r="U378" s="72"/>
      <c r="V378" s="72"/>
      <c r="W378" s="72"/>
      <c r="X378" s="72"/>
      <c r="Y378" s="72"/>
      <c r="Z378" s="72"/>
      <c r="AA378" s="72"/>
      <c r="AB378" s="73"/>
      <c r="AC378" s="73"/>
      <c r="AD378" s="73"/>
      <c r="AE378" s="73"/>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c r="BC378" s="72"/>
      <c r="BD378" s="72"/>
      <c r="BE378" s="72"/>
      <c r="BF378" s="72"/>
    </row>
    <row r="379" spans="3:58">
      <c r="C379" s="74"/>
      <c r="Q379" s="72"/>
      <c r="R379" s="72"/>
      <c r="S379" s="72"/>
      <c r="T379" s="72"/>
      <c r="U379" s="72"/>
      <c r="V379" s="72"/>
      <c r="W379" s="72"/>
      <c r="X379" s="72"/>
      <c r="Y379" s="72"/>
      <c r="Z379" s="72"/>
      <c r="AA379" s="72"/>
      <c r="AB379" s="73"/>
      <c r="AC379" s="73"/>
      <c r="AD379" s="73"/>
      <c r="AE379" s="73"/>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c r="BC379" s="72"/>
      <c r="BD379" s="72"/>
      <c r="BE379" s="72"/>
      <c r="BF379" s="72"/>
    </row>
    <row r="380" spans="3:58">
      <c r="C380" s="74"/>
      <c r="Q380" s="72"/>
      <c r="R380" s="72"/>
      <c r="S380" s="72"/>
      <c r="T380" s="72"/>
      <c r="U380" s="72"/>
      <c r="V380" s="72"/>
      <c r="W380" s="72"/>
      <c r="X380" s="72"/>
      <c r="Y380" s="72"/>
      <c r="Z380" s="72"/>
      <c r="AA380" s="72"/>
      <c r="AB380" s="73"/>
      <c r="AC380" s="73"/>
      <c r="AD380" s="73"/>
      <c r="AE380" s="73"/>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c r="BC380" s="72"/>
      <c r="BD380" s="72"/>
      <c r="BE380" s="72"/>
      <c r="BF380" s="72"/>
    </row>
    <row r="381" spans="3:58">
      <c r="C381" s="74"/>
      <c r="Q381" s="72"/>
      <c r="R381" s="72"/>
      <c r="S381" s="72"/>
      <c r="T381" s="72"/>
      <c r="U381" s="72"/>
      <c r="V381" s="72"/>
      <c r="W381" s="72"/>
      <c r="X381" s="72"/>
      <c r="Y381" s="72"/>
      <c r="Z381" s="72"/>
      <c r="AA381" s="72"/>
      <c r="AB381" s="73"/>
      <c r="AC381" s="73"/>
      <c r="AD381" s="73"/>
      <c r="AE381" s="73"/>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c r="BC381" s="72"/>
      <c r="BD381" s="72"/>
      <c r="BE381" s="72"/>
      <c r="BF381" s="72"/>
    </row>
    <row r="382" spans="3:58">
      <c r="C382" s="74"/>
      <c r="Q382" s="72"/>
      <c r="R382" s="72"/>
      <c r="S382" s="72"/>
      <c r="T382" s="72"/>
      <c r="U382" s="72"/>
      <c r="V382" s="72"/>
      <c r="W382" s="72"/>
      <c r="X382" s="72"/>
      <c r="Y382" s="72"/>
      <c r="Z382" s="72"/>
      <c r="AA382" s="72"/>
      <c r="AB382" s="73"/>
      <c r="AC382" s="73"/>
      <c r="AD382" s="73"/>
      <c r="AE382" s="73"/>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c r="BC382" s="72"/>
      <c r="BD382" s="72"/>
      <c r="BE382" s="72"/>
      <c r="BF382" s="72"/>
    </row>
    <row r="383" spans="3:58">
      <c r="C383" s="74"/>
      <c r="Q383" s="72"/>
      <c r="R383" s="72"/>
      <c r="S383" s="72"/>
      <c r="T383" s="72"/>
      <c r="U383" s="72"/>
      <c r="V383" s="72"/>
      <c r="W383" s="72"/>
      <c r="X383" s="72"/>
      <c r="Y383" s="72"/>
      <c r="Z383" s="72"/>
      <c r="AA383" s="72"/>
      <c r="AB383" s="73"/>
      <c r="AC383" s="73"/>
      <c r="AD383" s="73"/>
      <c r="AE383" s="73"/>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row>
    <row r="384" spans="3:58">
      <c r="C384" s="74"/>
      <c r="Q384" s="72"/>
      <c r="R384" s="72"/>
      <c r="S384" s="72"/>
      <c r="T384" s="72"/>
      <c r="U384" s="72"/>
      <c r="V384" s="72"/>
      <c r="W384" s="72"/>
      <c r="X384" s="72"/>
      <c r="Y384" s="72"/>
      <c r="Z384" s="72"/>
      <c r="AA384" s="72"/>
      <c r="AB384" s="73"/>
      <c r="AC384" s="73"/>
      <c r="AD384" s="73"/>
      <c r="AE384" s="73"/>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c r="BC384" s="72"/>
      <c r="BD384" s="72"/>
      <c r="BE384" s="72"/>
      <c r="BF384" s="72"/>
    </row>
    <row r="385" spans="3:58">
      <c r="C385" s="74"/>
      <c r="Q385" s="72"/>
      <c r="R385" s="72"/>
      <c r="S385" s="72"/>
      <c r="T385" s="72"/>
      <c r="U385" s="72"/>
      <c r="V385" s="72"/>
      <c r="W385" s="72"/>
      <c r="X385" s="72"/>
      <c r="Y385" s="72"/>
      <c r="Z385" s="72"/>
      <c r="AA385" s="72"/>
      <c r="AB385" s="73"/>
      <c r="AC385" s="73"/>
      <c r="AD385" s="73"/>
      <c r="AE385" s="73"/>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c r="BC385" s="72"/>
      <c r="BD385" s="72"/>
      <c r="BE385" s="72"/>
      <c r="BF385" s="72"/>
    </row>
    <row r="386" spans="3:58">
      <c r="C386" s="74"/>
      <c r="Q386" s="72"/>
      <c r="R386" s="72"/>
      <c r="S386" s="72"/>
      <c r="T386" s="72"/>
      <c r="U386" s="72"/>
      <c r="V386" s="72"/>
      <c r="W386" s="72"/>
      <c r="X386" s="72"/>
      <c r="Y386" s="72"/>
      <c r="Z386" s="72"/>
      <c r="AA386" s="72"/>
      <c r="AB386" s="73"/>
      <c r="AC386" s="73"/>
      <c r="AD386" s="73"/>
      <c r="AE386" s="73"/>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c r="BC386" s="72"/>
      <c r="BD386" s="72"/>
      <c r="BE386" s="72"/>
      <c r="BF386" s="72"/>
    </row>
    <row r="387" spans="3:58">
      <c r="C387" s="74"/>
      <c r="Q387" s="72"/>
      <c r="R387" s="72"/>
      <c r="S387" s="72"/>
      <c r="T387" s="72"/>
      <c r="U387" s="72"/>
      <c r="V387" s="72"/>
      <c r="W387" s="72"/>
      <c r="X387" s="72"/>
      <c r="Y387" s="72"/>
      <c r="Z387" s="72"/>
      <c r="AA387" s="72"/>
      <c r="AB387" s="73"/>
      <c r="AC387" s="73"/>
      <c r="AD387" s="73"/>
      <c r="AE387" s="73"/>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c r="BC387" s="72"/>
      <c r="BD387" s="72"/>
      <c r="BE387" s="72"/>
      <c r="BF387" s="72"/>
    </row>
    <row r="388" spans="3:58">
      <c r="C388" s="74"/>
      <c r="Q388" s="72"/>
      <c r="R388" s="72"/>
      <c r="S388" s="72"/>
      <c r="T388" s="72"/>
      <c r="U388" s="72"/>
      <c r="V388" s="72"/>
      <c r="W388" s="72"/>
      <c r="X388" s="72"/>
      <c r="Y388" s="72"/>
      <c r="Z388" s="72"/>
      <c r="AA388" s="72"/>
      <c r="AB388" s="73"/>
      <c r="AC388" s="73"/>
      <c r="AD388" s="73"/>
      <c r="AE388" s="73"/>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row>
    <row r="389" spans="3:58">
      <c r="C389" s="74"/>
      <c r="Q389" s="72"/>
      <c r="R389" s="72"/>
      <c r="S389" s="72"/>
      <c r="T389" s="72"/>
      <c r="U389" s="72"/>
      <c r="V389" s="72"/>
      <c r="W389" s="72"/>
      <c r="X389" s="72"/>
      <c r="Y389" s="72"/>
      <c r="Z389" s="72"/>
      <c r="AA389" s="72"/>
      <c r="AB389" s="73"/>
      <c r="AC389" s="73"/>
      <c r="AD389" s="73"/>
      <c r="AE389" s="73"/>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row>
    <row r="390" spans="3:58">
      <c r="C390" s="74"/>
      <c r="Q390" s="72"/>
      <c r="R390" s="72"/>
      <c r="S390" s="72"/>
      <c r="T390" s="72"/>
      <c r="U390" s="72"/>
      <c r="V390" s="72"/>
      <c r="W390" s="72"/>
      <c r="X390" s="72"/>
      <c r="Y390" s="72"/>
      <c r="Z390" s="72"/>
      <c r="AA390" s="72"/>
      <c r="AB390" s="73"/>
      <c r="AC390" s="73"/>
      <c r="AD390" s="73"/>
      <c r="AE390" s="73"/>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row>
    <row r="391" spans="3:58">
      <c r="C391" s="74"/>
      <c r="Q391" s="72"/>
      <c r="R391" s="72"/>
      <c r="S391" s="72"/>
      <c r="T391" s="72"/>
      <c r="U391" s="72"/>
      <c r="V391" s="72"/>
      <c r="W391" s="72"/>
      <c r="X391" s="72"/>
      <c r="Y391" s="72"/>
      <c r="Z391" s="72"/>
      <c r="AA391" s="72"/>
      <c r="AB391" s="73"/>
      <c r="AC391" s="73"/>
      <c r="AD391" s="73"/>
      <c r="AE391" s="73"/>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row>
    <row r="392" spans="3:58">
      <c r="C392" s="74"/>
      <c r="Q392" s="72"/>
      <c r="R392" s="72"/>
      <c r="S392" s="72"/>
      <c r="T392" s="72"/>
      <c r="U392" s="72"/>
      <c r="V392" s="72"/>
      <c r="W392" s="72"/>
      <c r="X392" s="72"/>
      <c r="Y392" s="72"/>
      <c r="Z392" s="72"/>
      <c r="AA392" s="72"/>
      <c r="AB392" s="73"/>
      <c r="AC392" s="73"/>
      <c r="AD392" s="73"/>
      <c r="AE392" s="73"/>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c r="BC392" s="72"/>
      <c r="BD392" s="72"/>
      <c r="BE392" s="72"/>
      <c r="BF392" s="72"/>
    </row>
    <row r="393" spans="3:58">
      <c r="C393" s="74"/>
      <c r="Q393" s="72"/>
      <c r="R393" s="72"/>
      <c r="S393" s="72"/>
      <c r="T393" s="72"/>
      <c r="U393" s="72"/>
      <c r="V393" s="72"/>
      <c r="W393" s="72"/>
      <c r="X393" s="72"/>
      <c r="Y393" s="72"/>
      <c r="Z393" s="72"/>
      <c r="AA393" s="72"/>
      <c r="AB393" s="73"/>
      <c r="AC393" s="73"/>
      <c r="AD393" s="73"/>
      <c r="AE393" s="73"/>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row>
    <row r="394" spans="3:58">
      <c r="C394" s="74"/>
      <c r="Q394" s="72"/>
      <c r="R394" s="72"/>
      <c r="S394" s="72"/>
      <c r="T394" s="72"/>
      <c r="U394" s="72"/>
      <c r="V394" s="72"/>
      <c r="W394" s="72"/>
      <c r="X394" s="72"/>
      <c r="Y394" s="72"/>
      <c r="Z394" s="72"/>
      <c r="AA394" s="72"/>
      <c r="AB394" s="73"/>
      <c r="AC394" s="73"/>
      <c r="AD394" s="73"/>
      <c r="AE394" s="73"/>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c r="BC394" s="72"/>
      <c r="BD394" s="72"/>
      <c r="BE394" s="72"/>
      <c r="BF394" s="72"/>
    </row>
    <row r="395" spans="3:58">
      <c r="C395" s="74"/>
      <c r="Q395" s="72"/>
      <c r="R395" s="72"/>
      <c r="S395" s="72"/>
      <c r="T395" s="72"/>
      <c r="U395" s="72"/>
      <c r="V395" s="72"/>
      <c r="W395" s="72"/>
      <c r="X395" s="72"/>
      <c r="Y395" s="72"/>
      <c r="Z395" s="72"/>
      <c r="AA395" s="72"/>
      <c r="AB395" s="73"/>
      <c r="AC395" s="73"/>
      <c r="AD395" s="73"/>
      <c r="AE395" s="73"/>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c r="BC395" s="72"/>
      <c r="BD395" s="72"/>
      <c r="BE395" s="72"/>
      <c r="BF395" s="72"/>
    </row>
    <row r="396" spans="3:58">
      <c r="C396" s="74"/>
      <c r="Q396" s="72"/>
      <c r="R396" s="72"/>
      <c r="S396" s="72"/>
      <c r="T396" s="72"/>
      <c r="U396" s="72"/>
      <c r="V396" s="72"/>
      <c r="W396" s="72"/>
      <c r="X396" s="72"/>
      <c r="Y396" s="72"/>
      <c r="Z396" s="72"/>
      <c r="AA396" s="72"/>
      <c r="AB396" s="73"/>
      <c r="AC396" s="73"/>
      <c r="AD396" s="73"/>
      <c r="AE396" s="73"/>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c r="BC396" s="72"/>
      <c r="BD396" s="72"/>
      <c r="BE396" s="72"/>
      <c r="BF396" s="72"/>
    </row>
    <row r="397" spans="3:58">
      <c r="C397" s="74"/>
      <c r="Q397" s="72"/>
      <c r="R397" s="72"/>
      <c r="S397" s="72"/>
      <c r="T397" s="72"/>
      <c r="U397" s="72"/>
      <c r="V397" s="72"/>
      <c r="W397" s="72"/>
      <c r="X397" s="72"/>
      <c r="Y397" s="72"/>
      <c r="Z397" s="72"/>
      <c r="AA397" s="72"/>
      <c r="AB397" s="73"/>
      <c r="AC397" s="73"/>
      <c r="AD397" s="73"/>
      <c r="AE397" s="73"/>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c r="BC397" s="72"/>
      <c r="BD397" s="72"/>
      <c r="BE397" s="72"/>
      <c r="BF397" s="72"/>
    </row>
    <row r="398" spans="3:58">
      <c r="C398" s="74"/>
      <c r="Q398" s="72"/>
      <c r="R398" s="72"/>
      <c r="S398" s="72"/>
      <c r="T398" s="72"/>
      <c r="U398" s="72"/>
      <c r="V398" s="72"/>
      <c r="W398" s="72"/>
      <c r="X398" s="72"/>
      <c r="Y398" s="72"/>
      <c r="Z398" s="72"/>
      <c r="AA398" s="72"/>
      <c r="AB398" s="73"/>
      <c r="AC398" s="73"/>
      <c r="AD398" s="73"/>
      <c r="AE398" s="73"/>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c r="BC398" s="72"/>
      <c r="BD398" s="72"/>
      <c r="BE398" s="72"/>
      <c r="BF398" s="72"/>
    </row>
    <row r="399" spans="3:58">
      <c r="C399" s="74"/>
      <c r="Q399" s="72"/>
      <c r="R399" s="72"/>
      <c r="S399" s="72"/>
      <c r="T399" s="72"/>
      <c r="U399" s="72"/>
      <c r="V399" s="72"/>
      <c r="W399" s="72"/>
      <c r="X399" s="72"/>
      <c r="Y399" s="72"/>
      <c r="Z399" s="72"/>
      <c r="AA399" s="72"/>
      <c r="AB399" s="73"/>
      <c r="AC399" s="73"/>
      <c r="AD399" s="73"/>
      <c r="AE399" s="73"/>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c r="BC399" s="72"/>
      <c r="BD399" s="72"/>
      <c r="BE399" s="72"/>
      <c r="BF399" s="72"/>
    </row>
    <row r="400" spans="3:58">
      <c r="C400" s="74"/>
      <c r="Q400" s="72"/>
      <c r="R400" s="72"/>
      <c r="S400" s="72"/>
      <c r="T400" s="72"/>
      <c r="U400" s="72"/>
      <c r="V400" s="72"/>
      <c r="W400" s="72"/>
      <c r="X400" s="72"/>
      <c r="Y400" s="72"/>
      <c r="Z400" s="72"/>
      <c r="AA400" s="72"/>
      <c r="AB400" s="73"/>
      <c r="AC400" s="73"/>
      <c r="AD400" s="73"/>
      <c r="AE400" s="73"/>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c r="BC400" s="72"/>
      <c r="BD400" s="72"/>
      <c r="BE400" s="72"/>
      <c r="BF400" s="72"/>
    </row>
    <row r="401" spans="3:58">
      <c r="C401" s="74"/>
      <c r="Q401" s="72"/>
      <c r="R401" s="72"/>
      <c r="S401" s="72"/>
      <c r="T401" s="72"/>
      <c r="U401" s="72"/>
      <c r="V401" s="72"/>
      <c r="W401" s="72"/>
      <c r="X401" s="72"/>
      <c r="Y401" s="72"/>
      <c r="Z401" s="72"/>
      <c r="AA401" s="72"/>
      <c r="AB401" s="73"/>
      <c r="AC401" s="73"/>
      <c r="AD401" s="73"/>
      <c r="AE401" s="73"/>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c r="BC401" s="72"/>
      <c r="BD401" s="72"/>
      <c r="BE401" s="72"/>
      <c r="BF401" s="72"/>
    </row>
    <row r="402" spans="3:58">
      <c r="C402" s="74"/>
      <c r="Q402" s="72"/>
      <c r="R402" s="72"/>
      <c r="S402" s="72"/>
      <c r="T402" s="72"/>
      <c r="U402" s="72"/>
      <c r="V402" s="72"/>
      <c r="W402" s="72"/>
      <c r="X402" s="72"/>
      <c r="Y402" s="72"/>
      <c r="Z402" s="72"/>
      <c r="AA402" s="72"/>
      <c r="AB402" s="73"/>
      <c r="AC402" s="73"/>
      <c r="AD402" s="73"/>
      <c r="AE402" s="73"/>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c r="BC402" s="72"/>
      <c r="BD402" s="72"/>
      <c r="BE402" s="72"/>
      <c r="BF402" s="72"/>
    </row>
    <row r="403" spans="3:58">
      <c r="C403" s="74"/>
      <c r="Q403" s="72"/>
      <c r="R403" s="72"/>
      <c r="S403" s="72"/>
      <c r="T403" s="72"/>
      <c r="U403" s="72"/>
      <c r="V403" s="72"/>
      <c r="W403" s="72"/>
      <c r="X403" s="72"/>
      <c r="Y403" s="72"/>
      <c r="Z403" s="72"/>
      <c r="AA403" s="72"/>
      <c r="AB403" s="73"/>
      <c r="AC403" s="73"/>
      <c r="AD403" s="73"/>
      <c r="AE403" s="73"/>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c r="BC403" s="72"/>
      <c r="BD403" s="72"/>
      <c r="BE403" s="72"/>
      <c r="BF403" s="72"/>
    </row>
    <row r="404" spans="3:58">
      <c r="C404" s="74"/>
      <c r="Q404" s="72"/>
      <c r="R404" s="72"/>
      <c r="S404" s="72"/>
      <c r="T404" s="72"/>
      <c r="U404" s="72"/>
      <c r="V404" s="72"/>
      <c r="W404" s="72"/>
      <c r="X404" s="72"/>
      <c r="Y404" s="72"/>
      <c r="Z404" s="72"/>
      <c r="AA404" s="72"/>
      <c r="AB404" s="73"/>
      <c r="AC404" s="73"/>
      <c r="AD404" s="73"/>
      <c r="AE404" s="73"/>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row>
    <row r="405" spans="3:58">
      <c r="C405" s="74"/>
      <c r="Q405" s="72"/>
      <c r="R405" s="72"/>
      <c r="S405" s="72"/>
      <c r="T405" s="72"/>
      <c r="U405" s="72"/>
      <c r="V405" s="72"/>
      <c r="W405" s="72"/>
      <c r="X405" s="72"/>
      <c r="Y405" s="72"/>
      <c r="Z405" s="72"/>
      <c r="AA405" s="72"/>
      <c r="AB405" s="73"/>
      <c r="AC405" s="73"/>
      <c r="AD405" s="73"/>
      <c r="AE405" s="73"/>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row>
    <row r="406" spans="3:58">
      <c r="C406" s="74"/>
      <c r="Q406" s="72"/>
      <c r="R406" s="72"/>
      <c r="S406" s="72"/>
      <c r="T406" s="72"/>
      <c r="U406" s="72"/>
      <c r="V406" s="72"/>
      <c r="W406" s="72"/>
      <c r="X406" s="72"/>
      <c r="Y406" s="72"/>
      <c r="Z406" s="72"/>
      <c r="AA406" s="72"/>
      <c r="AB406" s="73"/>
      <c r="AC406" s="73"/>
      <c r="AD406" s="73"/>
      <c r="AE406" s="73"/>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row>
    <row r="407" spans="3:58">
      <c r="C407" s="74"/>
      <c r="Q407" s="72"/>
      <c r="R407" s="72"/>
      <c r="S407" s="72"/>
      <c r="T407" s="72"/>
      <c r="U407" s="72"/>
      <c r="V407" s="72"/>
      <c r="W407" s="72"/>
      <c r="X407" s="72"/>
      <c r="Y407" s="72"/>
      <c r="Z407" s="72"/>
      <c r="AA407" s="72"/>
      <c r="AB407" s="73"/>
      <c r="AC407" s="73"/>
      <c r="AD407" s="73"/>
      <c r="AE407" s="73"/>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c r="BC407" s="72"/>
      <c r="BD407" s="72"/>
      <c r="BE407" s="72"/>
      <c r="BF407" s="72"/>
    </row>
    <row r="408" spans="3:58">
      <c r="C408" s="74"/>
      <c r="Q408" s="72"/>
      <c r="R408" s="72"/>
      <c r="S408" s="72"/>
      <c r="T408" s="72"/>
      <c r="U408" s="72"/>
      <c r="V408" s="72"/>
      <c r="W408" s="72"/>
      <c r="X408" s="72"/>
      <c r="Y408" s="72"/>
      <c r="Z408" s="72"/>
      <c r="AA408" s="72"/>
      <c r="AB408" s="73"/>
      <c r="AC408" s="73"/>
      <c r="AD408" s="73"/>
      <c r="AE408" s="73"/>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c r="BC408" s="72"/>
      <c r="BD408" s="72"/>
      <c r="BE408" s="72"/>
      <c r="BF408" s="72"/>
    </row>
    <row r="409" spans="3:58">
      <c r="C409" s="74"/>
      <c r="Q409" s="72"/>
      <c r="R409" s="72"/>
      <c r="S409" s="72"/>
      <c r="T409" s="72"/>
      <c r="U409" s="72"/>
      <c r="V409" s="72"/>
      <c r="W409" s="72"/>
      <c r="X409" s="72"/>
      <c r="Y409" s="72"/>
      <c r="Z409" s="72"/>
      <c r="AA409" s="72"/>
      <c r="AB409" s="73"/>
      <c r="AC409" s="73"/>
      <c r="AD409" s="73"/>
      <c r="AE409" s="73"/>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c r="BC409" s="72"/>
      <c r="BD409" s="72"/>
      <c r="BE409" s="72"/>
      <c r="BF409" s="72"/>
    </row>
    <row r="410" spans="3:58">
      <c r="C410" s="74"/>
      <c r="Q410" s="72"/>
      <c r="R410" s="72"/>
      <c r="S410" s="72"/>
      <c r="T410" s="72"/>
      <c r="U410" s="72"/>
      <c r="V410" s="72"/>
      <c r="W410" s="72"/>
      <c r="X410" s="72"/>
      <c r="Y410" s="72"/>
      <c r="Z410" s="72"/>
      <c r="AA410" s="72"/>
      <c r="AB410" s="73"/>
      <c r="AC410" s="73"/>
      <c r="AD410" s="73"/>
      <c r="AE410" s="73"/>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c r="BC410" s="72"/>
      <c r="BD410" s="72"/>
      <c r="BE410" s="72"/>
      <c r="BF410" s="72"/>
    </row>
    <row r="411" spans="3:58">
      <c r="C411" s="74"/>
      <c r="Q411" s="72"/>
      <c r="R411" s="72"/>
      <c r="S411" s="72"/>
      <c r="T411" s="72"/>
      <c r="U411" s="72"/>
      <c r="V411" s="72"/>
      <c r="W411" s="72"/>
      <c r="X411" s="72"/>
      <c r="Y411" s="72"/>
      <c r="Z411" s="72"/>
      <c r="AA411" s="72"/>
      <c r="AB411" s="73"/>
      <c r="AC411" s="73"/>
      <c r="AD411" s="73"/>
      <c r="AE411" s="73"/>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c r="BC411" s="72"/>
      <c r="BD411" s="72"/>
      <c r="BE411" s="72"/>
      <c r="BF411" s="72"/>
    </row>
    <row r="412" spans="3:58">
      <c r="C412" s="74"/>
      <c r="Q412" s="72"/>
      <c r="R412" s="72"/>
      <c r="S412" s="72"/>
      <c r="T412" s="72"/>
      <c r="U412" s="72"/>
      <c r="V412" s="72"/>
      <c r="W412" s="72"/>
      <c r="X412" s="72"/>
      <c r="Y412" s="72"/>
      <c r="Z412" s="72"/>
      <c r="AA412" s="72"/>
      <c r="AB412" s="73"/>
      <c r="AC412" s="73"/>
      <c r="AD412" s="73"/>
      <c r="AE412" s="73"/>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row>
    <row r="413" spans="3:58">
      <c r="C413" s="74"/>
      <c r="Q413" s="72"/>
      <c r="R413" s="72"/>
      <c r="S413" s="72"/>
      <c r="T413" s="72"/>
      <c r="U413" s="72"/>
      <c r="V413" s="72"/>
      <c r="W413" s="72"/>
      <c r="X413" s="72"/>
      <c r="Y413" s="72"/>
      <c r="Z413" s="72"/>
      <c r="AA413" s="72"/>
      <c r="AB413" s="73"/>
      <c r="AC413" s="73"/>
      <c r="AD413" s="73"/>
      <c r="AE413" s="73"/>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c r="BC413" s="72"/>
      <c r="BD413" s="72"/>
      <c r="BE413" s="72"/>
      <c r="BF413" s="72"/>
    </row>
    <row r="414" spans="3:58">
      <c r="C414" s="74"/>
      <c r="Q414" s="72"/>
      <c r="R414" s="72"/>
      <c r="S414" s="72"/>
      <c r="T414" s="72"/>
      <c r="U414" s="72"/>
      <c r="V414" s="72"/>
      <c r="W414" s="72"/>
      <c r="X414" s="72"/>
      <c r="Y414" s="72"/>
      <c r="Z414" s="72"/>
      <c r="AA414" s="72"/>
      <c r="AB414" s="73"/>
      <c r="AC414" s="73"/>
      <c r="AD414" s="73"/>
      <c r="AE414" s="73"/>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c r="BC414" s="72"/>
      <c r="BD414" s="72"/>
      <c r="BE414" s="72"/>
      <c r="BF414" s="72"/>
    </row>
    <row r="415" spans="3:58">
      <c r="C415" s="74"/>
      <c r="Q415" s="72"/>
      <c r="R415" s="72"/>
      <c r="S415" s="72"/>
      <c r="T415" s="72"/>
      <c r="U415" s="72"/>
      <c r="V415" s="72"/>
      <c r="W415" s="72"/>
      <c r="X415" s="72"/>
      <c r="Y415" s="72"/>
      <c r="Z415" s="72"/>
      <c r="AA415" s="72"/>
      <c r="AB415" s="73"/>
      <c r="AC415" s="73"/>
      <c r="AD415" s="73"/>
      <c r="AE415" s="73"/>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c r="BC415" s="72"/>
      <c r="BD415" s="72"/>
      <c r="BE415" s="72"/>
      <c r="BF415" s="72"/>
    </row>
    <row r="416" spans="3:58">
      <c r="C416" s="74"/>
      <c r="Q416" s="72"/>
      <c r="R416" s="72"/>
      <c r="S416" s="72"/>
      <c r="T416" s="72"/>
      <c r="U416" s="72"/>
      <c r="V416" s="72"/>
      <c r="W416" s="72"/>
      <c r="X416" s="72"/>
      <c r="Y416" s="72"/>
      <c r="Z416" s="72"/>
      <c r="AA416" s="72"/>
      <c r="AB416" s="73"/>
      <c r="AC416" s="73"/>
      <c r="AD416" s="73"/>
      <c r="AE416" s="73"/>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row>
    <row r="417" spans="3:58">
      <c r="C417" s="74"/>
      <c r="Q417" s="72"/>
      <c r="R417" s="72"/>
      <c r="S417" s="72"/>
      <c r="T417" s="72"/>
      <c r="U417" s="72"/>
      <c r="V417" s="72"/>
      <c r="W417" s="72"/>
      <c r="X417" s="72"/>
      <c r="Y417" s="72"/>
      <c r="Z417" s="72"/>
      <c r="AA417" s="72"/>
      <c r="AB417" s="73"/>
      <c r="AC417" s="73"/>
      <c r="AD417" s="73"/>
      <c r="AE417" s="73"/>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c r="BC417" s="72"/>
      <c r="BD417" s="72"/>
      <c r="BE417" s="72"/>
      <c r="BF417" s="72"/>
    </row>
    <row r="418" spans="3:58">
      <c r="C418" s="74"/>
      <c r="Q418" s="72"/>
      <c r="R418" s="72"/>
      <c r="S418" s="72"/>
      <c r="T418" s="72"/>
      <c r="U418" s="72"/>
      <c r="V418" s="72"/>
      <c r="W418" s="72"/>
      <c r="X418" s="72"/>
      <c r="Y418" s="72"/>
      <c r="Z418" s="72"/>
      <c r="AA418" s="72"/>
      <c r="AB418" s="73"/>
      <c r="AC418" s="73"/>
      <c r="AD418" s="73"/>
      <c r="AE418" s="73"/>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c r="BC418" s="72"/>
      <c r="BD418" s="72"/>
      <c r="BE418" s="72"/>
      <c r="BF418" s="72"/>
    </row>
    <row r="419" spans="3:58">
      <c r="C419" s="74"/>
      <c r="Q419" s="72"/>
      <c r="R419" s="72"/>
      <c r="S419" s="72"/>
      <c r="T419" s="72"/>
      <c r="U419" s="72"/>
      <c r="V419" s="72"/>
      <c r="W419" s="72"/>
      <c r="X419" s="72"/>
      <c r="Y419" s="72"/>
      <c r="Z419" s="72"/>
      <c r="AA419" s="72"/>
      <c r="AB419" s="73"/>
      <c r="AC419" s="73"/>
      <c r="AD419" s="73"/>
      <c r="AE419" s="73"/>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c r="BC419" s="72"/>
      <c r="BD419" s="72"/>
      <c r="BE419" s="72"/>
      <c r="BF419" s="72"/>
    </row>
    <row r="420" spans="3:58">
      <c r="C420" s="74"/>
      <c r="Q420" s="72"/>
      <c r="R420" s="72"/>
      <c r="S420" s="72"/>
      <c r="T420" s="72"/>
      <c r="U420" s="72"/>
      <c r="V420" s="72"/>
      <c r="W420" s="72"/>
      <c r="X420" s="72"/>
      <c r="Y420" s="72"/>
      <c r="Z420" s="72"/>
      <c r="AA420" s="72"/>
      <c r="AB420" s="73"/>
      <c r="AC420" s="73"/>
      <c r="AD420" s="73"/>
      <c r="AE420" s="73"/>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c r="BC420" s="72"/>
      <c r="BD420" s="72"/>
      <c r="BE420" s="72"/>
      <c r="BF420" s="72"/>
    </row>
    <row r="421" spans="3:58">
      <c r="C421" s="74"/>
      <c r="Q421" s="72"/>
      <c r="R421" s="72"/>
      <c r="S421" s="72"/>
      <c r="T421" s="72"/>
      <c r="U421" s="72"/>
      <c r="V421" s="72"/>
      <c r="W421" s="72"/>
      <c r="X421" s="72"/>
      <c r="Y421" s="72"/>
      <c r="Z421" s="72"/>
      <c r="AA421" s="72"/>
      <c r="AB421" s="73"/>
      <c r="AC421" s="73"/>
      <c r="AD421" s="73"/>
      <c r="AE421" s="73"/>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c r="BC421" s="72"/>
      <c r="BD421" s="72"/>
      <c r="BE421" s="72"/>
      <c r="BF421" s="72"/>
    </row>
    <row r="422" spans="3:58">
      <c r="C422" s="74"/>
      <c r="Q422" s="72"/>
      <c r="R422" s="72"/>
      <c r="S422" s="72"/>
      <c r="T422" s="72"/>
      <c r="U422" s="72"/>
      <c r="V422" s="72"/>
      <c r="W422" s="72"/>
      <c r="X422" s="72"/>
      <c r="Y422" s="72"/>
      <c r="Z422" s="72"/>
      <c r="AA422" s="72"/>
      <c r="AB422" s="73"/>
      <c r="AC422" s="73"/>
      <c r="AD422" s="73"/>
      <c r="AE422" s="73"/>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c r="BC422" s="72"/>
      <c r="BD422" s="72"/>
      <c r="BE422" s="72"/>
      <c r="BF422" s="72"/>
    </row>
    <row r="423" spans="3:58">
      <c r="C423" s="74"/>
      <c r="Q423" s="72"/>
      <c r="R423" s="72"/>
      <c r="S423" s="72"/>
      <c r="T423" s="72"/>
      <c r="U423" s="72"/>
      <c r="V423" s="72"/>
      <c r="W423" s="72"/>
      <c r="X423" s="72"/>
      <c r="Y423" s="72"/>
      <c r="Z423" s="72"/>
      <c r="AA423" s="72"/>
      <c r="AB423" s="73"/>
      <c r="AC423" s="73"/>
      <c r="AD423" s="73"/>
      <c r="AE423" s="73"/>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c r="BC423" s="72"/>
      <c r="BD423" s="72"/>
      <c r="BE423" s="72"/>
      <c r="BF423" s="72"/>
    </row>
    <row r="424" spans="3:58">
      <c r="C424" s="74"/>
      <c r="Q424" s="72"/>
      <c r="R424" s="72"/>
      <c r="S424" s="72"/>
      <c r="T424" s="72"/>
      <c r="U424" s="72"/>
      <c r="V424" s="72"/>
      <c r="W424" s="72"/>
      <c r="X424" s="72"/>
      <c r="Y424" s="72"/>
      <c r="Z424" s="72"/>
      <c r="AA424" s="72"/>
      <c r="AB424" s="73"/>
      <c r="AC424" s="73"/>
      <c r="AD424" s="73"/>
      <c r="AE424" s="73"/>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c r="BC424" s="72"/>
      <c r="BD424" s="72"/>
      <c r="BE424" s="72"/>
      <c r="BF424" s="72"/>
    </row>
    <row r="425" spans="3:58">
      <c r="C425" s="74"/>
      <c r="Q425" s="72"/>
      <c r="R425" s="72"/>
      <c r="S425" s="72"/>
      <c r="T425" s="72"/>
      <c r="U425" s="72"/>
      <c r="V425" s="72"/>
      <c r="W425" s="72"/>
      <c r="X425" s="72"/>
      <c r="Y425" s="72"/>
      <c r="Z425" s="72"/>
      <c r="AA425" s="72"/>
      <c r="AB425" s="73"/>
      <c r="AC425" s="73"/>
      <c r="AD425" s="73"/>
      <c r="AE425" s="73"/>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row>
    <row r="426" spans="3:58">
      <c r="C426" s="74"/>
      <c r="Q426" s="72"/>
      <c r="R426" s="72"/>
      <c r="S426" s="72"/>
      <c r="T426" s="72"/>
      <c r="U426" s="72"/>
      <c r="V426" s="72"/>
      <c r="W426" s="72"/>
      <c r="X426" s="72"/>
      <c r="Y426" s="72"/>
      <c r="Z426" s="72"/>
      <c r="AA426" s="72"/>
      <c r="AB426" s="73"/>
      <c r="AC426" s="73"/>
      <c r="AD426" s="73"/>
      <c r="AE426" s="73"/>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row>
    <row r="427" spans="3:58">
      <c r="C427" s="74"/>
      <c r="Q427" s="72"/>
      <c r="R427" s="72"/>
      <c r="S427" s="72"/>
      <c r="T427" s="72"/>
      <c r="U427" s="72"/>
      <c r="V427" s="72"/>
      <c r="W427" s="72"/>
      <c r="X427" s="72"/>
      <c r="Y427" s="72"/>
      <c r="Z427" s="72"/>
      <c r="AA427" s="72"/>
      <c r="AB427" s="73"/>
      <c r="AC427" s="73"/>
      <c r="AD427" s="73"/>
      <c r="AE427" s="73"/>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row>
    <row r="428" spans="3:58">
      <c r="C428" s="74"/>
      <c r="Q428" s="72"/>
      <c r="R428" s="72"/>
      <c r="S428" s="72"/>
      <c r="T428" s="72"/>
      <c r="U428" s="72"/>
      <c r="V428" s="72"/>
      <c r="W428" s="72"/>
      <c r="X428" s="72"/>
      <c r="Y428" s="72"/>
      <c r="Z428" s="72"/>
      <c r="AA428" s="72"/>
      <c r="AB428" s="73"/>
      <c r="AC428" s="73"/>
      <c r="AD428" s="73"/>
      <c r="AE428" s="73"/>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row>
    <row r="429" spans="3:58">
      <c r="C429" s="74"/>
      <c r="Q429" s="72"/>
      <c r="R429" s="72"/>
      <c r="S429" s="72"/>
      <c r="T429" s="72"/>
      <c r="U429" s="72"/>
      <c r="V429" s="72"/>
      <c r="W429" s="72"/>
      <c r="X429" s="72"/>
      <c r="Y429" s="72"/>
      <c r="Z429" s="72"/>
      <c r="AA429" s="72"/>
      <c r="AB429" s="73"/>
      <c r="AC429" s="73"/>
      <c r="AD429" s="73"/>
      <c r="AE429" s="73"/>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row>
    <row r="430" spans="3:58">
      <c r="C430" s="74"/>
      <c r="Q430" s="72"/>
      <c r="R430" s="72"/>
      <c r="S430" s="72"/>
      <c r="T430" s="72"/>
      <c r="U430" s="72"/>
      <c r="V430" s="72"/>
      <c r="W430" s="72"/>
      <c r="X430" s="72"/>
      <c r="Y430" s="72"/>
      <c r="Z430" s="72"/>
      <c r="AA430" s="72"/>
      <c r="AB430" s="73"/>
      <c r="AC430" s="73"/>
      <c r="AD430" s="73"/>
      <c r="AE430" s="73"/>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c r="BC430" s="72"/>
      <c r="BD430" s="72"/>
      <c r="BE430" s="72"/>
      <c r="BF430" s="72"/>
    </row>
    <row r="431" spans="3:58">
      <c r="C431" s="74"/>
      <c r="Q431" s="72"/>
      <c r="R431" s="72"/>
      <c r="S431" s="72"/>
      <c r="T431" s="72"/>
      <c r="U431" s="72"/>
      <c r="V431" s="72"/>
      <c r="W431" s="72"/>
      <c r="X431" s="72"/>
      <c r="Y431" s="72"/>
      <c r="Z431" s="72"/>
      <c r="AA431" s="72"/>
      <c r="AB431" s="73"/>
      <c r="AC431" s="73"/>
      <c r="AD431" s="73"/>
      <c r="AE431" s="73"/>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c r="BC431" s="72"/>
      <c r="BD431" s="72"/>
      <c r="BE431" s="72"/>
      <c r="BF431" s="72"/>
    </row>
    <row r="432" spans="3:58">
      <c r="C432" s="74"/>
      <c r="Q432" s="72"/>
      <c r="R432" s="72"/>
      <c r="S432" s="72"/>
      <c r="T432" s="72"/>
      <c r="U432" s="72"/>
      <c r="V432" s="72"/>
      <c r="W432" s="72"/>
      <c r="X432" s="72"/>
      <c r="Y432" s="72"/>
      <c r="Z432" s="72"/>
      <c r="AA432" s="72"/>
      <c r="AB432" s="73"/>
      <c r="AC432" s="73"/>
      <c r="AD432" s="73"/>
      <c r="AE432" s="73"/>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c r="BC432" s="72"/>
      <c r="BD432" s="72"/>
      <c r="BE432" s="72"/>
      <c r="BF432" s="72"/>
    </row>
    <row r="433" spans="3:58">
      <c r="C433" s="74"/>
      <c r="Q433" s="72"/>
      <c r="R433" s="72"/>
      <c r="S433" s="72"/>
      <c r="T433" s="72"/>
      <c r="U433" s="72"/>
      <c r="V433" s="72"/>
      <c r="W433" s="72"/>
      <c r="X433" s="72"/>
      <c r="Y433" s="72"/>
      <c r="Z433" s="72"/>
      <c r="AA433" s="72"/>
      <c r="AB433" s="73"/>
      <c r="AC433" s="73"/>
      <c r="AD433" s="73"/>
      <c r="AE433" s="73"/>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row>
    <row r="434" spans="3:58">
      <c r="C434" s="74"/>
      <c r="Q434" s="72"/>
      <c r="R434" s="72"/>
      <c r="S434" s="72"/>
      <c r="T434" s="72"/>
      <c r="U434" s="72"/>
      <c r="V434" s="72"/>
      <c r="W434" s="72"/>
      <c r="X434" s="72"/>
      <c r="Y434" s="72"/>
      <c r="Z434" s="72"/>
      <c r="AA434" s="72"/>
      <c r="AB434" s="73"/>
      <c r="AC434" s="73"/>
      <c r="AD434" s="73"/>
      <c r="AE434" s="73"/>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row>
    <row r="435" spans="3:58">
      <c r="C435" s="74"/>
      <c r="Q435" s="72"/>
      <c r="R435" s="72"/>
      <c r="S435" s="72"/>
      <c r="T435" s="72"/>
      <c r="U435" s="72"/>
      <c r="V435" s="72"/>
      <c r="W435" s="72"/>
      <c r="X435" s="72"/>
      <c r="Y435" s="72"/>
      <c r="Z435" s="72"/>
      <c r="AA435" s="72"/>
      <c r="AB435" s="73"/>
      <c r="AC435" s="73"/>
      <c r="AD435" s="73"/>
      <c r="AE435" s="73"/>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row>
    <row r="436" spans="3:58">
      <c r="C436" s="74"/>
      <c r="Q436" s="72"/>
      <c r="R436" s="72"/>
      <c r="S436" s="72"/>
      <c r="T436" s="72"/>
      <c r="U436" s="72"/>
      <c r="V436" s="72"/>
      <c r="W436" s="72"/>
      <c r="X436" s="72"/>
      <c r="Y436" s="72"/>
      <c r="Z436" s="72"/>
      <c r="AA436" s="72"/>
      <c r="AB436" s="73"/>
      <c r="AC436" s="73"/>
      <c r="AD436" s="73"/>
      <c r="AE436" s="73"/>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row>
    <row r="437" spans="3:58">
      <c r="C437" s="74"/>
      <c r="Q437" s="72"/>
      <c r="R437" s="72"/>
      <c r="S437" s="72"/>
      <c r="T437" s="72"/>
      <c r="U437" s="72"/>
      <c r="V437" s="72"/>
      <c r="W437" s="72"/>
      <c r="X437" s="72"/>
      <c r="Y437" s="72"/>
      <c r="Z437" s="72"/>
      <c r="AA437" s="72"/>
      <c r="AB437" s="73"/>
      <c r="AC437" s="73"/>
      <c r="AD437" s="73"/>
      <c r="AE437" s="73"/>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c r="BC437" s="72"/>
      <c r="BD437" s="72"/>
      <c r="BE437" s="72"/>
      <c r="BF437" s="72"/>
    </row>
    <row r="438" spans="3:58">
      <c r="C438" s="74"/>
      <c r="Q438" s="72"/>
      <c r="R438" s="72"/>
      <c r="S438" s="72"/>
      <c r="T438" s="72"/>
      <c r="U438" s="72"/>
      <c r="V438" s="72"/>
      <c r="W438" s="72"/>
      <c r="X438" s="72"/>
      <c r="Y438" s="72"/>
      <c r="Z438" s="72"/>
      <c r="AA438" s="72"/>
      <c r="AB438" s="73"/>
      <c r="AC438" s="73"/>
      <c r="AD438" s="73"/>
      <c r="AE438" s="73"/>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c r="BC438" s="72"/>
      <c r="BD438" s="72"/>
      <c r="BE438" s="72"/>
      <c r="BF438" s="72"/>
    </row>
    <row r="439" spans="3:58">
      <c r="C439" s="74"/>
      <c r="Q439" s="72"/>
      <c r="R439" s="72"/>
      <c r="S439" s="72"/>
      <c r="T439" s="72"/>
      <c r="U439" s="72"/>
      <c r="V439" s="72"/>
      <c r="W439" s="72"/>
      <c r="X439" s="72"/>
      <c r="Y439" s="72"/>
      <c r="Z439" s="72"/>
      <c r="AA439" s="72"/>
      <c r="AB439" s="73"/>
      <c r="AC439" s="73"/>
      <c r="AD439" s="73"/>
      <c r="AE439" s="73"/>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c r="BC439" s="72"/>
      <c r="BD439" s="72"/>
      <c r="BE439" s="72"/>
      <c r="BF439" s="72"/>
    </row>
    <row r="440" spans="3:58">
      <c r="C440" s="74"/>
      <c r="Q440" s="72"/>
      <c r="R440" s="72"/>
      <c r="S440" s="72"/>
      <c r="T440" s="72"/>
      <c r="U440" s="72"/>
      <c r="V440" s="72"/>
      <c r="W440" s="72"/>
      <c r="X440" s="72"/>
      <c r="Y440" s="72"/>
      <c r="Z440" s="72"/>
      <c r="AA440" s="72"/>
      <c r="AB440" s="73"/>
      <c r="AC440" s="73"/>
      <c r="AD440" s="73"/>
      <c r="AE440" s="73"/>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c r="BC440" s="72"/>
      <c r="BD440" s="72"/>
      <c r="BE440" s="72"/>
      <c r="BF440" s="72"/>
    </row>
    <row r="441" spans="3:58">
      <c r="C441" s="74"/>
      <c r="Q441" s="72"/>
      <c r="R441" s="72"/>
      <c r="S441" s="72"/>
      <c r="T441" s="72"/>
      <c r="U441" s="72"/>
      <c r="V441" s="72"/>
      <c r="W441" s="72"/>
      <c r="X441" s="72"/>
      <c r="Y441" s="72"/>
      <c r="Z441" s="72"/>
      <c r="AA441" s="72"/>
      <c r="AB441" s="73"/>
      <c r="AC441" s="73"/>
      <c r="AD441" s="73"/>
      <c r="AE441" s="73"/>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row>
    <row r="442" spans="3:58">
      <c r="C442" s="74"/>
      <c r="Q442" s="72"/>
      <c r="R442" s="72"/>
      <c r="S442" s="72"/>
      <c r="T442" s="72"/>
      <c r="U442" s="72"/>
      <c r="V442" s="72"/>
      <c r="W442" s="72"/>
      <c r="X442" s="72"/>
      <c r="Y442" s="72"/>
      <c r="Z442" s="72"/>
      <c r="AA442" s="72"/>
      <c r="AB442" s="73"/>
      <c r="AC442" s="73"/>
      <c r="AD442" s="73"/>
      <c r="AE442" s="73"/>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c r="BC442" s="72"/>
      <c r="BD442" s="72"/>
      <c r="BE442" s="72"/>
      <c r="BF442" s="72"/>
    </row>
    <row r="443" spans="3:58">
      <c r="C443" s="74"/>
      <c r="Q443" s="72"/>
      <c r="R443" s="72"/>
      <c r="S443" s="72"/>
      <c r="T443" s="72"/>
      <c r="U443" s="72"/>
      <c r="V443" s="72"/>
      <c r="W443" s="72"/>
      <c r="X443" s="72"/>
      <c r="Y443" s="72"/>
      <c r="Z443" s="72"/>
      <c r="AA443" s="72"/>
      <c r="AB443" s="73"/>
      <c r="AC443" s="73"/>
      <c r="AD443" s="73"/>
      <c r="AE443" s="73"/>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c r="BC443" s="72"/>
      <c r="BD443" s="72"/>
      <c r="BE443" s="72"/>
      <c r="BF443" s="72"/>
    </row>
    <row r="444" spans="3:58">
      <c r="C444" s="74"/>
      <c r="Q444" s="72"/>
      <c r="R444" s="72"/>
      <c r="S444" s="72"/>
      <c r="T444" s="72"/>
      <c r="U444" s="72"/>
      <c r="V444" s="72"/>
      <c r="W444" s="72"/>
      <c r="X444" s="72"/>
      <c r="Y444" s="72"/>
      <c r="Z444" s="72"/>
      <c r="AA444" s="72"/>
      <c r="AB444" s="73"/>
      <c r="AC444" s="73"/>
      <c r="AD444" s="73"/>
      <c r="AE444" s="73"/>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c r="BC444" s="72"/>
      <c r="BD444" s="72"/>
      <c r="BE444" s="72"/>
      <c r="BF444" s="72"/>
    </row>
    <row r="445" spans="3:58">
      <c r="C445" s="74"/>
      <c r="Q445" s="72"/>
      <c r="R445" s="72"/>
      <c r="S445" s="72"/>
      <c r="T445" s="72"/>
      <c r="U445" s="72"/>
      <c r="V445" s="72"/>
      <c r="W445" s="72"/>
      <c r="X445" s="72"/>
      <c r="Y445" s="72"/>
      <c r="Z445" s="72"/>
      <c r="AA445" s="72"/>
      <c r="AB445" s="73"/>
      <c r="AC445" s="73"/>
      <c r="AD445" s="73"/>
      <c r="AE445" s="73"/>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c r="BC445" s="72"/>
      <c r="BD445" s="72"/>
      <c r="BE445" s="72"/>
      <c r="BF445" s="72"/>
    </row>
    <row r="446" spans="3:58">
      <c r="C446" s="74"/>
      <c r="Q446" s="72"/>
      <c r="R446" s="72"/>
      <c r="S446" s="72"/>
      <c r="T446" s="72"/>
      <c r="U446" s="72"/>
      <c r="V446" s="72"/>
      <c r="W446" s="72"/>
      <c r="X446" s="72"/>
      <c r="Y446" s="72"/>
      <c r="Z446" s="72"/>
      <c r="AA446" s="72"/>
      <c r="AB446" s="73"/>
      <c r="AC446" s="73"/>
      <c r="AD446" s="73"/>
      <c r="AE446" s="73"/>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row>
    <row r="447" spans="3:58">
      <c r="C447" s="74"/>
      <c r="Q447" s="72"/>
      <c r="R447" s="72"/>
      <c r="S447" s="72"/>
      <c r="T447" s="72"/>
      <c r="U447" s="72"/>
      <c r="V447" s="72"/>
      <c r="W447" s="72"/>
      <c r="X447" s="72"/>
      <c r="Y447" s="72"/>
      <c r="Z447" s="72"/>
      <c r="AA447" s="72"/>
      <c r="AB447" s="73"/>
      <c r="AC447" s="73"/>
      <c r="AD447" s="73"/>
      <c r="AE447" s="73"/>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c r="BC447" s="72"/>
      <c r="BD447" s="72"/>
      <c r="BE447" s="72"/>
      <c r="BF447" s="72"/>
    </row>
    <row r="448" spans="3:58">
      <c r="C448" s="74"/>
      <c r="Q448" s="72"/>
      <c r="R448" s="72"/>
      <c r="S448" s="72"/>
      <c r="T448" s="72"/>
      <c r="U448" s="72"/>
      <c r="V448" s="72"/>
      <c r="W448" s="72"/>
      <c r="X448" s="72"/>
      <c r="Y448" s="72"/>
      <c r="Z448" s="72"/>
      <c r="AA448" s="72"/>
      <c r="AB448" s="73"/>
      <c r="AC448" s="73"/>
      <c r="AD448" s="73"/>
      <c r="AE448" s="73"/>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c r="BC448" s="72"/>
      <c r="BD448" s="72"/>
      <c r="BE448" s="72"/>
      <c r="BF448" s="72"/>
    </row>
    <row r="449" spans="3:58">
      <c r="C449" s="74"/>
      <c r="Q449" s="72"/>
      <c r="R449" s="72"/>
      <c r="S449" s="72"/>
      <c r="T449" s="72"/>
      <c r="U449" s="72"/>
      <c r="V449" s="72"/>
      <c r="W449" s="72"/>
      <c r="X449" s="72"/>
      <c r="Y449" s="72"/>
      <c r="Z449" s="72"/>
      <c r="AA449" s="72"/>
      <c r="AB449" s="73"/>
      <c r="AC449" s="73"/>
      <c r="AD449" s="73"/>
      <c r="AE449" s="73"/>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c r="BC449" s="72"/>
      <c r="BD449" s="72"/>
      <c r="BE449" s="72"/>
      <c r="BF449" s="72"/>
    </row>
    <row r="450" spans="3:58">
      <c r="C450" s="74"/>
      <c r="Q450" s="72"/>
      <c r="R450" s="72"/>
      <c r="S450" s="72"/>
      <c r="T450" s="72"/>
      <c r="U450" s="72"/>
      <c r="V450" s="72"/>
      <c r="W450" s="72"/>
      <c r="X450" s="72"/>
      <c r="Y450" s="72"/>
      <c r="Z450" s="72"/>
      <c r="AA450" s="72"/>
      <c r="AB450" s="73"/>
      <c r="AC450" s="73"/>
      <c r="AD450" s="73"/>
      <c r="AE450" s="73"/>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c r="BC450" s="72"/>
      <c r="BD450" s="72"/>
      <c r="BE450" s="72"/>
      <c r="BF450" s="72"/>
    </row>
    <row r="451" spans="3:58">
      <c r="C451" s="74"/>
      <c r="Q451" s="72"/>
      <c r="R451" s="72"/>
      <c r="S451" s="72"/>
      <c r="T451" s="72"/>
      <c r="U451" s="72"/>
      <c r="V451" s="72"/>
      <c r="W451" s="72"/>
      <c r="X451" s="72"/>
      <c r="Y451" s="72"/>
      <c r="Z451" s="72"/>
      <c r="AA451" s="72"/>
      <c r="AB451" s="73"/>
      <c r="AC451" s="73"/>
      <c r="AD451" s="73"/>
      <c r="AE451" s="73"/>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72"/>
      <c r="BD451" s="72"/>
      <c r="BE451" s="72"/>
      <c r="BF451" s="72"/>
    </row>
    <row r="452" spans="3:58">
      <c r="C452" s="74"/>
      <c r="Q452" s="72"/>
      <c r="R452" s="72"/>
      <c r="S452" s="72"/>
      <c r="T452" s="72"/>
      <c r="U452" s="72"/>
      <c r="V452" s="72"/>
      <c r="W452" s="72"/>
      <c r="X452" s="72"/>
      <c r="Y452" s="72"/>
      <c r="Z452" s="72"/>
      <c r="AA452" s="72"/>
      <c r="AB452" s="73"/>
      <c r="AC452" s="73"/>
      <c r="AD452" s="73"/>
      <c r="AE452" s="73"/>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c r="BC452" s="72"/>
      <c r="BD452" s="72"/>
      <c r="BE452" s="72"/>
      <c r="BF452" s="72"/>
    </row>
    <row r="453" spans="3:58">
      <c r="C453" s="74"/>
      <c r="Q453" s="72"/>
      <c r="R453" s="72"/>
      <c r="S453" s="72"/>
      <c r="T453" s="72"/>
      <c r="U453" s="72"/>
      <c r="V453" s="72"/>
      <c r="W453" s="72"/>
      <c r="X453" s="72"/>
      <c r="Y453" s="72"/>
      <c r="Z453" s="72"/>
      <c r="AA453" s="72"/>
      <c r="AB453" s="73"/>
      <c r="AC453" s="73"/>
      <c r="AD453" s="73"/>
      <c r="AE453" s="73"/>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c r="BC453" s="72"/>
      <c r="BD453" s="72"/>
      <c r="BE453" s="72"/>
      <c r="BF453" s="72"/>
    </row>
    <row r="454" spans="3:58">
      <c r="C454" s="74"/>
      <c r="Q454" s="72"/>
      <c r="R454" s="72"/>
      <c r="S454" s="72"/>
      <c r="T454" s="72"/>
      <c r="U454" s="72"/>
      <c r="V454" s="72"/>
      <c r="W454" s="72"/>
      <c r="X454" s="72"/>
      <c r="Y454" s="72"/>
      <c r="Z454" s="72"/>
      <c r="AA454" s="72"/>
      <c r="AB454" s="73"/>
      <c r="AC454" s="73"/>
      <c r="AD454" s="73"/>
      <c r="AE454" s="73"/>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c r="BC454" s="72"/>
      <c r="BD454" s="72"/>
      <c r="BE454" s="72"/>
      <c r="BF454" s="72"/>
    </row>
    <row r="455" spans="3:58">
      <c r="C455" s="74"/>
      <c r="Q455" s="72"/>
      <c r="R455" s="72"/>
      <c r="S455" s="72"/>
      <c r="T455" s="72"/>
      <c r="U455" s="72"/>
      <c r="V455" s="72"/>
      <c r="W455" s="72"/>
      <c r="X455" s="72"/>
      <c r="Y455" s="72"/>
      <c r="Z455" s="72"/>
      <c r="AA455" s="72"/>
      <c r="AB455" s="73"/>
      <c r="AC455" s="73"/>
      <c r="AD455" s="73"/>
      <c r="AE455" s="73"/>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c r="BC455" s="72"/>
      <c r="BD455" s="72"/>
      <c r="BE455" s="72"/>
      <c r="BF455" s="72"/>
    </row>
    <row r="456" spans="3:58">
      <c r="C456" s="74"/>
      <c r="Q456" s="72"/>
      <c r="R456" s="72"/>
      <c r="S456" s="72"/>
      <c r="T456" s="72"/>
      <c r="U456" s="72"/>
      <c r="V456" s="72"/>
      <c r="W456" s="72"/>
      <c r="X456" s="72"/>
      <c r="Y456" s="72"/>
      <c r="Z456" s="72"/>
      <c r="AA456" s="72"/>
      <c r="AB456" s="73"/>
      <c r="AC456" s="73"/>
      <c r="AD456" s="73"/>
      <c r="AE456" s="73"/>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c r="BC456" s="72"/>
      <c r="BD456" s="72"/>
      <c r="BE456" s="72"/>
      <c r="BF456" s="72"/>
    </row>
    <row r="457" spans="3:58">
      <c r="C457" s="74"/>
      <c r="Q457" s="72"/>
      <c r="R457" s="72"/>
      <c r="S457" s="72"/>
      <c r="T457" s="72"/>
      <c r="U457" s="72"/>
      <c r="V457" s="72"/>
      <c r="W457" s="72"/>
      <c r="X457" s="72"/>
      <c r="Y457" s="72"/>
      <c r="Z457" s="72"/>
      <c r="AA457" s="72"/>
      <c r="AB457" s="73"/>
      <c r="AC457" s="73"/>
      <c r="AD457" s="73"/>
      <c r="AE457" s="73"/>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c r="BC457" s="72"/>
      <c r="BD457" s="72"/>
      <c r="BE457" s="72"/>
      <c r="BF457" s="72"/>
    </row>
    <row r="458" spans="3:58">
      <c r="C458" s="74"/>
      <c r="Q458" s="72"/>
      <c r="R458" s="72"/>
      <c r="S458" s="72"/>
      <c r="T458" s="72"/>
      <c r="U458" s="72"/>
      <c r="V458" s="72"/>
      <c r="W458" s="72"/>
      <c r="X458" s="72"/>
      <c r="Y458" s="72"/>
      <c r="Z458" s="72"/>
      <c r="AA458" s="72"/>
      <c r="AB458" s="73"/>
      <c r="AC458" s="73"/>
      <c r="AD458" s="73"/>
      <c r="AE458" s="73"/>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c r="BC458" s="72"/>
      <c r="BD458" s="72"/>
      <c r="BE458" s="72"/>
      <c r="BF458" s="72"/>
    </row>
    <row r="459" spans="3:58">
      <c r="C459" s="74"/>
      <c r="Q459" s="72"/>
      <c r="R459" s="72"/>
      <c r="S459" s="72"/>
      <c r="T459" s="72"/>
      <c r="U459" s="72"/>
      <c r="V459" s="72"/>
      <c r="W459" s="72"/>
      <c r="X459" s="72"/>
      <c r="Y459" s="72"/>
      <c r="Z459" s="72"/>
      <c r="AA459" s="72"/>
      <c r="AB459" s="73"/>
      <c r="AC459" s="73"/>
      <c r="AD459" s="73"/>
      <c r="AE459" s="73"/>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c r="BC459" s="72"/>
      <c r="BD459" s="72"/>
      <c r="BE459" s="72"/>
      <c r="BF459" s="72"/>
    </row>
    <row r="460" spans="3:58">
      <c r="C460" s="74"/>
      <c r="Q460" s="72"/>
      <c r="R460" s="72"/>
      <c r="S460" s="72"/>
      <c r="T460" s="72"/>
      <c r="U460" s="72"/>
      <c r="V460" s="72"/>
      <c r="W460" s="72"/>
      <c r="X460" s="72"/>
      <c r="Y460" s="72"/>
      <c r="Z460" s="72"/>
      <c r="AA460" s="72"/>
      <c r="AB460" s="73"/>
      <c r="AC460" s="73"/>
      <c r="AD460" s="73"/>
      <c r="AE460" s="73"/>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c r="BC460" s="72"/>
      <c r="BD460" s="72"/>
      <c r="BE460" s="72"/>
      <c r="BF460" s="72"/>
    </row>
    <row r="461" spans="3:58">
      <c r="C461" s="74"/>
      <c r="Q461" s="72"/>
      <c r="R461" s="72"/>
      <c r="S461" s="72"/>
      <c r="T461" s="72"/>
      <c r="U461" s="72"/>
      <c r="V461" s="72"/>
      <c r="W461" s="72"/>
      <c r="X461" s="72"/>
      <c r="Y461" s="72"/>
      <c r="Z461" s="72"/>
      <c r="AA461" s="72"/>
      <c r="AB461" s="73"/>
      <c r="AC461" s="73"/>
      <c r="AD461" s="73"/>
      <c r="AE461" s="73"/>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row>
    <row r="462" spans="3:58">
      <c r="C462" s="74"/>
      <c r="Q462" s="72"/>
      <c r="R462" s="72"/>
      <c r="S462" s="72"/>
      <c r="T462" s="72"/>
      <c r="U462" s="72"/>
      <c r="V462" s="72"/>
      <c r="W462" s="72"/>
      <c r="X462" s="72"/>
      <c r="Y462" s="72"/>
      <c r="Z462" s="72"/>
      <c r="AA462" s="72"/>
      <c r="AB462" s="73"/>
      <c r="AC462" s="73"/>
      <c r="AD462" s="73"/>
      <c r="AE462" s="73"/>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row>
    <row r="463" spans="3:58">
      <c r="C463" s="74"/>
      <c r="Q463" s="72"/>
      <c r="R463" s="72"/>
      <c r="S463" s="72"/>
      <c r="T463" s="72"/>
      <c r="U463" s="72"/>
      <c r="V463" s="72"/>
      <c r="W463" s="72"/>
      <c r="X463" s="72"/>
      <c r="Y463" s="72"/>
      <c r="Z463" s="72"/>
      <c r="AA463" s="72"/>
      <c r="AB463" s="73"/>
      <c r="AC463" s="73"/>
      <c r="AD463" s="73"/>
      <c r="AE463" s="73"/>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row>
    <row r="464" spans="3:58">
      <c r="C464" s="74"/>
      <c r="Q464" s="72"/>
      <c r="R464" s="72"/>
      <c r="S464" s="72"/>
      <c r="T464" s="72"/>
      <c r="U464" s="72"/>
      <c r="V464" s="72"/>
      <c r="W464" s="72"/>
      <c r="X464" s="72"/>
      <c r="Y464" s="72"/>
      <c r="Z464" s="72"/>
      <c r="AA464" s="72"/>
      <c r="AB464" s="73"/>
      <c r="AC464" s="73"/>
      <c r="AD464" s="73"/>
      <c r="AE464" s="73"/>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row>
    <row r="465" spans="3:58">
      <c r="C465" s="74"/>
      <c r="Q465" s="72"/>
      <c r="R465" s="72"/>
      <c r="S465" s="72"/>
      <c r="T465" s="72"/>
      <c r="U465" s="72"/>
      <c r="V465" s="72"/>
      <c r="W465" s="72"/>
      <c r="X465" s="72"/>
      <c r="Y465" s="72"/>
      <c r="Z465" s="72"/>
      <c r="AA465" s="72"/>
      <c r="AB465" s="73"/>
      <c r="AC465" s="73"/>
      <c r="AD465" s="73"/>
      <c r="AE465" s="73"/>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c r="BC465" s="72"/>
      <c r="BD465" s="72"/>
      <c r="BE465" s="72"/>
      <c r="BF465" s="72"/>
    </row>
    <row r="466" spans="3:58">
      <c r="C466" s="74"/>
      <c r="Q466" s="72"/>
      <c r="R466" s="72"/>
      <c r="S466" s="72"/>
      <c r="T466" s="72"/>
      <c r="U466" s="72"/>
      <c r="V466" s="72"/>
      <c r="W466" s="72"/>
      <c r="X466" s="72"/>
      <c r="Y466" s="72"/>
      <c r="Z466" s="72"/>
      <c r="AA466" s="72"/>
      <c r="AB466" s="73"/>
      <c r="AC466" s="73"/>
      <c r="AD466" s="73"/>
      <c r="AE466" s="73"/>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row>
    <row r="467" spans="3:58">
      <c r="C467" s="74"/>
      <c r="Q467" s="72"/>
      <c r="R467" s="72"/>
      <c r="S467" s="72"/>
      <c r="T467" s="72"/>
      <c r="U467" s="72"/>
      <c r="V467" s="72"/>
      <c r="W467" s="72"/>
      <c r="X467" s="72"/>
      <c r="Y467" s="72"/>
      <c r="Z467" s="72"/>
      <c r="AA467" s="72"/>
      <c r="AB467" s="73"/>
      <c r="AC467" s="73"/>
      <c r="AD467" s="73"/>
      <c r="AE467" s="73"/>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row>
    <row r="468" spans="3:58">
      <c r="C468" s="74"/>
      <c r="Q468" s="72"/>
      <c r="R468" s="72"/>
      <c r="S468" s="72"/>
      <c r="T468" s="72"/>
      <c r="U468" s="72"/>
      <c r="V468" s="72"/>
      <c r="W468" s="72"/>
      <c r="X468" s="72"/>
      <c r="Y468" s="72"/>
      <c r="Z468" s="72"/>
      <c r="AA468" s="72"/>
      <c r="AB468" s="73"/>
      <c r="AC468" s="73"/>
      <c r="AD468" s="73"/>
      <c r="AE468" s="73"/>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row>
    <row r="469" spans="3:58">
      <c r="C469" s="74"/>
      <c r="Q469" s="72"/>
      <c r="R469" s="72"/>
      <c r="S469" s="72"/>
      <c r="T469" s="72"/>
      <c r="U469" s="72"/>
      <c r="V469" s="72"/>
      <c r="W469" s="72"/>
      <c r="X469" s="72"/>
      <c r="Y469" s="72"/>
      <c r="Z469" s="72"/>
      <c r="AA469" s="72"/>
      <c r="AB469" s="73"/>
      <c r="AC469" s="73"/>
      <c r="AD469" s="73"/>
      <c r="AE469" s="73"/>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row>
    <row r="470" spans="3:58">
      <c r="C470" s="74"/>
      <c r="Q470" s="72"/>
      <c r="R470" s="72"/>
      <c r="S470" s="72"/>
      <c r="T470" s="72"/>
      <c r="U470" s="72"/>
      <c r="V470" s="72"/>
      <c r="W470" s="72"/>
      <c r="X470" s="72"/>
      <c r="Y470" s="72"/>
      <c r="Z470" s="72"/>
      <c r="AA470" s="72"/>
      <c r="AB470" s="73"/>
      <c r="AC470" s="73"/>
      <c r="AD470" s="73"/>
      <c r="AE470" s="73"/>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row>
    <row r="471" spans="3:58">
      <c r="C471" s="74"/>
      <c r="Q471" s="72"/>
      <c r="R471" s="72"/>
      <c r="S471" s="72"/>
      <c r="T471" s="72"/>
      <c r="U471" s="72"/>
      <c r="V471" s="72"/>
      <c r="W471" s="72"/>
      <c r="X471" s="72"/>
      <c r="Y471" s="72"/>
      <c r="Z471" s="72"/>
      <c r="AA471" s="72"/>
      <c r="AB471" s="73"/>
      <c r="AC471" s="73"/>
      <c r="AD471" s="73"/>
      <c r="AE471" s="73"/>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c r="BC471" s="72"/>
      <c r="BD471" s="72"/>
      <c r="BE471" s="72"/>
      <c r="BF471" s="72"/>
    </row>
    <row r="472" spans="3:58">
      <c r="C472" s="74"/>
      <c r="Q472" s="72"/>
      <c r="R472" s="72"/>
      <c r="S472" s="72"/>
      <c r="T472" s="72"/>
      <c r="U472" s="72"/>
      <c r="V472" s="72"/>
      <c r="W472" s="72"/>
      <c r="X472" s="72"/>
      <c r="Y472" s="72"/>
      <c r="Z472" s="72"/>
      <c r="AA472" s="72"/>
      <c r="AB472" s="73"/>
      <c r="AC472" s="73"/>
      <c r="AD472" s="73"/>
      <c r="AE472" s="73"/>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row>
    <row r="473" spans="3:58">
      <c r="C473" s="74"/>
      <c r="Q473" s="72"/>
      <c r="R473" s="72"/>
      <c r="S473" s="72"/>
      <c r="T473" s="72"/>
      <c r="U473" s="72"/>
      <c r="V473" s="72"/>
      <c r="W473" s="72"/>
      <c r="X473" s="72"/>
      <c r="Y473" s="72"/>
      <c r="Z473" s="72"/>
      <c r="AA473" s="72"/>
      <c r="AB473" s="73"/>
      <c r="AC473" s="73"/>
      <c r="AD473" s="73"/>
      <c r="AE473" s="73"/>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c r="BC473" s="72"/>
      <c r="BD473" s="72"/>
      <c r="BE473" s="72"/>
      <c r="BF473" s="72"/>
    </row>
    <row r="474" spans="3:58">
      <c r="C474" s="74"/>
      <c r="Q474" s="72"/>
      <c r="R474" s="72"/>
      <c r="S474" s="72"/>
      <c r="T474" s="72"/>
      <c r="U474" s="72"/>
      <c r="V474" s="72"/>
      <c r="W474" s="72"/>
      <c r="X474" s="72"/>
      <c r="Y474" s="72"/>
      <c r="Z474" s="72"/>
      <c r="AA474" s="72"/>
      <c r="AB474" s="73"/>
      <c r="AC474" s="73"/>
      <c r="AD474" s="73"/>
      <c r="AE474" s="73"/>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c r="BC474" s="72"/>
      <c r="BD474" s="72"/>
      <c r="BE474" s="72"/>
      <c r="BF474" s="72"/>
    </row>
  </sheetData>
  <mergeCells count="1">
    <mergeCell ref="F22:J22"/>
  </mergeCells>
  <pageMargins left="0.7" right="0.7" top="0.75" bottom="0.75" header="0.3" footer="0.3"/>
  <pageSetup orientation="portrait" r:id="rId1"/>
  <headerFooter>
    <oddHeader>&amp;L&amp;"Calibri"&amp;10&amp;K0000FFTRADING PARTNER&amp;1#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AB7A5-C473-4284-888B-22E4FB3324CE}">
  <sheetPr codeName="Sheet33">
    <tabColor theme="5" tint="0.79998168889431442"/>
  </sheetPr>
  <dimension ref="B1:BF474"/>
  <sheetViews>
    <sheetView workbookViewId="0">
      <selection activeCell="K55" sqref="K55"/>
    </sheetView>
  </sheetViews>
  <sheetFormatPr defaultColWidth="7.5" defaultRowHeight="15"/>
  <cols>
    <col min="1" max="1" width="8.5" style="44" customWidth="1"/>
    <col min="2" max="2" width="20.5" style="68" customWidth="1"/>
    <col min="3" max="3" width="8.5" style="69" customWidth="1"/>
    <col min="4" max="4" width="19" style="44" customWidth="1"/>
    <col min="5" max="5" width="26.5" style="44" customWidth="1"/>
    <col min="6" max="7" width="10" style="44" customWidth="1"/>
    <col min="8" max="9" width="14" style="44" customWidth="1"/>
    <col min="10" max="10" width="19.296875" style="44" customWidth="1"/>
    <col min="11" max="11" width="13.5" style="44" customWidth="1"/>
    <col min="12" max="12" width="12" style="44" customWidth="1"/>
    <col min="13" max="13" width="10.796875" style="44" customWidth="1"/>
    <col min="14" max="14" width="10" style="44" customWidth="1"/>
    <col min="15" max="15" width="10.796875" style="44" customWidth="1"/>
    <col min="16" max="16" width="12.296875" style="44" customWidth="1"/>
    <col min="17" max="18" width="10.796875" style="44" customWidth="1"/>
    <col min="19" max="26" width="10" style="44" customWidth="1"/>
    <col min="27" max="27" width="12" style="44" bestFit="1" customWidth="1"/>
    <col min="28" max="28" width="13.5" style="299" customWidth="1"/>
    <col min="29" max="29" width="12.796875" style="299" customWidth="1"/>
    <col min="30" max="31" width="12.296875" style="299" customWidth="1"/>
    <col min="32" max="32" width="8.5" style="44" customWidth="1"/>
    <col min="33" max="33" width="12.796875" style="44" customWidth="1"/>
    <col min="34" max="34" width="10" style="44" customWidth="1"/>
    <col min="35" max="35" width="9.5" style="44" customWidth="1"/>
    <col min="36" max="36" width="11.796875" style="44" customWidth="1"/>
    <col min="37" max="39" width="10" style="44" customWidth="1"/>
    <col min="40" max="40" width="11.296875" style="44" customWidth="1"/>
    <col min="41" max="41" width="7.5" style="44"/>
    <col min="42" max="42" width="8" style="44" bestFit="1" customWidth="1"/>
    <col min="43" max="43" width="7.5" style="44"/>
    <col min="44" max="44" width="10" style="44" bestFit="1" customWidth="1"/>
    <col min="45" max="16384" width="7.5" style="44"/>
  </cols>
  <sheetData>
    <row r="1" spans="2:58">
      <c r="B1" s="68" t="s">
        <v>175</v>
      </c>
      <c r="E1" s="70"/>
      <c r="G1" s="71" t="s">
        <v>33</v>
      </c>
      <c r="H1" s="70"/>
      <c r="J1" s="44" t="s">
        <v>176</v>
      </c>
      <c r="W1" s="72"/>
      <c r="AA1" s="72"/>
      <c r="AB1" s="73"/>
      <c r="AC1" s="73"/>
      <c r="AD1" s="73"/>
      <c r="AE1" s="73"/>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row>
    <row r="2" spans="2:58">
      <c r="C2" s="74"/>
      <c r="D2" s="75" t="s">
        <v>177</v>
      </c>
      <c r="E2" s="417">
        <v>16022315675</v>
      </c>
      <c r="G2" s="76" t="s">
        <v>178</v>
      </c>
      <c r="H2" s="77">
        <f>+E3/E2</f>
        <v>0.10678606409498856</v>
      </c>
      <c r="I2" s="78"/>
      <c r="J2" s="79"/>
      <c r="K2" s="79" t="s">
        <v>179</v>
      </c>
      <c r="L2" s="79" t="s">
        <v>180</v>
      </c>
      <c r="W2" s="72"/>
      <c r="AA2" s="72"/>
      <c r="AB2" s="73"/>
      <c r="AC2" s="73"/>
      <c r="AD2" s="73"/>
      <c r="AE2" s="73"/>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row>
    <row r="3" spans="2:58">
      <c r="C3" s="74"/>
      <c r="D3" s="75" t="s">
        <v>181</v>
      </c>
      <c r="E3" s="397">
        <v>1710960028.6206899</v>
      </c>
      <c r="G3" s="76" t="s">
        <v>182</v>
      </c>
      <c r="H3" s="77">
        <f>+E6/E2</f>
        <v>4.5296403212951926E-2</v>
      </c>
      <c r="I3" s="80"/>
      <c r="J3" s="44">
        <v>105</v>
      </c>
      <c r="K3" s="81">
        <f>IF(((E27*12*600)/1000000)&lt;=F27,((E27*12*600)/1000000),F27)*1000000</f>
        <v>23976918.345710058</v>
      </c>
      <c r="L3" s="81">
        <f>IF(K3/1000000&gt;F27,0,((F27*1000000)-K3))</f>
        <v>0</v>
      </c>
      <c r="W3" s="72"/>
      <c r="AA3" s="72"/>
      <c r="AB3" s="73"/>
      <c r="AC3" s="73"/>
      <c r="AD3" s="73"/>
      <c r="AE3" s="73"/>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row>
    <row r="4" spans="2:58">
      <c r="C4" s="74"/>
      <c r="D4" s="75" t="s">
        <v>183</v>
      </c>
      <c r="E4" s="397">
        <v>22850467.925561026</v>
      </c>
      <c r="G4" s="76" t="s">
        <v>184</v>
      </c>
      <c r="H4" s="409">
        <v>5.7299999999999999E-3</v>
      </c>
      <c r="I4" s="82"/>
      <c r="J4" s="44">
        <v>106</v>
      </c>
      <c r="K4" s="81">
        <f t="shared" ref="K4:K5" si="0">IF(((E28*12*600)/1000000)&lt;=F28,((E28*12*600)/1000000),F28)*1000000</f>
        <v>193190263.90301132</v>
      </c>
      <c r="L4" s="81">
        <f>IF(K4/1000000&gt;F28,0,((F28*1000000)-K4))</f>
        <v>0</v>
      </c>
      <c r="W4" s="72"/>
      <c r="AA4" s="72"/>
      <c r="AB4" s="73"/>
      <c r="AC4" s="73"/>
      <c r="AD4" s="73"/>
      <c r="AE4" s="73"/>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row>
    <row r="5" spans="2:58">
      <c r="C5" s="74"/>
      <c r="D5" s="75" t="s">
        <v>185</v>
      </c>
      <c r="E5" s="83">
        <v>74.876367267156624</v>
      </c>
      <c r="G5" s="84" t="s">
        <v>186</v>
      </c>
      <c r="H5" s="409">
        <v>1.1678000000000001E-2</v>
      </c>
      <c r="I5" s="85"/>
      <c r="J5" s="44">
        <v>107</v>
      </c>
      <c r="K5" s="81">
        <f t="shared" si="0"/>
        <v>27208800</v>
      </c>
      <c r="L5" s="81">
        <f>IF(K5/1000000&gt;F29,0,((F29*1000000)-K5))</f>
        <v>3718324.2686366402</v>
      </c>
      <c r="W5" s="72"/>
      <c r="AA5" s="72"/>
      <c r="AB5" s="73"/>
      <c r="AC5" s="73"/>
      <c r="AD5" s="73"/>
      <c r="AE5" s="73"/>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row>
    <row r="6" spans="2:58">
      <c r="C6" s="74"/>
      <c r="D6" s="86" t="s">
        <v>187</v>
      </c>
      <c r="E6" s="397">
        <v>725753271.22000003</v>
      </c>
      <c r="F6" s="87"/>
      <c r="G6" s="76" t="s">
        <v>188</v>
      </c>
      <c r="H6" s="409">
        <v>8.5899999999999987E-5</v>
      </c>
      <c r="I6" s="88"/>
      <c r="J6" s="78"/>
      <c r="K6" s="82">
        <f>SUM(K3:K5)</f>
        <v>244375982.24872139</v>
      </c>
      <c r="L6" s="82"/>
      <c r="W6" s="72"/>
      <c r="AA6" s="72"/>
      <c r="AB6" s="73"/>
      <c r="AC6" s="73"/>
      <c r="AD6" s="73"/>
      <c r="AE6" s="73"/>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row>
    <row r="7" spans="2:58">
      <c r="C7" s="74"/>
      <c r="D7" s="89"/>
      <c r="E7" s="90"/>
      <c r="F7" s="90"/>
      <c r="G7" s="76" t="s">
        <v>189</v>
      </c>
      <c r="H7" s="91">
        <v>1.9821098460390599E-2</v>
      </c>
      <c r="I7" s="92"/>
      <c r="J7" s="78"/>
      <c r="K7" s="82"/>
      <c r="L7" s="82"/>
      <c r="AA7" s="72"/>
      <c r="AB7" s="73"/>
      <c r="AC7" s="73"/>
      <c r="AD7" s="73"/>
      <c r="AE7" s="73"/>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row>
    <row r="8" spans="2:58" ht="15.6" thickBot="1">
      <c r="C8" s="74"/>
      <c r="D8" s="93" t="s">
        <v>190</v>
      </c>
      <c r="E8" s="94" t="s">
        <v>191</v>
      </c>
      <c r="F8" s="95" t="s">
        <v>192</v>
      </c>
      <c r="G8" s="76"/>
      <c r="H8" s="96"/>
      <c r="I8" s="97"/>
      <c r="J8" s="642" t="s">
        <v>537</v>
      </c>
      <c r="K8" s="643"/>
      <c r="L8" s="644"/>
      <c r="W8" s="72"/>
      <c r="AA8" s="72"/>
      <c r="AB8" s="73"/>
      <c r="AC8" s="73"/>
      <c r="AD8" s="73"/>
      <c r="AE8" s="73"/>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row>
    <row r="9" spans="2:58">
      <c r="C9" s="74"/>
      <c r="D9" s="89" t="s">
        <v>193</v>
      </c>
      <c r="E9" s="396">
        <v>5668.5895671135731</v>
      </c>
      <c r="F9" s="395">
        <v>1378874</v>
      </c>
      <c r="G9" s="99"/>
      <c r="H9" s="96"/>
      <c r="I9" s="96"/>
      <c r="J9" s="643"/>
      <c r="K9" s="645" t="s">
        <v>77</v>
      </c>
      <c r="L9" s="642" t="s">
        <v>78</v>
      </c>
      <c r="W9" s="72"/>
      <c r="AA9" s="72"/>
      <c r="AB9" s="73"/>
      <c r="AC9" s="73"/>
      <c r="AD9" s="73"/>
      <c r="AE9" s="73"/>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row>
    <row r="10" spans="2:58">
      <c r="C10" s="74"/>
      <c r="D10" s="89" t="s">
        <v>194</v>
      </c>
      <c r="E10" s="396">
        <v>6861.6496386784274</v>
      </c>
      <c r="F10" s="395">
        <v>125036.15473984106</v>
      </c>
      <c r="G10" s="99"/>
      <c r="H10" s="85"/>
      <c r="I10" s="85"/>
      <c r="J10" s="646" t="s">
        <v>12</v>
      </c>
      <c r="K10" s="648"/>
      <c r="L10" s="649">
        <v>0</v>
      </c>
      <c r="W10" s="72"/>
      <c r="AA10" s="72"/>
      <c r="AB10" s="73"/>
      <c r="AC10" s="73"/>
      <c r="AD10" s="73"/>
      <c r="AE10" s="73"/>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row>
    <row r="11" spans="2:58">
      <c r="C11" s="74"/>
      <c r="D11" s="89" t="s">
        <v>195</v>
      </c>
      <c r="E11" s="396">
        <v>1768.754738262515</v>
      </c>
      <c r="F11" s="395">
        <v>583</v>
      </c>
      <c r="G11" s="99"/>
      <c r="H11" s="101"/>
      <c r="I11" s="101"/>
      <c r="J11" s="643" t="s">
        <v>13</v>
      </c>
      <c r="K11" s="648"/>
      <c r="L11" s="649">
        <v>0</v>
      </c>
      <c r="N11" s="655" t="s">
        <v>602</v>
      </c>
      <c r="W11" s="72"/>
      <c r="AA11" s="72"/>
      <c r="AB11" s="73"/>
      <c r="AC11" s="73"/>
      <c r="AD11" s="73"/>
      <c r="AE11" s="73"/>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row>
    <row r="12" spans="2:58">
      <c r="C12" s="74"/>
      <c r="D12" s="89" t="s">
        <v>196</v>
      </c>
      <c r="E12" s="396">
        <v>235.31472663582704</v>
      </c>
      <c r="F12" s="395">
        <v>2174</v>
      </c>
      <c r="G12" s="99"/>
      <c r="H12" s="85">
        <f>+H5*$E$15</f>
        <v>170.38177818593118</v>
      </c>
      <c r="J12" s="647" t="s">
        <v>24</v>
      </c>
      <c r="K12" s="649">
        <f>'2027 Forecast'!K12*F51/'2027 Forecast'!F51</f>
        <v>119017.8976718265</v>
      </c>
      <c r="L12" s="649">
        <v>0</v>
      </c>
      <c r="N12" s="655">
        <v>9608</v>
      </c>
      <c r="W12" s="72"/>
      <c r="AA12" s="72"/>
      <c r="AB12" s="73"/>
      <c r="AC12" s="73"/>
      <c r="AD12" s="73"/>
      <c r="AE12" s="73"/>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row>
    <row r="13" spans="2:58">
      <c r="C13" s="74"/>
      <c r="D13" s="89" t="s">
        <v>197</v>
      </c>
      <c r="E13" s="396">
        <v>36.155253116297253</v>
      </c>
      <c r="F13" s="395">
        <v>2</v>
      </c>
      <c r="G13" s="99"/>
      <c r="H13" s="85">
        <f t="shared" ref="H13:H14" si="1">+H6*$E$15</f>
        <v>1.25327922128545</v>
      </c>
      <c r="I13" s="85"/>
      <c r="W13" s="72"/>
      <c r="AA13" s="72"/>
      <c r="AB13" s="73"/>
      <c r="AC13" s="73"/>
      <c r="AD13" s="73"/>
      <c r="AE13" s="73"/>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row>
    <row r="14" spans="2:58">
      <c r="C14" s="74"/>
      <c r="D14" s="89" t="s">
        <v>198</v>
      </c>
      <c r="E14" s="396">
        <v>19.515369388357588</v>
      </c>
      <c r="F14" s="395">
        <v>1103</v>
      </c>
      <c r="G14" s="99"/>
      <c r="H14" s="85">
        <f t="shared" si="1"/>
        <v>289.18941610547807</v>
      </c>
      <c r="W14" s="72"/>
      <c r="AA14" s="72"/>
      <c r="AB14" s="73"/>
      <c r="AC14" s="73"/>
      <c r="AD14" s="73"/>
      <c r="AE14" s="73"/>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row>
    <row r="15" spans="2:58" ht="15.6" thickBot="1">
      <c r="C15" s="74"/>
      <c r="D15" s="102" t="s">
        <v>199</v>
      </c>
      <c r="E15" s="103">
        <f>SUM(E9:E14)</f>
        <v>14589.979293194996</v>
      </c>
      <c r="F15" s="104">
        <f>SUM(F9:F14)</f>
        <v>1507772.1547398411</v>
      </c>
      <c r="H15" s="105"/>
      <c r="I15" s="105"/>
      <c r="W15" s="72"/>
      <c r="AA15" s="72"/>
      <c r="AB15" s="73"/>
      <c r="AC15" s="73"/>
      <c r="AD15" s="73"/>
      <c r="AE15" s="73"/>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row>
    <row r="16" spans="2:58">
      <c r="C16" s="74"/>
      <c r="D16" s="106" t="s">
        <v>200</v>
      </c>
      <c r="E16" s="107">
        <f>+E12-E17</f>
        <v>218.70575463582705</v>
      </c>
      <c r="F16" s="90"/>
      <c r="H16" s="108"/>
      <c r="I16" s="108"/>
      <c r="W16" s="72"/>
      <c r="AA16" s="72"/>
      <c r="AB16" s="73"/>
      <c r="AC16" s="73"/>
      <c r="AD16" s="73"/>
      <c r="AE16" s="73"/>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row>
    <row r="17" spans="2:58">
      <c r="C17" s="74"/>
      <c r="D17" s="106" t="s">
        <v>201</v>
      </c>
      <c r="E17" s="107">
        <v>16.608971999999998</v>
      </c>
      <c r="F17" s="109">
        <f>+E17+E16</f>
        <v>235.31472663582704</v>
      </c>
      <c r="G17" s="100"/>
      <c r="H17" s="81"/>
      <c r="I17" s="81"/>
      <c r="W17" s="72"/>
      <c r="AA17" s="72"/>
      <c r="AB17" s="73"/>
      <c r="AC17" s="73"/>
      <c r="AD17" s="73"/>
      <c r="AE17" s="73"/>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row>
    <row r="18" spans="2:58">
      <c r="C18" s="74"/>
      <c r="E18" s="110"/>
      <c r="F18" s="110">
        <f>+F17-E12</f>
        <v>0</v>
      </c>
      <c r="G18" s="111"/>
      <c r="H18" s="112"/>
      <c r="I18" s="112"/>
      <c r="W18" s="72"/>
      <c r="AA18" s="72"/>
      <c r="AB18" s="73"/>
      <c r="AC18" s="73"/>
      <c r="AD18" s="73"/>
      <c r="AE18" s="73"/>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row>
    <row r="19" spans="2:58" s="114" customFormat="1" ht="21.6" thickBot="1">
      <c r="B19" s="68"/>
      <c r="C19" s="113"/>
      <c r="E19" s="115"/>
      <c r="F19" s="115"/>
      <c r="G19" s="116"/>
      <c r="H19" s="117"/>
      <c r="I19" s="117"/>
      <c r="P19" s="118" t="s">
        <v>202</v>
      </c>
      <c r="Q19" s="118" t="s">
        <v>203</v>
      </c>
      <c r="R19" s="118" t="s">
        <v>204</v>
      </c>
      <c r="S19" s="118" t="s">
        <v>203</v>
      </c>
      <c r="T19" s="118" t="s">
        <v>204</v>
      </c>
      <c r="U19" s="118" t="s">
        <v>205</v>
      </c>
      <c r="V19" s="118"/>
      <c r="W19" s="119" t="s">
        <v>206</v>
      </c>
      <c r="X19" s="119" t="s">
        <v>207</v>
      </c>
      <c r="Y19" s="119" t="s">
        <v>208</v>
      </c>
      <c r="AA19" s="120"/>
      <c r="AB19" s="121"/>
      <c r="AC19" s="121"/>
      <c r="AD19" s="121"/>
      <c r="AE19" s="121"/>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row>
    <row r="20" spans="2:58">
      <c r="C20" s="122" t="s">
        <v>209</v>
      </c>
      <c r="D20" s="123"/>
      <c r="E20" s="44" t="b">
        <v>1</v>
      </c>
      <c r="H20" s="124"/>
      <c r="I20" s="124"/>
      <c r="J20" s="124"/>
      <c r="K20" s="124"/>
      <c r="L20" s="124"/>
      <c r="M20" s="124"/>
      <c r="N20" s="124"/>
      <c r="O20" s="72" t="s">
        <v>210</v>
      </c>
      <c r="P20" s="125">
        <v>1000000</v>
      </c>
      <c r="Q20" s="73"/>
      <c r="R20" s="73"/>
      <c r="S20" s="73"/>
      <c r="T20" s="73"/>
      <c r="U20" s="73"/>
      <c r="V20" s="73"/>
      <c r="W20" s="73"/>
      <c r="X20" s="73"/>
      <c r="Y20" s="73"/>
      <c r="Z20" s="73"/>
      <c r="AA20" s="72"/>
      <c r="AB20" s="73"/>
      <c r="AC20" s="73"/>
      <c r="AD20" s="73"/>
      <c r="AE20" s="73"/>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row>
    <row r="21" spans="2:58">
      <c r="C21" s="126" t="s">
        <v>211</v>
      </c>
      <c r="D21" s="127" t="str" cm="1">
        <f t="array" aca="1" ref="D21" ca="1">RIGHT(CELL("filename",E2),LEN(CELL("filename",E2))-FIND("]",CELL("filename",E2)))</f>
        <v>2028 Forecast</v>
      </c>
      <c r="H21" s="124"/>
      <c r="I21" s="124"/>
      <c r="J21" s="124"/>
      <c r="K21" s="124"/>
      <c r="L21" s="124"/>
      <c r="M21" s="124"/>
      <c r="N21" s="124"/>
      <c r="O21" s="72" t="s">
        <v>212</v>
      </c>
      <c r="P21" s="72">
        <v>12</v>
      </c>
      <c r="Q21" s="73"/>
      <c r="R21" s="73"/>
      <c r="S21" s="73"/>
      <c r="T21" s="73"/>
      <c r="U21" s="73"/>
      <c r="V21" s="73"/>
      <c r="W21" s="73"/>
      <c r="X21" s="73"/>
      <c r="Y21" s="73"/>
      <c r="Z21" s="73"/>
      <c r="AA21" s="72"/>
      <c r="AB21" s="73"/>
      <c r="AC21" s="73"/>
      <c r="AD21" s="73"/>
      <c r="AE21" s="73"/>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row>
    <row r="22" spans="2:58">
      <c r="C22" s="128"/>
      <c r="D22" s="128"/>
      <c r="E22" s="129"/>
      <c r="F22" s="1611" t="s">
        <v>213</v>
      </c>
      <c r="G22" s="1611"/>
      <c r="H22" s="1611"/>
      <c r="I22" s="1611"/>
      <c r="J22" s="1612"/>
      <c r="K22" s="129"/>
      <c r="L22" s="130" t="s">
        <v>214</v>
      </c>
      <c r="M22" s="131" t="s">
        <v>215</v>
      </c>
      <c r="N22" s="132"/>
      <c r="O22" s="133"/>
      <c r="P22" s="134" t="s">
        <v>216</v>
      </c>
      <c r="Q22" s="135"/>
      <c r="R22" s="135"/>
      <c r="S22" s="135"/>
      <c r="T22" s="135"/>
      <c r="U22" s="135"/>
      <c r="V22" s="135"/>
      <c r="W22" s="135"/>
      <c r="X22" s="135"/>
      <c r="Y22" s="135"/>
      <c r="Z22" s="135"/>
      <c r="AA22" s="136"/>
      <c r="AB22" s="137" t="s">
        <v>217</v>
      </c>
      <c r="AC22" s="138"/>
      <c r="AD22" s="138"/>
      <c r="AE22" s="138"/>
      <c r="AF22" s="136"/>
      <c r="AG22" s="139"/>
      <c r="AH22" s="140"/>
      <c r="AI22" s="140"/>
      <c r="AJ22" s="140" t="s">
        <v>218</v>
      </c>
      <c r="AK22" s="140"/>
      <c r="AL22" s="140" t="s">
        <v>219</v>
      </c>
      <c r="AM22" s="140" t="s">
        <v>219</v>
      </c>
      <c r="AN22" s="141"/>
      <c r="AO22" s="72"/>
      <c r="AP22" s="72"/>
      <c r="AQ22" s="72"/>
      <c r="AR22" s="72"/>
      <c r="AS22" s="72"/>
      <c r="AT22" s="72"/>
      <c r="AU22" s="72"/>
      <c r="AV22" s="72"/>
      <c r="AW22" s="72"/>
      <c r="AX22" s="72"/>
      <c r="AY22" s="72"/>
      <c r="AZ22" s="72"/>
      <c r="BA22" s="72"/>
      <c r="BB22" s="72"/>
      <c r="BC22" s="72"/>
      <c r="BD22" s="72"/>
      <c r="BE22" s="72"/>
      <c r="BF22" s="72"/>
    </row>
    <row r="23" spans="2:58" ht="39.75" customHeight="1" thickBot="1">
      <c r="C23" s="142" t="s">
        <v>220</v>
      </c>
      <c r="D23" s="142" t="s">
        <v>221</v>
      </c>
      <c r="E23" s="143" t="s">
        <v>192</v>
      </c>
      <c r="F23" s="144" t="s">
        <v>222</v>
      </c>
      <c r="G23" s="144" t="s">
        <v>223</v>
      </c>
      <c r="H23" s="144" t="s">
        <v>224</v>
      </c>
      <c r="I23" s="144" t="s">
        <v>225</v>
      </c>
      <c r="J23" s="145" t="s">
        <v>226</v>
      </c>
      <c r="K23" s="145" t="s">
        <v>227</v>
      </c>
      <c r="L23" s="145" t="s">
        <v>228</v>
      </c>
      <c r="M23" s="146" t="s">
        <v>199</v>
      </c>
      <c r="N23" s="144" t="s">
        <v>229</v>
      </c>
      <c r="O23" s="145" t="s">
        <v>230</v>
      </c>
      <c r="P23" s="118" t="s">
        <v>231</v>
      </c>
      <c r="Q23" s="119" t="s">
        <v>232</v>
      </c>
      <c r="R23" s="119" t="s">
        <v>233</v>
      </c>
      <c r="S23" s="119" t="s">
        <v>234</v>
      </c>
      <c r="T23" s="119" t="s">
        <v>235</v>
      </c>
      <c r="U23" s="119" t="s">
        <v>205</v>
      </c>
      <c r="V23" s="147" t="s">
        <v>222</v>
      </c>
      <c r="W23" s="147" t="s">
        <v>236</v>
      </c>
      <c r="X23" s="147" t="s">
        <v>237</v>
      </c>
      <c r="Y23" s="147" t="s">
        <v>238</v>
      </c>
      <c r="Z23" s="147" t="s">
        <v>236</v>
      </c>
      <c r="AA23" s="148" t="s">
        <v>239</v>
      </c>
      <c r="AB23" s="149" t="s">
        <v>240</v>
      </c>
      <c r="AC23" s="150" t="s">
        <v>241</v>
      </c>
      <c r="AD23" s="150" t="s">
        <v>242</v>
      </c>
      <c r="AE23" s="150" t="s">
        <v>243</v>
      </c>
      <c r="AF23" s="148" t="s">
        <v>244</v>
      </c>
      <c r="AG23" s="151" t="s">
        <v>245</v>
      </c>
      <c r="AH23" s="152" t="s">
        <v>246</v>
      </c>
      <c r="AI23" s="152" t="s">
        <v>247</v>
      </c>
      <c r="AJ23" s="153" t="s">
        <v>248</v>
      </c>
      <c r="AK23" s="154" t="s">
        <v>249</v>
      </c>
      <c r="AL23" s="152" t="s">
        <v>250</v>
      </c>
      <c r="AM23" s="152" t="s">
        <v>251</v>
      </c>
      <c r="AN23" s="154" t="s">
        <v>249</v>
      </c>
      <c r="AO23" s="72"/>
      <c r="AP23" s="72"/>
      <c r="AQ23" s="72"/>
      <c r="AR23" s="72"/>
      <c r="AS23" s="72"/>
      <c r="AT23" s="72"/>
      <c r="AU23" s="72"/>
      <c r="AV23" s="72"/>
      <c r="AW23" s="72"/>
      <c r="AX23" s="72"/>
      <c r="AY23" s="72"/>
      <c r="AZ23" s="72"/>
      <c r="BA23" s="72"/>
      <c r="BB23" s="72"/>
      <c r="BC23" s="72"/>
      <c r="BD23" s="72"/>
      <c r="BE23" s="72"/>
      <c r="BF23" s="72"/>
    </row>
    <row r="24" spans="2:58">
      <c r="C24" s="155" t="s">
        <v>252</v>
      </c>
      <c r="D24" s="72"/>
      <c r="E24" s="156"/>
      <c r="F24" s="157"/>
      <c r="G24" s="157"/>
      <c r="H24" s="157"/>
      <c r="I24" s="157"/>
      <c r="J24" s="158"/>
      <c r="K24" s="158"/>
      <c r="L24" s="158"/>
      <c r="M24" s="157"/>
      <c r="N24" s="157"/>
      <c r="O24" s="158"/>
      <c r="P24" s="159"/>
      <c r="Q24" s="160"/>
      <c r="R24" s="160"/>
      <c r="S24" s="160"/>
      <c r="T24" s="160"/>
      <c r="U24" s="160"/>
      <c r="V24" s="161"/>
      <c r="W24" s="160"/>
      <c r="X24" s="160"/>
      <c r="Y24" s="160"/>
      <c r="Z24" s="161"/>
      <c r="AA24" s="162"/>
      <c r="AB24" s="73"/>
      <c r="AC24" s="73"/>
      <c r="AD24" s="73"/>
      <c r="AE24" s="73"/>
      <c r="AF24" s="162"/>
      <c r="AG24" s="163"/>
      <c r="AH24" s="164"/>
      <c r="AI24" s="164"/>
      <c r="AJ24" s="164"/>
      <c r="AK24" s="72"/>
      <c r="AL24" s="164"/>
      <c r="AM24" s="164"/>
      <c r="AN24" s="72"/>
      <c r="AO24" s="72"/>
      <c r="AP24" s="72"/>
      <c r="AQ24" s="72"/>
      <c r="AR24" s="72"/>
      <c r="AS24" s="72"/>
      <c r="AT24" s="72"/>
      <c r="AU24" s="72"/>
      <c r="AV24" s="72"/>
      <c r="AW24" s="72"/>
      <c r="AX24" s="72"/>
      <c r="AY24" s="72"/>
      <c r="AZ24" s="72"/>
      <c r="BA24" s="72"/>
      <c r="BB24" s="72"/>
    </row>
    <row r="25" spans="2:58">
      <c r="B25" s="165" t="s">
        <v>8</v>
      </c>
      <c r="C25" s="74" t="s">
        <v>253</v>
      </c>
      <c r="D25" s="166" t="s">
        <v>254</v>
      </c>
      <c r="E25" s="398">
        <v>1101</v>
      </c>
      <c r="F25" s="399">
        <v>8.6787156162612273</v>
      </c>
      <c r="G25" s="169">
        <v>4.3648994746932459</v>
      </c>
      <c r="H25" s="169">
        <v>4.3138161415679814</v>
      </c>
      <c r="I25" s="170"/>
      <c r="J25" s="171"/>
      <c r="K25" s="171"/>
      <c r="L25" s="171"/>
      <c r="M25" s="172"/>
      <c r="N25" s="173"/>
      <c r="O25" s="171"/>
      <c r="P25" s="174">
        <v>2.8247999999999999E-2</v>
      </c>
      <c r="Q25" s="175">
        <v>4.1658738000000001E-2</v>
      </c>
      <c r="R25" s="175">
        <v>0.12574524353615832</v>
      </c>
      <c r="S25" s="176"/>
      <c r="T25" s="176"/>
      <c r="U25" s="176"/>
      <c r="V25" s="177">
        <f t="shared" ref="V25:V33" si="2">SUM(Q25:U25)</f>
        <v>0.16740398153615832</v>
      </c>
      <c r="W25" s="178"/>
      <c r="X25" s="179"/>
      <c r="Y25" s="179"/>
      <c r="Z25" s="177">
        <f t="shared" ref="Z25:Z33" si="3">SUM(W25:Y25)</f>
        <v>0</v>
      </c>
      <c r="AA25" s="180">
        <f>+V25+Z25+P25</f>
        <v>0.19565198153615831</v>
      </c>
      <c r="AB25" s="181">
        <f>$H$2*F25</f>
        <v>0.92676588206024957</v>
      </c>
      <c r="AC25" s="181">
        <f>+$H$3*F25</f>
        <v>0.39311460192471109</v>
      </c>
      <c r="AD25" s="181">
        <f t="shared" ref="AD25:AD33" si="4">+$H$4*F25</f>
        <v>4.972904048117683E-2</v>
      </c>
      <c r="AE25" s="181">
        <f>+$H$5*F25</f>
        <v>0.10135004096669863</v>
      </c>
      <c r="AF25" s="182">
        <f>+$H$6*F25</f>
        <v>7.4550167143683937E-4</v>
      </c>
      <c r="AG25" s="162">
        <f>+AF25+AD25+AC25+AB25+AA25+AE25</f>
        <v>1.6673570486404312</v>
      </c>
      <c r="AH25" s="183">
        <f t="shared" ref="AH25:AJ34" si="5">+AA25/$F25*100</f>
        <v>2.2543886697885003</v>
      </c>
      <c r="AI25" s="183">
        <f t="shared" si="5"/>
        <v>10.678606409498856</v>
      </c>
      <c r="AJ25" s="183">
        <f t="shared" si="5"/>
        <v>4.5296403212951928</v>
      </c>
      <c r="AK25" s="160">
        <f>+AG25/$F25*100</f>
        <v>19.212025400582547</v>
      </c>
      <c r="AL25" s="183">
        <f t="shared" ref="AL25:AN34" si="6">+AE25/$F25*100</f>
        <v>1.1678000000000002</v>
      </c>
      <c r="AM25" s="183">
        <f t="shared" si="6"/>
        <v>8.5899999999999987E-3</v>
      </c>
      <c r="AN25" s="160">
        <f t="shared" si="6"/>
        <v>19.212025400582547</v>
      </c>
      <c r="AO25" s="72"/>
      <c r="AP25" s="72"/>
      <c r="AQ25" s="72"/>
      <c r="AR25" s="72"/>
      <c r="AS25" s="72"/>
      <c r="AT25" s="72"/>
      <c r="AU25" s="72"/>
      <c r="AV25" s="72"/>
      <c r="AW25" s="72"/>
      <c r="AX25" s="72"/>
      <c r="AY25" s="72"/>
      <c r="AZ25" s="72"/>
      <c r="BA25" s="72"/>
      <c r="BB25" s="72"/>
    </row>
    <row r="26" spans="2:58">
      <c r="B26" s="165" t="s">
        <v>8</v>
      </c>
      <c r="C26" s="74" t="s">
        <v>253</v>
      </c>
      <c r="D26" s="166" t="s">
        <v>255</v>
      </c>
      <c r="E26" s="398">
        <v>3290</v>
      </c>
      <c r="F26" s="399">
        <v>6.8215997487445863</v>
      </c>
      <c r="G26" s="169">
        <v>6.7271301362985527</v>
      </c>
      <c r="H26" s="169">
        <v>9.4469612446033802E-2</v>
      </c>
      <c r="I26" s="169"/>
      <c r="J26" s="171"/>
      <c r="K26" s="171"/>
      <c r="L26" s="171"/>
      <c r="M26" s="173"/>
      <c r="N26" s="173"/>
      <c r="O26" s="184"/>
      <c r="P26" s="174">
        <v>9.5808000000000004E-2</v>
      </c>
      <c r="Q26" s="175">
        <v>5.9445959490555214E-2</v>
      </c>
      <c r="R26" s="175">
        <v>0</v>
      </c>
      <c r="S26" s="176"/>
      <c r="T26" s="176"/>
      <c r="U26" s="176"/>
      <c r="V26" s="177">
        <f>SUM(Q26:U26)</f>
        <v>5.9445959490555214E-2</v>
      </c>
      <c r="W26" s="179"/>
      <c r="X26" s="179"/>
      <c r="Y26" s="179"/>
      <c r="Z26" s="177">
        <f t="shared" si="3"/>
        <v>0</v>
      </c>
      <c r="AA26" s="180">
        <f t="shared" ref="AA26:AA33" si="7">+V26+Z26+P26</f>
        <v>0.1552539594905552</v>
      </c>
      <c r="AB26" s="181">
        <f>$H$2*F26</f>
        <v>0.72845178799979726</v>
      </c>
      <c r="AC26" s="181">
        <f t="shared" ref="AC26:AC33" si="8">+$H$3*F26</f>
        <v>0.30899393277650633</v>
      </c>
      <c r="AD26" s="181">
        <f t="shared" si="4"/>
        <v>3.9087766560306478E-2</v>
      </c>
      <c r="AE26" s="181">
        <f t="shared" ref="AE26:AE33" si="9">+$H$5*F26</f>
        <v>7.9662641865839282E-2</v>
      </c>
      <c r="AF26" s="182">
        <f t="shared" ref="AF26:AF33" si="10">+$H$6*F26</f>
        <v>5.8597541841715983E-4</v>
      </c>
      <c r="AG26" s="162">
        <f t="shared" ref="AG26:AG33" si="11">+AF26+AD26+AC26+AB26+AA26+AE26</f>
        <v>1.3120360641114217</v>
      </c>
      <c r="AH26" s="183">
        <f t="shared" si="5"/>
        <v>2.27591716325965</v>
      </c>
      <c r="AI26" s="183">
        <f t="shared" si="5"/>
        <v>10.678606409498856</v>
      </c>
      <c r="AJ26" s="183">
        <f t="shared" si="5"/>
        <v>4.5296403212951928</v>
      </c>
      <c r="AK26" s="160">
        <f t="shared" ref="AK26:AK34" si="12">+AG26/$F26*100</f>
        <v>19.233553894053699</v>
      </c>
      <c r="AL26" s="183">
        <f t="shared" si="6"/>
        <v>1.1678000000000002</v>
      </c>
      <c r="AM26" s="183">
        <f t="shared" si="6"/>
        <v>8.5899999999999987E-3</v>
      </c>
      <c r="AN26" s="160">
        <f t="shared" si="6"/>
        <v>19.233553894053699</v>
      </c>
      <c r="AO26" s="72"/>
      <c r="AP26" s="72"/>
      <c r="AQ26" s="72"/>
      <c r="AR26" s="72"/>
      <c r="AS26" s="72"/>
      <c r="AT26" s="72"/>
      <c r="AU26" s="72"/>
      <c r="AV26" s="72"/>
      <c r="AW26" s="72"/>
      <c r="AX26" s="72"/>
      <c r="AY26" s="72"/>
      <c r="AZ26" s="72"/>
      <c r="BA26" s="72"/>
      <c r="BB26" s="72"/>
    </row>
    <row r="27" spans="2:58">
      <c r="B27" s="165" t="s">
        <v>9</v>
      </c>
      <c r="C27" s="74" t="s">
        <v>253</v>
      </c>
      <c r="D27" s="166" t="s">
        <v>256</v>
      </c>
      <c r="E27" s="398">
        <v>7727</v>
      </c>
      <c r="F27" s="399">
        <v>23.976918345710057</v>
      </c>
      <c r="G27" s="169">
        <v>19.324230418349508</v>
      </c>
      <c r="H27" s="169">
        <v>4.6526879273605486</v>
      </c>
      <c r="I27" s="169"/>
      <c r="J27" s="171"/>
      <c r="K27" s="171"/>
      <c r="L27" s="171"/>
      <c r="M27" s="173"/>
      <c r="N27" s="173"/>
      <c r="O27" s="184"/>
      <c r="P27" s="174">
        <v>0</v>
      </c>
      <c r="Q27" s="175">
        <v>0</v>
      </c>
      <c r="R27" s="175">
        <v>0</v>
      </c>
      <c r="S27" s="176"/>
      <c r="T27" s="176"/>
      <c r="U27" s="176"/>
      <c r="V27" s="177">
        <f t="shared" si="2"/>
        <v>0</v>
      </c>
      <c r="W27" s="179"/>
      <c r="X27" s="179"/>
      <c r="Y27" s="179"/>
      <c r="Z27" s="177">
        <f>SUM(W27:Y27)</f>
        <v>0</v>
      </c>
      <c r="AA27" s="180">
        <f>+V27+Z27+P27</f>
        <v>0</v>
      </c>
      <c r="AB27" s="181">
        <f t="shared" ref="AB27:AB30" si="13">$H$2*F27</f>
        <v>2.5604007392653014</v>
      </c>
      <c r="AC27" s="181">
        <f t="shared" si="8"/>
        <v>1.086068161191307</v>
      </c>
      <c r="AD27" s="181">
        <f t="shared" si="4"/>
        <v>0.13738774212091862</v>
      </c>
      <c r="AE27" s="181">
        <f t="shared" si="9"/>
        <v>0.28000245244120209</v>
      </c>
      <c r="AF27" s="182">
        <f t="shared" si="10"/>
        <v>2.0596172858964937E-3</v>
      </c>
      <c r="AG27" s="162">
        <f t="shared" si="11"/>
        <v>4.0659187123046259</v>
      </c>
      <c r="AH27" s="183">
        <f t="shared" si="5"/>
        <v>0</v>
      </c>
      <c r="AI27" s="183">
        <f t="shared" si="5"/>
        <v>10.678606409498856</v>
      </c>
      <c r="AJ27" s="183">
        <f t="shared" si="5"/>
        <v>4.5296403212951928</v>
      </c>
      <c r="AK27" s="160">
        <f t="shared" si="12"/>
        <v>16.95763673079405</v>
      </c>
      <c r="AL27" s="185">
        <f t="shared" si="6"/>
        <v>1.1678000000000002</v>
      </c>
      <c r="AM27" s="185">
        <f t="shared" si="6"/>
        <v>8.5899999999999987E-3</v>
      </c>
      <c r="AN27" s="186">
        <f t="shared" si="6"/>
        <v>16.95763673079405</v>
      </c>
      <c r="AO27" s="160"/>
      <c r="AP27" s="72"/>
      <c r="AQ27" s="72"/>
      <c r="AR27" s="72"/>
      <c r="AS27" s="72"/>
      <c r="AT27" s="72"/>
      <c r="AU27" s="72"/>
      <c r="AV27" s="72"/>
      <c r="AW27" s="72"/>
      <c r="AX27" s="72"/>
      <c r="AY27" s="72"/>
      <c r="AZ27" s="72"/>
      <c r="BA27" s="72"/>
      <c r="BB27" s="72"/>
    </row>
    <row r="28" spans="2:58">
      <c r="B28" s="165" t="s">
        <v>9</v>
      </c>
      <c r="C28" s="74" t="s">
        <v>253</v>
      </c>
      <c r="D28" s="166" t="s">
        <v>257</v>
      </c>
      <c r="E28" s="398">
        <v>35186</v>
      </c>
      <c r="F28" s="399">
        <v>193.19026390301133</v>
      </c>
      <c r="G28" s="169">
        <v>113.12354075028844</v>
      </c>
      <c r="H28" s="169">
        <v>80.066723152722886</v>
      </c>
      <c r="I28" s="169"/>
      <c r="J28" s="171"/>
      <c r="K28" s="171"/>
      <c r="L28" s="171"/>
      <c r="M28" s="173"/>
      <c r="N28" s="173"/>
      <c r="O28" s="184"/>
      <c r="P28" s="174">
        <v>0</v>
      </c>
      <c r="Q28" s="175">
        <v>0</v>
      </c>
      <c r="R28" s="175">
        <v>0</v>
      </c>
      <c r="S28" s="176"/>
      <c r="T28" s="176"/>
      <c r="U28" s="176"/>
      <c r="V28" s="177">
        <f t="shared" si="2"/>
        <v>0</v>
      </c>
      <c r="W28" s="179"/>
      <c r="X28" s="179"/>
      <c r="Y28" s="179"/>
      <c r="Z28" s="177">
        <f t="shared" si="3"/>
        <v>0</v>
      </c>
      <c r="AA28" s="180">
        <f t="shared" si="7"/>
        <v>0</v>
      </c>
      <c r="AB28" s="181">
        <f t="shared" si="13"/>
        <v>20.630027903674723</v>
      </c>
      <c r="AC28" s="181">
        <f t="shared" si="8"/>
        <v>8.7508240905673933</v>
      </c>
      <c r="AD28" s="181">
        <f t="shared" si="4"/>
        <v>1.1069802121642549</v>
      </c>
      <c r="AE28" s="181">
        <f t="shared" si="9"/>
        <v>2.2560759018593664</v>
      </c>
      <c r="AF28" s="182">
        <f t="shared" si="10"/>
        <v>1.6595043669268672E-2</v>
      </c>
      <c r="AG28" s="162">
        <f t="shared" si="11"/>
        <v>32.760503151935005</v>
      </c>
      <c r="AH28" s="183">
        <f t="shared" si="5"/>
        <v>0</v>
      </c>
      <c r="AI28" s="183">
        <f t="shared" si="5"/>
        <v>10.678606409498856</v>
      </c>
      <c r="AJ28" s="183">
        <f t="shared" si="5"/>
        <v>4.5296403212951928</v>
      </c>
      <c r="AK28" s="160">
        <f t="shared" si="12"/>
        <v>16.95763673079405</v>
      </c>
      <c r="AL28" s="185">
        <f t="shared" si="6"/>
        <v>1.1678000000000002</v>
      </c>
      <c r="AM28" s="185">
        <f t="shared" si="6"/>
        <v>8.5900000000000004E-3</v>
      </c>
      <c r="AN28" s="186">
        <f t="shared" si="6"/>
        <v>16.95763673079405</v>
      </c>
      <c r="AO28" s="160"/>
      <c r="AP28" s="72"/>
      <c r="AQ28" s="72"/>
      <c r="AR28" s="72"/>
      <c r="AS28" s="72"/>
      <c r="AT28" s="72"/>
      <c r="AU28" s="72"/>
      <c r="AV28" s="72"/>
      <c r="AW28" s="72"/>
      <c r="AX28" s="72"/>
      <c r="AY28" s="72"/>
      <c r="AZ28" s="72"/>
      <c r="BA28" s="72"/>
      <c r="BB28" s="72"/>
    </row>
    <row r="29" spans="2:58">
      <c r="B29" s="165" t="s">
        <v>9</v>
      </c>
      <c r="C29" s="74" t="s">
        <v>253</v>
      </c>
      <c r="D29" s="166" t="s">
        <v>258</v>
      </c>
      <c r="E29" s="398">
        <v>3779</v>
      </c>
      <c r="F29" s="399">
        <v>30.927124268636639</v>
      </c>
      <c r="G29" s="169">
        <v>13.563541004697313</v>
      </c>
      <c r="H29" s="169">
        <v>17.363583263939326</v>
      </c>
      <c r="I29" s="169"/>
      <c r="J29" s="171"/>
      <c r="K29" s="171"/>
      <c r="L29" s="171"/>
      <c r="M29" s="173"/>
      <c r="N29" s="173"/>
      <c r="O29" s="184"/>
      <c r="P29" s="174">
        <v>0</v>
      </c>
      <c r="Q29" s="175">
        <v>0</v>
      </c>
      <c r="R29" s="175">
        <v>0</v>
      </c>
      <c r="S29" s="176"/>
      <c r="T29" s="176"/>
      <c r="U29" s="176"/>
      <c r="V29" s="177">
        <f t="shared" si="2"/>
        <v>0</v>
      </c>
      <c r="W29" s="179"/>
      <c r="X29" s="179"/>
      <c r="Y29" s="179"/>
      <c r="Z29" s="177">
        <f t="shared" si="3"/>
        <v>0</v>
      </c>
      <c r="AA29" s="180">
        <f t="shared" si="7"/>
        <v>0</v>
      </c>
      <c r="AB29" s="181">
        <f t="shared" si="13"/>
        <v>3.3025858744243082</v>
      </c>
      <c r="AC29" s="181">
        <f t="shared" si="8"/>
        <v>1.4008874910892362</v>
      </c>
      <c r="AD29" s="181">
        <f t="shared" si="4"/>
        <v>0.17721242205928794</v>
      </c>
      <c r="AE29" s="181">
        <f t="shared" si="9"/>
        <v>0.36116695720913872</v>
      </c>
      <c r="AF29" s="182">
        <f t="shared" si="10"/>
        <v>2.656639974675887E-3</v>
      </c>
      <c r="AG29" s="162">
        <f t="shared" si="11"/>
        <v>5.2445093847566469</v>
      </c>
      <c r="AH29" s="183">
        <f t="shared" si="5"/>
        <v>0</v>
      </c>
      <c r="AI29" s="183">
        <f t="shared" si="5"/>
        <v>10.678606409498856</v>
      </c>
      <c r="AJ29" s="183">
        <f t="shared" si="5"/>
        <v>4.5296403212951928</v>
      </c>
      <c r="AK29" s="160">
        <f t="shared" si="12"/>
        <v>16.95763673079405</v>
      </c>
      <c r="AL29" s="185">
        <f t="shared" si="6"/>
        <v>1.1678000000000002</v>
      </c>
      <c r="AM29" s="185">
        <f t="shared" si="6"/>
        <v>8.5899999999999987E-3</v>
      </c>
      <c r="AN29" s="186">
        <f t="shared" si="6"/>
        <v>16.95763673079405</v>
      </c>
      <c r="AO29" s="160"/>
      <c r="AP29" s="72"/>
      <c r="AQ29" s="72"/>
      <c r="AR29" s="72"/>
      <c r="AS29" s="72"/>
      <c r="AT29" s="72"/>
      <c r="AU29" s="72"/>
      <c r="AV29" s="72"/>
      <c r="AW29" s="72"/>
      <c r="AX29" s="72"/>
      <c r="AY29" s="72"/>
      <c r="AZ29" s="72"/>
      <c r="BA29" s="72"/>
      <c r="BB29" s="72"/>
    </row>
    <row r="30" spans="2:58">
      <c r="B30" s="165" t="s">
        <v>6</v>
      </c>
      <c r="C30" s="74" t="s">
        <v>253</v>
      </c>
      <c r="D30" s="166" t="s">
        <v>259</v>
      </c>
      <c r="E30" s="398">
        <v>100209</v>
      </c>
      <c r="F30" s="399">
        <v>191.11629074817762</v>
      </c>
      <c r="G30" s="169">
        <v>191.03117158540968</v>
      </c>
      <c r="H30" s="169">
        <v>8.5119162767937226E-2</v>
      </c>
      <c r="I30" s="169"/>
      <c r="J30" s="171"/>
      <c r="K30" s="171"/>
      <c r="L30" s="171"/>
      <c r="M30" s="173"/>
      <c r="N30" s="173"/>
      <c r="O30" s="184"/>
      <c r="P30" s="174">
        <v>2.811744</v>
      </c>
      <c r="Q30" s="175">
        <v>4.7870878537264767</v>
      </c>
      <c r="R30" s="175">
        <v>0</v>
      </c>
      <c r="S30" s="176"/>
      <c r="T30" s="176"/>
      <c r="U30" s="176"/>
      <c r="V30" s="177">
        <f t="shared" si="2"/>
        <v>4.7870878537264767</v>
      </c>
      <c r="W30" s="179"/>
      <c r="X30" s="179"/>
      <c r="Y30" s="179"/>
      <c r="Z30" s="177">
        <f t="shared" si="3"/>
        <v>0</v>
      </c>
      <c r="AA30" s="180">
        <f t="shared" si="7"/>
        <v>7.5988318537264767</v>
      </c>
      <c r="AB30" s="181">
        <f t="shared" si="13"/>
        <v>20.408556473431364</v>
      </c>
      <c r="AC30" s="181">
        <f t="shared" si="8"/>
        <v>8.6568805662932071</v>
      </c>
      <c r="AD30" s="181">
        <f t="shared" si="4"/>
        <v>1.0950963459870577</v>
      </c>
      <c r="AE30" s="181">
        <f t="shared" si="9"/>
        <v>2.2318560433572183</v>
      </c>
      <c r="AF30" s="182">
        <f t="shared" si="10"/>
        <v>1.6416889375268456E-2</v>
      </c>
      <c r="AG30" s="162">
        <f t="shared" si="11"/>
        <v>40.007638172170594</v>
      </c>
      <c r="AH30" s="183">
        <f t="shared" si="5"/>
        <v>3.976025185492428</v>
      </c>
      <c r="AI30" s="183">
        <f t="shared" si="5"/>
        <v>10.678606409498856</v>
      </c>
      <c r="AJ30" s="183">
        <f t="shared" si="5"/>
        <v>4.5296403212951928</v>
      </c>
      <c r="AK30" s="160">
        <f t="shared" si="12"/>
        <v>20.933661916286479</v>
      </c>
      <c r="AL30" s="183">
        <f t="shared" si="6"/>
        <v>1.1678000000000002</v>
      </c>
      <c r="AM30" s="183">
        <f t="shared" si="6"/>
        <v>8.5899999999999987E-3</v>
      </c>
      <c r="AN30" s="160">
        <f t="shared" si="6"/>
        <v>20.933661916286479</v>
      </c>
      <c r="AO30" s="72"/>
      <c r="AP30" s="72"/>
      <c r="AQ30" s="72"/>
      <c r="AR30" s="72"/>
      <c r="AS30" s="72"/>
      <c r="AT30" s="72"/>
      <c r="AU30" s="72"/>
      <c r="AV30" s="72"/>
      <c r="AW30" s="72"/>
      <c r="AX30" s="72"/>
      <c r="AY30" s="72"/>
      <c r="AZ30" s="72"/>
      <c r="BA30" s="72"/>
      <c r="BB30" s="72"/>
    </row>
    <row r="31" spans="2:58">
      <c r="B31" s="165" t="s">
        <v>6</v>
      </c>
      <c r="C31" s="74" t="s">
        <v>253</v>
      </c>
      <c r="D31" s="166" t="s">
        <v>260</v>
      </c>
      <c r="E31" s="398">
        <v>37699</v>
      </c>
      <c r="F31" s="399">
        <v>239.76994467492611</v>
      </c>
      <c r="G31" s="169">
        <v>147.82142074048551</v>
      </c>
      <c r="H31" s="169">
        <v>91.948523934440615</v>
      </c>
      <c r="I31" s="169"/>
      <c r="J31" s="171"/>
      <c r="K31" s="171"/>
      <c r="L31" s="171"/>
      <c r="M31" s="173"/>
      <c r="N31" s="173"/>
      <c r="O31" s="184"/>
      <c r="P31" s="174">
        <v>0.94336799999999998</v>
      </c>
      <c r="Q31" s="175">
        <v>4.1175654779999995</v>
      </c>
      <c r="R31" s="175">
        <v>3.0844765054257359</v>
      </c>
      <c r="S31" s="176"/>
      <c r="T31" s="176"/>
      <c r="U31" s="176"/>
      <c r="V31" s="177">
        <f t="shared" si="2"/>
        <v>7.202041983425735</v>
      </c>
      <c r="W31" s="179"/>
      <c r="X31" s="179"/>
      <c r="Y31" s="179"/>
      <c r="Z31" s="177">
        <f>SUM(W31:Y31)</f>
        <v>0</v>
      </c>
      <c r="AA31" s="180">
        <f>+V31+Z31+P31</f>
        <v>8.1454099834257345</v>
      </c>
      <c r="AB31" s="181">
        <f>$H$2*F31</f>
        <v>25.604088680108521</v>
      </c>
      <c r="AC31" s="181">
        <f t="shared" si="8"/>
        <v>10.860716092342628</v>
      </c>
      <c r="AD31" s="181">
        <f t="shared" si="4"/>
        <v>1.3738817829873267</v>
      </c>
      <c r="AE31" s="181">
        <f t="shared" si="9"/>
        <v>2.8000334139137872</v>
      </c>
      <c r="AF31" s="182">
        <f t="shared" si="10"/>
        <v>2.059623824757615E-2</v>
      </c>
      <c r="AG31" s="162">
        <f t="shared" si="11"/>
        <v>48.804726191025573</v>
      </c>
      <c r="AH31" s="183">
        <f t="shared" si="5"/>
        <v>3.3971772377347254</v>
      </c>
      <c r="AI31" s="183">
        <f t="shared" si="5"/>
        <v>10.678606409498856</v>
      </c>
      <c r="AJ31" s="183">
        <f t="shared" si="5"/>
        <v>4.5296403212951928</v>
      </c>
      <c r="AK31" s="160">
        <f t="shared" si="12"/>
        <v>20.354813968528774</v>
      </c>
      <c r="AL31" s="183">
        <f t="shared" si="6"/>
        <v>1.1678000000000002</v>
      </c>
      <c r="AM31" s="183">
        <f t="shared" si="6"/>
        <v>8.5899999999999987E-3</v>
      </c>
      <c r="AN31" s="160">
        <f t="shared" si="6"/>
        <v>20.354813968528774</v>
      </c>
      <c r="AO31" s="72"/>
      <c r="AP31" s="72"/>
      <c r="AQ31" s="72"/>
      <c r="AR31" s="72"/>
      <c r="AS31" s="72"/>
      <c r="AT31" s="72"/>
      <c r="AU31" s="72"/>
      <c r="AV31" s="72"/>
      <c r="AW31" s="72"/>
      <c r="AX31" s="72"/>
      <c r="AY31" s="72"/>
      <c r="AZ31" s="72"/>
      <c r="BA31" s="72"/>
      <c r="BB31" s="72"/>
    </row>
    <row r="32" spans="2:58">
      <c r="B32" s="165" t="s">
        <v>3</v>
      </c>
      <c r="C32" s="74" t="s">
        <v>253</v>
      </c>
      <c r="D32" s="166" t="s">
        <v>261</v>
      </c>
      <c r="E32" s="398">
        <v>236405</v>
      </c>
      <c r="F32" s="399">
        <v>743.08839647837647</v>
      </c>
      <c r="G32" s="169">
        <v>569.30210425893802</v>
      </c>
      <c r="H32" s="169">
        <v>173.78629221943845</v>
      </c>
      <c r="I32" s="169">
        <f>SUM(F32:F33)/12</f>
        <v>431.25387754434615</v>
      </c>
      <c r="J32" s="171"/>
      <c r="K32" s="171"/>
      <c r="L32" s="171"/>
      <c r="M32" s="173"/>
      <c r="N32" s="173"/>
      <c r="O32" s="184"/>
      <c r="P32" s="174">
        <v>10.54344</v>
      </c>
      <c r="Q32" s="175">
        <v>15.43510654798931</v>
      </c>
      <c r="R32" s="175">
        <v>0</v>
      </c>
      <c r="S32" s="176"/>
      <c r="T32" s="176"/>
      <c r="U32" s="176"/>
      <c r="V32" s="177">
        <f t="shared" si="2"/>
        <v>15.43510654798931</v>
      </c>
      <c r="W32" s="179"/>
      <c r="X32" s="179"/>
      <c r="Y32" s="179"/>
      <c r="Z32" s="177">
        <f t="shared" si="3"/>
        <v>0</v>
      </c>
      <c r="AA32" s="180">
        <f t="shared" si="7"/>
        <v>25.978546547989311</v>
      </c>
      <c r="AB32" s="181">
        <f t="shared" ref="AB32:AB33" si="14">$H$2*F32</f>
        <v>79.351485134582177</v>
      </c>
      <c r="AC32" s="181">
        <f t="shared" si="8"/>
        <v>33.65923162975043</v>
      </c>
      <c r="AD32" s="181">
        <f t="shared" si="4"/>
        <v>4.2578965118210972</v>
      </c>
      <c r="AE32" s="181">
        <f t="shared" si="9"/>
        <v>8.6777862940744814</v>
      </c>
      <c r="AF32" s="182">
        <f t="shared" si="10"/>
        <v>6.3831293257492525E-2</v>
      </c>
      <c r="AG32" s="162">
        <f t="shared" si="11"/>
        <v>151.98877741147498</v>
      </c>
      <c r="AH32" s="183">
        <f t="shared" si="5"/>
        <v>3.4960237128053815</v>
      </c>
      <c r="AI32" s="183">
        <f t="shared" si="5"/>
        <v>10.678606409498856</v>
      </c>
      <c r="AJ32" s="183">
        <f t="shared" si="5"/>
        <v>4.5296403212951937</v>
      </c>
      <c r="AK32" s="160">
        <f t="shared" si="12"/>
        <v>20.453660443599432</v>
      </c>
      <c r="AL32" s="183">
        <f t="shared" si="6"/>
        <v>1.1678000000000002</v>
      </c>
      <c r="AM32" s="183">
        <f t="shared" si="6"/>
        <v>8.5899999999999987E-3</v>
      </c>
      <c r="AN32" s="160">
        <f t="shared" si="6"/>
        <v>20.453660443599432</v>
      </c>
      <c r="AO32" s="72"/>
      <c r="AP32" s="72"/>
      <c r="AQ32" s="72"/>
      <c r="AR32" s="72"/>
      <c r="AS32" s="72"/>
      <c r="AT32" s="72"/>
      <c r="AU32" s="72"/>
      <c r="AV32" s="72"/>
      <c r="AW32" s="72"/>
      <c r="AX32" s="72"/>
      <c r="AY32" s="72"/>
      <c r="AZ32" s="72"/>
      <c r="BA32" s="72"/>
      <c r="BB32" s="72"/>
    </row>
    <row r="33" spans="2:54">
      <c r="B33" s="165" t="s">
        <v>3</v>
      </c>
      <c r="C33" s="74" t="s">
        <v>253</v>
      </c>
      <c r="D33" s="166" t="s">
        <v>262</v>
      </c>
      <c r="E33" s="398">
        <v>965702</v>
      </c>
      <c r="F33" s="399">
        <v>4431.9581340537779</v>
      </c>
      <c r="G33" s="169">
        <v>2711.851697555207</v>
      </c>
      <c r="H33" s="169">
        <v>1720.1064364985709</v>
      </c>
      <c r="I33" s="169"/>
      <c r="J33" s="171"/>
      <c r="K33" s="171"/>
      <c r="L33" s="171"/>
      <c r="M33" s="173"/>
      <c r="N33" s="173"/>
      <c r="O33" s="184"/>
      <c r="P33" s="174">
        <v>45.672528</v>
      </c>
      <c r="Q33" s="175">
        <v>228.33364175780886</v>
      </c>
      <c r="R33" s="175">
        <v>0</v>
      </c>
      <c r="S33" s="176"/>
      <c r="T33" s="176"/>
      <c r="U33" s="179"/>
      <c r="V33" s="177">
        <f t="shared" si="2"/>
        <v>228.33364175780886</v>
      </c>
      <c r="W33" s="179"/>
      <c r="X33" s="179"/>
      <c r="Y33" s="179"/>
      <c r="Z33" s="177">
        <f t="shared" si="3"/>
        <v>0</v>
      </c>
      <c r="AA33" s="180">
        <f t="shared" si="7"/>
        <v>274.00616975780883</v>
      </c>
      <c r="AB33" s="181">
        <f t="shared" si="14"/>
        <v>473.27136536937263</v>
      </c>
      <c r="AC33" s="181">
        <f t="shared" si="8"/>
        <v>200.75176266302196</v>
      </c>
      <c r="AD33" s="181">
        <f t="shared" si="4"/>
        <v>25.395120108128147</v>
      </c>
      <c r="AE33" s="181">
        <f t="shared" si="9"/>
        <v>51.756407089480021</v>
      </c>
      <c r="AF33" s="182">
        <f t="shared" si="10"/>
        <v>0.38070520371521949</v>
      </c>
      <c r="AG33" s="162">
        <f t="shared" si="11"/>
        <v>1025.5615301915268</v>
      </c>
      <c r="AH33" s="183">
        <f t="shared" si="5"/>
        <v>6.1825080803997503</v>
      </c>
      <c r="AI33" s="183">
        <f t="shared" si="5"/>
        <v>10.678606409498856</v>
      </c>
      <c r="AJ33" s="183">
        <f t="shared" si="5"/>
        <v>4.5296403212951928</v>
      </c>
      <c r="AK33" s="160">
        <f t="shared" si="12"/>
        <v>23.1401448111938</v>
      </c>
      <c r="AL33" s="183">
        <f t="shared" si="6"/>
        <v>1.1678000000000002</v>
      </c>
      <c r="AM33" s="183">
        <f t="shared" si="6"/>
        <v>8.5899999999999987E-3</v>
      </c>
      <c r="AN33" s="160">
        <f t="shared" si="6"/>
        <v>23.1401448111938</v>
      </c>
      <c r="AO33" s="72"/>
      <c r="AP33" s="72"/>
      <c r="AQ33" s="72"/>
      <c r="AR33" s="72"/>
      <c r="AS33" s="72"/>
      <c r="AT33" s="72"/>
      <c r="AU33" s="72"/>
      <c r="AV33" s="72"/>
      <c r="AW33" s="72"/>
      <c r="AX33" s="72"/>
      <c r="AY33" s="72"/>
      <c r="AZ33" s="72"/>
      <c r="BA33" s="72"/>
      <c r="BB33" s="72"/>
    </row>
    <row r="34" spans="2:54">
      <c r="B34" s="165"/>
      <c r="C34" s="187"/>
      <c r="D34" s="187" t="s">
        <v>222</v>
      </c>
      <c r="E34" s="188">
        <f>SUM(E25:E33)</f>
        <v>1391098</v>
      </c>
      <c r="F34" s="189">
        <f>SUM(F24:F33)</f>
        <v>5869.527387837622</v>
      </c>
      <c r="G34" s="190">
        <f>SUM(G25:G33)</f>
        <v>3777.1097359243672</v>
      </c>
      <c r="H34" s="190">
        <f>SUM(H25:H33)</f>
        <v>2092.4176519132548</v>
      </c>
      <c r="I34" s="190"/>
      <c r="J34" s="191"/>
      <c r="K34" s="191"/>
      <c r="L34" s="191"/>
      <c r="M34" s="192"/>
      <c r="N34" s="192"/>
      <c r="O34" s="193"/>
      <c r="P34" s="194">
        <f t="shared" ref="P34:AG34" si="15">SUM(P25:P33)</f>
        <v>60.095135999999997</v>
      </c>
      <c r="Q34" s="195">
        <f t="shared" si="15"/>
        <v>252.77450633501519</v>
      </c>
      <c r="R34" s="195">
        <f t="shared" si="15"/>
        <v>3.2102217489618941</v>
      </c>
      <c r="S34" s="195">
        <f t="shared" si="15"/>
        <v>0</v>
      </c>
      <c r="T34" s="195">
        <f t="shared" si="15"/>
        <v>0</v>
      </c>
      <c r="U34" s="195">
        <f t="shared" si="15"/>
        <v>0</v>
      </c>
      <c r="V34" s="196">
        <f t="shared" si="15"/>
        <v>255.9847280839771</v>
      </c>
      <c r="W34" s="195">
        <f t="shared" si="15"/>
        <v>0</v>
      </c>
      <c r="X34" s="195">
        <f t="shared" si="15"/>
        <v>0</v>
      </c>
      <c r="Y34" s="195">
        <f t="shared" si="15"/>
        <v>0</v>
      </c>
      <c r="Z34" s="196">
        <f t="shared" si="15"/>
        <v>0</v>
      </c>
      <c r="AA34" s="197">
        <f t="shared" si="15"/>
        <v>316.0798640839771</v>
      </c>
      <c r="AB34" s="198">
        <f t="shared" si="15"/>
        <v>626.7837278449191</v>
      </c>
      <c r="AC34" s="198">
        <f t="shared" si="15"/>
        <v>265.86847922895737</v>
      </c>
      <c r="AD34" s="198">
        <f t="shared" si="15"/>
        <v>33.632391932309574</v>
      </c>
      <c r="AE34" s="198">
        <f t="shared" si="15"/>
        <v>68.544340835167759</v>
      </c>
      <c r="AF34" s="199">
        <f t="shared" si="15"/>
        <v>0.50419240261525167</v>
      </c>
      <c r="AG34" s="200">
        <f t="shared" si="15"/>
        <v>1311.4129963279461</v>
      </c>
      <c r="AH34" s="201">
        <f t="shared" si="5"/>
        <v>5.3850990582126457</v>
      </c>
      <c r="AI34" s="201">
        <f t="shared" si="5"/>
        <v>10.678606409498856</v>
      </c>
      <c r="AJ34" s="201">
        <f t="shared" si="5"/>
        <v>4.5296403212951928</v>
      </c>
      <c r="AK34" s="202">
        <f t="shared" si="12"/>
        <v>22.342735789006692</v>
      </c>
      <c r="AL34" s="201">
        <f t="shared" si="6"/>
        <v>1.1678000000000002</v>
      </c>
      <c r="AM34" s="201">
        <f t="shared" si="6"/>
        <v>8.5899999999999987E-3</v>
      </c>
      <c r="AN34" s="202">
        <f t="shared" si="6"/>
        <v>22.342735789006692</v>
      </c>
      <c r="AO34" s="72"/>
      <c r="AP34" s="203"/>
      <c r="AQ34" s="72"/>
      <c r="AR34" s="72"/>
      <c r="AS34" s="72"/>
      <c r="AT34" s="72"/>
      <c r="AU34" s="72"/>
      <c r="AV34" s="72"/>
      <c r="AW34" s="72"/>
      <c r="AX34" s="72"/>
      <c r="AY34" s="72"/>
      <c r="AZ34" s="72"/>
      <c r="BA34" s="72"/>
      <c r="BB34" s="72"/>
    </row>
    <row r="35" spans="2:54" ht="21" customHeight="1">
      <c r="C35" s="155" t="s">
        <v>263</v>
      </c>
      <c r="D35" s="72"/>
      <c r="E35" s="204"/>
      <c r="F35" s="205"/>
      <c r="G35" s="169"/>
      <c r="H35" s="169"/>
      <c r="I35" s="169"/>
      <c r="J35" s="206"/>
      <c r="K35" s="206"/>
      <c r="L35" s="206"/>
      <c r="M35" s="207"/>
      <c r="N35" s="207"/>
      <c r="O35" s="207"/>
      <c r="P35" s="208"/>
      <c r="Q35" s="176"/>
      <c r="R35" s="176"/>
      <c r="S35" s="176"/>
      <c r="T35" s="176"/>
      <c r="U35" s="176"/>
      <c r="V35" s="209"/>
      <c r="W35" s="210"/>
      <c r="X35" s="210"/>
      <c r="Y35" s="210"/>
      <c r="Z35" s="211"/>
      <c r="AA35" s="176"/>
      <c r="AB35" s="73"/>
      <c r="AC35" s="73"/>
      <c r="AD35" s="73"/>
      <c r="AE35" s="73"/>
      <c r="AF35" s="182"/>
      <c r="AG35" s="162"/>
      <c r="AH35" s="183"/>
      <c r="AI35" s="212"/>
      <c r="AJ35" s="183"/>
      <c r="AK35" s="160"/>
      <c r="AL35" s="183"/>
      <c r="AM35" s="183"/>
      <c r="AN35" s="160"/>
      <c r="AO35" s="72"/>
      <c r="AP35" s="72"/>
      <c r="AQ35" s="72"/>
      <c r="AR35" s="72"/>
      <c r="AS35" s="72"/>
      <c r="AT35" s="72"/>
      <c r="AU35" s="72"/>
      <c r="AV35" s="72"/>
      <c r="AW35" s="72"/>
      <c r="AX35" s="72"/>
      <c r="AY35" s="72"/>
      <c r="AZ35" s="72"/>
      <c r="BA35" s="72"/>
      <c r="BB35" s="72"/>
    </row>
    <row r="36" spans="2:54">
      <c r="B36" s="165" t="s">
        <v>141</v>
      </c>
      <c r="C36" s="74" t="s">
        <v>253</v>
      </c>
      <c r="D36" s="213" t="s">
        <v>141</v>
      </c>
      <c r="E36" s="398">
        <v>1</v>
      </c>
      <c r="F36" s="214">
        <v>1.8000000000000001E-4</v>
      </c>
      <c r="G36" s="169"/>
      <c r="H36" s="169"/>
      <c r="I36" s="169"/>
      <c r="J36" s="206"/>
      <c r="K36" s="400">
        <v>12</v>
      </c>
      <c r="L36" s="215"/>
      <c r="M36" s="207"/>
      <c r="N36" s="207"/>
      <c r="O36" s="207"/>
      <c r="P36" s="208"/>
      <c r="Q36" s="176"/>
      <c r="R36" s="176"/>
      <c r="S36" s="176"/>
      <c r="T36" s="176"/>
      <c r="U36" s="216">
        <v>1.8119999999999999E-5</v>
      </c>
      <c r="V36" s="177">
        <f>SUM(Q36:U36)</f>
        <v>1.8119999999999999E-5</v>
      </c>
      <c r="W36" s="210"/>
      <c r="X36" s="210"/>
      <c r="Y36" s="210"/>
      <c r="Z36" s="217">
        <f t="shared" ref="Z36" si="16">SUM(W36:Y36)</f>
        <v>0</v>
      </c>
      <c r="AA36" s="180">
        <f t="shared" ref="AA36" si="17">+V36+Z36+P36</f>
        <v>1.8119999999999999E-5</v>
      </c>
      <c r="AB36" s="73">
        <f t="shared" ref="AB36:AB44" si="18">$H$2*F36</f>
        <v>1.9221491537097941E-5</v>
      </c>
      <c r="AC36" s="73">
        <f t="shared" ref="AC36:AC44" si="19">+$H$3*F36</f>
        <v>8.1533525783313477E-6</v>
      </c>
      <c r="AD36" s="73">
        <f t="shared" ref="AD36:AD44" si="20">+$H$4*F36</f>
        <v>1.0314E-6</v>
      </c>
      <c r="AE36" s="73">
        <f t="shared" ref="AE36:AE44" si="21">+$H$5*F36</f>
        <v>2.1020400000000002E-6</v>
      </c>
      <c r="AF36" s="182">
        <f t="shared" ref="AF36:AF44" si="22">+$H$6*F36</f>
        <v>1.5462E-8</v>
      </c>
      <c r="AG36" s="162">
        <f t="shared" ref="AG36:AG44" si="23">+AF36+AD36+AC36+AB36+AA36+AE36</f>
        <v>4.8643746115429282E-5</v>
      </c>
      <c r="AH36" s="183">
        <f t="shared" ref="AH36:AJ45" si="24">+AA36/$F36*100</f>
        <v>10.066666666666665</v>
      </c>
      <c r="AI36" s="183">
        <f t="shared" si="24"/>
        <v>10.678606409498856</v>
      </c>
      <c r="AJ36" s="183">
        <f t="shared" si="24"/>
        <v>4.5296403212951928</v>
      </c>
      <c r="AK36" s="160">
        <f t="shared" ref="AK36:AK45" si="25">+AG36/$F36*100</f>
        <v>27.024303397460709</v>
      </c>
      <c r="AL36" s="183">
        <f t="shared" ref="AL36:AN45" si="26">+AE36/$F36*100</f>
        <v>1.1678000000000002</v>
      </c>
      <c r="AM36" s="183">
        <f t="shared" si="26"/>
        <v>8.5899999999999987E-3</v>
      </c>
      <c r="AN36" s="160">
        <f t="shared" si="26"/>
        <v>27.024303397460709</v>
      </c>
      <c r="AO36" s="72"/>
      <c r="AP36" s="72"/>
      <c r="AQ36" s="72"/>
      <c r="AR36" s="72"/>
      <c r="AS36" s="72"/>
      <c r="AT36" s="72"/>
      <c r="AU36" s="72"/>
      <c r="AV36" s="72"/>
      <c r="AW36" s="72"/>
      <c r="AX36" s="72"/>
      <c r="AY36" s="72"/>
      <c r="AZ36" s="72"/>
      <c r="BA36" s="72"/>
      <c r="BB36" s="72"/>
    </row>
    <row r="37" spans="2:54">
      <c r="B37" s="165" t="s">
        <v>21</v>
      </c>
      <c r="C37" s="74" t="s">
        <v>253</v>
      </c>
      <c r="D37" s="166" t="s">
        <v>264</v>
      </c>
      <c r="E37" s="398">
        <v>10</v>
      </c>
      <c r="F37" s="214">
        <v>4.92</v>
      </c>
      <c r="G37" s="169"/>
      <c r="H37" s="169"/>
      <c r="I37" s="169"/>
      <c r="J37" s="206"/>
      <c r="K37" s="218">
        <v>625</v>
      </c>
      <c r="L37" s="215"/>
      <c r="M37" s="207"/>
      <c r="N37" s="207"/>
      <c r="O37" s="207"/>
      <c r="P37" s="174">
        <v>5.9999999999999995E-4</v>
      </c>
      <c r="Q37" s="176"/>
      <c r="R37" s="176"/>
      <c r="S37" s="176"/>
      <c r="T37" s="176"/>
      <c r="U37" s="175">
        <v>0.41569080000000003</v>
      </c>
      <c r="V37" s="177">
        <f>SUM(Q37:U37)</f>
        <v>0.41569080000000003</v>
      </c>
      <c r="W37" s="210"/>
      <c r="X37" s="210"/>
      <c r="Y37" s="210"/>
      <c r="Z37" s="217">
        <f>SUM(W37:Y37)</f>
        <v>0</v>
      </c>
      <c r="AA37" s="180">
        <f>+V37+Z37+P37</f>
        <v>0.41629080000000002</v>
      </c>
      <c r="AB37" s="73">
        <f t="shared" si="18"/>
        <v>0.52538743534734367</v>
      </c>
      <c r="AC37" s="73">
        <f t="shared" si="19"/>
        <v>0.22285830380772348</v>
      </c>
      <c r="AD37" s="73">
        <f t="shared" si="20"/>
        <v>2.8191599999999997E-2</v>
      </c>
      <c r="AE37" s="73">
        <f t="shared" si="21"/>
        <v>5.7455760000000002E-2</v>
      </c>
      <c r="AF37" s="182">
        <f t="shared" si="22"/>
        <v>4.2262799999999993E-4</v>
      </c>
      <c r="AG37" s="162">
        <f t="shared" si="23"/>
        <v>1.2506065271550673</v>
      </c>
      <c r="AH37" s="183">
        <f t="shared" si="24"/>
        <v>8.4611951219512207</v>
      </c>
      <c r="AI37" s="183">
        <f t="shared" si="24"/>
        <v>10.678606409498856</v>
      </c>
      <c r="AJ37" s="183">
        <f t="shared" si="24"/>
        <v>4.5296403212951928</v>
      </c>
      <c r="AK37" s="160">
        <f t="shared" si="25"/>
        <v>25.418831852745271</v>
      </c>
      <c r="AL37" s="183">
        <f t="shared" si="26"/>
        <v>1.1678000000000002</v>
      </c>
      <c r="AM37" s="183">
        <f t="shared" si="26"/>
        <v>8.5899999999999987E-3</v>
      </c>
      <c r="AN37" s="160">
        <f t="shared" si="26"/>
        <v>25.418831852745271</v>
      </c>
      <c r="AO37" s="72"/>
      <c r="AP37" s="72"/>
      <c r="AQ37" s="72"/>
      <c r="AR37" s="72"/>
      <c r="AS37" s="72"/>
      <c r="AT37" s="72"/>
      <c r="AU37" s="72"/>
      <c r="AV37" s="72"/>
      <c r="AW37" s="72"/>
      <c r="AX37" s="72"/>
      <c r="AY37" s="72"/>
      <c r="AZ37" s="72"/>
      <c r="BA37" s="72"/>
      <c r="BB37" s="72"/>
    </row>
    <row r="38" spans="2:54">
      <c r="B38" s="165" t="s">
        <v>21</v>
      </c>
      <c r="C38" s="74" t="s">
        <v>253</v>
      </c>
      <c r="D38" s="166" t="s">
        <v>265</v>
      </c>
      <c r="E38" s="398">
        <v>1</v>
      </c>
      <c r="F38" s="214">
        <v>6.4235519999999999</v>
      </c>
      <c r="G38" s="169"/>
      <c r="H38" s="169"/>
      <c r="I38" s="169"/>
      <c r="J38" s="206"/>
      <c r="K38" s="218">
        <v>816</v>
      </c>
      <c r="L38" s="215"/>
      <c r="M38" s="207"/>
      <c r="N38" s="207"/>
      <c r="O38" s="207"/>
      <c r="P38" s="174">
        <v>6.0000000000000002E-5</v>
      </c>
      <c r="Q38" s="176"/>
      <c r="R38" s="176"/>
      <c r="S38" s="176"/>
      <c r="T38" s="176"/>
      <c r="U38" s="175">
        <v>0.5427259084799998</v>
      </c>
      <c r="V38" s="177">
        <f t="shared" ref="V38:V43" si="27">SUM(Q38:U38)</f>
        <v>0.5427259084799998</v>
      </c>
      <c r="W38" s="210"/>
      <c r="X38" s="210"/>
      <c r="Y38" s="210"/>
      <c r="Z38" s="217">
        <f t="shared" ref="Z38:Z44" si="28">SUM(W38:Y38)</f>
        <v>0</v>
      </c>
      <c r="AA38" s="180">
        <f t="shared" ref="AA38:AA44" si="29">+V38+Z38+P38</f>
        <v>0.54278590847999975</v>
      </c>
      <c r="AB38" s="73">
        <f t="shared" si="18"/>
        <v>0.68594583558949196</v>
      </c>
      <c r="AC38" s="73">
        <f t="shared" si="19"/>
        <v>0.29096380145136375</v>
      </c>
      <c r="AD38" s="73">
        <f t="shared" si="20"/>
        <v>3.680695296E-2</v>
      </c>
      <c r="AE38" s="73">
        <f t="shared" si="21"/>
        <v>7.5014240256000009E-2</v>
      </c>
      <c r="AF38" s="182">
        <f t="shared" si="22"/>
        <v>5.5178311679999993E-4</v>
      </c>
      <c r="AG38" s="162">
        <f t="shared" si="23"/>
        <v>1.6320685218536557</v>
      </c>
      <c r="AH38" s="183">
        <f t="shared" si="24"/>
        <v>8.4499340626494455</v>
      </c>
      <c r="AI38" s="183">
        <f t="shared" si="24"/>
        <v>10.678606409498856</v>
      </c>
      <c r="AJ38" s="183">
        <f t="shared" si="24"/>
        <v>4.5296403212951928</v>
      </c>
      <c r="AK38" s="160">
        <f t="shared" si="25"/>
        <v>25.407570793443497</v>
      </c>
      <c r="AL38" s="183">
        <f t="shared" si="26"/>
        <v>1.1678000000000002</v>
      </c>
      <c r="AM38" s="183">
        <f t="shared" si="26"/>
        <v>8.5899999999999987E-3</v>
      </c>
      <c r="AN38" s="160">
        <f t="shared" si="26"/>
        <v>25.407570793443497</v>
      </c>
      <c r="AO38" s="72"/>
      <c r="AP38" s="72"/>
      <c r="AQ38" s="72"/>
      <c r="AR38" s="72"/>
      <c r="AS38" s="72"/>
      <c r="AT38" s="72"/>
      <c r="AU38" s="72"/>
      <c r="AV38" s="72"/>
      <c r="AW38" s="72"/>
      <c r="AX38" s="72"/>
      <c r="AY38" s="72"/>
      <c r="AZ38" s="72"/>
      <c r="BA38" s="72"/>
      <c r="BB38" s="72"/>
    </row>
    <row r="39" spans="2:54">
      <c r="B39" s="165" t="s">
        <v>21</v>
      </c>
      <c r="C39" s="74" t="s">
        <v>253</v>
      </c>
      <c r="D39" s="166" t="s">
        <v>266</v>
      </c>
      <c r="E39" s="398">
        <v>37</v>
      </c>
      <c r="F39" s="214">
        <v>5.11158</v>
      </c>
      <c r="G39" s="169"/>
      <c r="H39" s="169"/>
      <c r="I39" s="169"/>
      <c r="J39" s="206"/>
      <c r="K39" s="218">
        <v>1024</v>
      </c>
      <c r="L39" s="215"/>
      <c r="M39" s="207"/>
      <c r="N39" s="207"/>
      <c r="O39" s="207"/>
      <c r="P39" s="174">
        <v>2.2200000000000002E-3</v>
      </c>
      <c r="Q39" s="176"/>
      <c r="R39" s="176"/>
      <c r="S39" s="176"/>
      <c r="T39" s="176"/>
      <c r="U39" s="175">
        <v>0.43187739419999999</v>
      </c>
      <c r="V39" s="177">
        <f t="shared" si="27"/>
        <v>0.43187739419999999</v>
      </c>
      <c r="W39" s="210"/>
      <c r="X39" s="210"/>
      <c r="Y39" s="210"/>
      <c r="Z39" s="217">
        <f t="shared" si="28"/>
        <v>0</v>
      </c>
      <c r="AA39" s="180">
        <f t="shared" si="29"/>
        <v>0.43409739419999999</v>
      </c>
      <c r="AB39" s="73">
        <f t="shared" si="18"/>
        <v>0.54584550950666166</v>
      </c>
      <c r="AC39" s="73">
        <f t="shared" si="19"/>
        <v>0.2315361887352608</v>
      </c>
      <c r="AD39" s="73">
        <f t="shared" si="20"/>
        <v>2.9289353399999999E-2</v>
      </c>
      <c r="AE39" s="73">
        <f t="shared" si="21"/>
        <v>5.9693031240000007E-2</v>
      </c>
      <c r="AF39" s="182">
        <f t="shared" si="22"/>
        <v>4.3908472199999995E-4</v>
      </c>
      <c r="AG39" s="162">
        <f t="shared" si="23"/>
        <v>1.3009005618039224</v>
      </c>
      <c r="AH39" s="183">
        <f t="shared" si="24"/>
        <v>8.4924307983050245</v>
      </c>
      <c r="AI39" s="183">
        <f t="shared" si="24"/>
        <v>10.678606409498856</v>
      </c>
      <c r="AJ39" s="183">
        <f t="shared" si="24"/>
        <v>4.5296403212951928</v>
      </c>
      <c r="AK39" s="160">
        <f t="shared" si="25"/>
        <v>25.450067529099073</v>
      </c>
      <c r="AL39" s="183">
        <f t="shared" si="26"/>
        <v>1.1678000000000002</v>
      </c>
      <c r="AM39" s="183">
        <f t="shared" si="26"/>
        <v>8.5899999999999987E-3</v>
      </c>
      <c r="AN39" s="160">
        <f t="shared" si="26"/>
        <v>25.450067529099073</v>
      </c>
      <c r="AO39" s="72"/>
      <c r="AP39" s="72"/>
      <c r="AQ39" s="72"/>
      <c r="AR39" s="72"/>
      <c r="AS39" s="72"/>
      <c r="AT39" s="72"/>
      <c r="AU39" s="72"/>
      <c r="AV39" s="72"/>
      <c r="AW39" s="72"/>
      <c r="AX39" s="72"/>
      <c r="AY39" s="72"/>
      <c r="AZ39" s="72"/>
      <c r="BA39" s="72"/>
      <c r="BB39" s="72"/>
    </row>
    <row r="40" spans="2:54">
      <c r="B40" s="165" t="s">
        <v>22</v>
      </c>
      <c r="C40" s="74" t="s">
        <v>253</v>
      </c>
      <c r="D40" s="166" t="s">
        <v>267</v>
      </c>
      <c r="E40" s="398">
        <v>693</v>
      </c>
      <c r="F40" s="214">
        <v>0.15366000000000002</v>
      </c>
      <c r="G40" s="169"/>
      <c r="H40" s="169"/>
      <c r="I40" s="169"/>
      <c r="J40" s="206"/>
      <c r="K40" s="218">
        <v>923</v>
      </c>
      <c r="L40" s="215"/>
      <c r="M40" s="207"/>
      <c r="N40" s="207"/>
      <c r="O40" s="207"/>
      <c r="P40" s="174">
        <v>1.2309599999999999E-2</v>
      </c>
      <c r="Q40" s="176"/>
      <c r="R40" s="176"/>
      <c r="S40" s="176"/>
      <c r="T40" s="176"/>
      <c r="U40" s="175">
        <v>1.2982733400000002E-2</v>
      </c>
      <c r="V40" s="177">
        <f t="shared" si="27"/>
        <v>1.2982733400000002E-2</v>
      </c>
      <c r="W40" s="210"/>
      <c r="X40" s="210"/>
      <c r="Y40" s="210"/>
      <c r="Z40" s="217">
        <f t="shared" si="28"/>
        <v>0</v>
      </c>
      <c r="AA40" s="180">
        <f t="shared" si="29"/>
        <v>2.5292333399999999E-2</v>
      </c>
      <c r="AB40" s="73">
        <f t="shared" si="18"/>
        <v>1.6408746608835945E-2</v>
      </c>
      <c r="AC40" s="73">
        <f t="shared" si="19"/>
        <v>6.9602453177021939E-3</v>
      </c>
      <c r="AD40" s="73">
        <f t="shared" si="20"/>
        <v>8.8047180000000013E-4</v>
      </c>
      <c r="AE40" s="73">
        <f t="shared" si="21"/>
        <v>1.7944414800000004E-3</v>
      </c>
      <c r="AF40" s="182">
        <f t="shared" si="22"/>
        <v>1.3199394E-5</v>
      </c>
      <c r="AG40" s="162">
        <f t="shared" si="23"/>
        <v>5.1349438000538136E-2</v>
      </c>
      <c r="AH40" s="183">
        <f t="shared" si="24"/>
        <v>16.459933229207337</v>
      </c>
      <c r="AI40" s="183">
        <f t="shared" si="24"/>
        <v>10.678606409498856</v>
      </c>
      <c r="AJ40" s="183">
        <f t="shared" si="24"/>
        <v>4.5296403212951928</v>
      </c>
      <c r="AK40" s="160">
        <f t="shared" si="25"/>
        <v>33.417569960001387</v>
      </c>
      <c r="AL40" s="183">
        <f t="shared" si="26"/>
        <v>1.1678000000000002</v>
      </c>
      <c r="AM40" s="183">
        <f t="shared" si="26"/>
        <v>8.5899999999999987E-3</v>
      </c>
      <c r="AN40" s="160">
        <f>+AG40/$F40*100</f>
        <v>33.417569960001387</v>
      </c>
      <c r="AO40" s="72"/>
      <c r="AP40" s="72"/>
      <c r="AQ40" s="72"/>
      <c r="AR40" s="72"/>
      <c r="AS40" s="72"/>
      <c r="AT40" s="72"/>
      <c r="AU40" s="72"/>
      <c r="AV40" s="72"/>
      <c r="AW40" s="72"/>
      <c r="AX40" s="72"/>
      <c r="AY40" s="72"/>
      <c r="AZ40" s="72"/>
      <c r="BA40" s="72"/>
      <c r="BB40" s="72"/>
    </row>
    <row r="41" spans="2:54">
      <c r="B41" s="165" t="s">
        <v>10</v>
      </c>
      <c r="C41" s="74" t="s">
        <v>253</v>
      </c>
      <c r="D41" s="166" t="s">
        <v>268</v>
      </c>
      <c r="E41" s="398">
        <v>113390</v>
      </c>
      <c r="F41" s="205">
        <v>2244.8052404061277</v>
      </c>
      <c r="G41" s="169"/>
      <c r="H41" s="169"/>
      <c r="I41" s="169"/>
      <c r="J41" s="206"/>
      <c r="K41" s="215"/>
      <c r="L41" s="215"/>
      <c r="M41" s="207"/>
      <c r="N41" s="207"/>
      <c r="O41" s="207"/>
      <c r="P41" s="174">
        <v>6.82944</v>
      </c>
      <c r="Q41" s="176"/>
      <c r="R41" s="176"/>
      <c r="S41" s="176"/>
      <c r="T41" s="176"/>
      <c r="U41" s="175">
        <v>189.01876175688375</v>
      </c>
      <c r="V41" s="177">
        <f t="shared" si="27"/>
        <v>189.01876175688375</v>
      </c>
      <c r="W41" s="210"/>
      <c r="X41" s="210"/>
      <c r="Y41" s="210"/>
      <c r="Z41" s="217">
        <f t="shared" si="28"/>
        <v>0</v>
      </c>
      <c r="AA41" s="180">
        <f t="shared" si="29"/>
        <v>195.84820175688375</v>
      </c>
      <c r="AB41" s="73">
        <f t="shared" si="18"/>
        <v>239.71391628277496</v>
      </c>
      <c r="AC41" s="73">
        <f t="shared" si="19"/>
        <v>101.68160330398345</v>
      </c>
      <c r="AD41" s="73">
        <f t="shared" si="20"/>
        <v>12.862734027527111</v>
      </c>
      <c r="AE41" s="73">
        <f t="shared" si="21"/>
        <v>26.214835597462763</v>
      </c>
      <c r="AF41" s="182">
        <f t="shared" si="22"/>
        <v>0.19282877015088634</v>
      </c>
      <c r="AG41" s="162">
        <f t="shared" si="23"/>
        <v>576.51411973878294</v>
      </c>
      <c r="AH41" s="183">
        <f t="shared" si="24"/>
        <v>8.7245075087873136</v>
      </c>
      <c r="AI41" s="183">
        <f t="shared" si="24"/>
        <v>10.678606409498856</v>
      </c>
      <c r="AJ41" s="183">
        <f t="shared" si="24"/>
        <v>4.5296403212951928</v>
      </c>
      <c r="AK41" s="160">
        <f t="shared" si="25"/>
        <v>25.682144239581365</v>
      </c>
      <c r="AL41" s="183">
        <f t="shared" si="26"/>
        <v>1.1678000000000002</v>
      </c>
      <c r="AM41" s="183">
        <f t="shared" si="26"/>
        <v>8.5899999999999987E-3</v>
      </c>
      <c r="AN41" s="160">
        <f t="shared" si="26"/>
        <v>25.682144239581365</v>
      </c>
      <c r="AO41" s="72"/>
      <c r="AP41" s="72"/>
      <c r="AQ41" s="72"/>
      <c r="AR41" s="72"/>
      <c r="AS41" s="72"/>
      <c r="AT41" s="72"/>
      <c r="AU41" s="72"/>
      <c r="AV41" s="72"/>
      <c r="AW41" s="72"/>
      <c r="AX41" s="72"/>
      <c r="AY41" s="72"/>
      <c r="AZ41" s="72"/>
      <c r="BA41" s="72"/>
      <c r="BB41" s="72"/>
    </row>
    <row r="42" spans="2:54">
      <c r="B42" s="165" t="s">
        <v>12</v>
      </c>
      <c r="C42" s="74" t="s">
        <v>269</v>
      </c>
      <c r="D42" s="166" t="s">
        <v>270</v>
      </c>
      <c r="E42" s="398">
        <v>10592</v>
      </c>
      <c r="F42" s="205">
        <v>3707.8651433467171</v>
      </c>
      <c r="G42" s="169">
        <v>3707.8651433467171</v>
      </c>
      <c r="H42" s="169">
        <v>0</v>
      </c>
      <c r="I42" s="169"/>
      <c r="J42" s="206"/>
      <c r="K42" s="206"/>
      <c r="L42" s="400">
        <v>13924740</v>
      </c>
      <c r="M42" s="207">
        <v>13924740</v>
      </c>
      <c r="N42" s="207"/>
      <c r="O42" s="207"/>
      <c r="P42" s="174">
        <v>25.3248</v>
      </c>
      <c r="Q42" s="175">
        <v>162.15313539632518</v>
      </c>
      <c r="R42" s="175">
        <v>0</v>
      </c>
      <c r="S42" s="176"/>
      <c r="T42" s="176"/>
      <c r="U42" s="176"/>
      <c r="V42" s="177">
        <f t="shared" si="27"/>
        <v>162.15313539632518</v>
      </c>
      <c r="W42" s="175">
        <v>112.79039400000001</v>
      </c>
      <c r="X42" s="210"/>
      <c r="Y42" s="210"/>
      <c r="Z42" s="217">
        <f t="shared" si="28"/>
        <v>112.79039400000001</v>
      </c>
      <c r="AA42" s="180">
        <f t="shared" si="29"/>
        <v>300.26832939632516</v>
      </c>
      <c r="AB42" s="73">
        <f t="shared" si="18"/>
        <v>395.94832485299645</v>
      </c>
      <c r="AC42" s="73">
        <f t="shared" si="19"/>
        <v>167.95295459228268</v>
      </c>
      <c r="AD42" s="73">
        <f t="shared" si="20"/>
        <v>21.246067271376688</v>
      </c>
      <c r="AE42" s="73">
        <f t="shared" si="21"/>
        <v>43.300449144002968</v>
      </c>
      <c r="AF42" s="182">
        <f t="shared" si="22"/>
        <v>0.31850561581348297</v>
      </c>
      <c r="AG42" s="162">
        <f t="shared" si="23"/>
        <v>929.03463087279738</v>
      </c>
      <c r="AH42" s="183">
        <f t="shared" si="24"/>
        <v>8.0981459084378447</v>
      </c>
      <c r="AI42" s="183">
        <f t="shared" si="24"/>
        <v>10.678606409498856</v>
      </c>
      <c r="AJ42" s="183">
        <f t="shared" si="24"/>
        <v>4.5296403212951928</v>
      </c>
      <c r="AK42" s="160">
        <f t="shared" si="25"/>
        <v>25.055782639231889</v>
      </c>
      <c r="AL42" s="183">
        <f t="shared" si="26"/>
        <v>1.1678000000000002</v>
      </c>
      <c r="AM42" s="183">
        <f t="shared" si="26"/>
        <v>8.5899999999999987E-3</v>
      </c>
      <c r="AN42" s="160">
        <f t="shared" si="26"/>
        <v>25.055782639231889</v>
      </c>
      <c r="AO42" s="72"/>
      <c r="AP42" s="72">
        <f>+AN42/100</f>
        <v>0.25055782639231888</v>
      </c>
      <c r="AQ42" s="72"/>
      <c r="AR42" s="72"/>
      <c r="AS42" s="72"/>
      <c r="AT42" s="72"/>
      <c r="AU42" s="72"/>
      <c r="AV42" s="72"/>
      <c r="AW42" s="72"/>
      <c r="AX42" s="72"/>
      <c r="AY42" s="72"/>
      <c r="AZ42" s="72"/>
      <c r="BA42" s="72"/>
      <c r="BB42" s="72"/>
    </row>
    <row r="43" spans="2:54">
      <c r="B43" s="165" t="s">
        <v>13</v>
      </c>
      <c r="C43" s="74" t="s">
        <v>271</v>
      </c>
      <c r="D43" s="166" t="s">
        <v>272</v>
      </c>
      <c r="E43" s="398">
        <v>400</v>
      </c>
      <c r="F43" s="205">
        <v>1685.0547889129789</v>
      </c>
      <c r="G43" s="169">
        <v>1236.7836</v>
      </c>
      <c r="H43" s="169">
        <v>448.27118891297891</v>
      </c>
      <c r="I43" s="169"/>
      <c r="J43" s="206"/>
      <c r="K43" s="206"/>
      <c r="L43" s="400">
        <v>4122612</v>
      </c>
      <c r="M43" s="207">
        <v>4122612</v>
      </c>
      <c r="N43" s="207"/>
      <c r="O43" s="207"/>
      <c r="P43" s="174">
        <v>2.0897999999999999</v>
      </c>
      <c r="Q43" s="175">
        <v>37.547276688000004</v>
      </c>
      <c r="R43" s="175">
        <v>17.607038771168881</v>
      </c>
      <c r="S43" s="176"/>
      <c r="T43" s="176"/>
      <c r="U43" s="176"/>
      <c r="V43" s="177">
        <f t="shared" si="27"/>
        <v>55.154315459168885</v>
      </c>
      <c r="W43" s="175">
        <v>31.744112400000002</v>
      </c>
      <c r="X43" s="210"/>
      <c r="Y43" s="210"/>
      <c r="Z43" s="217">
        <f t="shared" si="28"/>
        <v>31.744112400000002</v>
      </c>
      <c r="AA43" s="180">
        <f t="shared" si="29"/>
        <v>88.988227859168887</v>
      </c>
      <c r="AB43" s="73">
        <f t="shared" si="18"/>
        <v>179.94036869242879</v>
      </c>
      <c r="AC43" s="73">
        <f t="shared" si="19"/>
        <v>76.32692115451789</v>
      </c>
      <c r="AD43" s="73">
        <f t="shared" si="20"/>
        <v>9.6553639404713696</v>
      </c>
      <c r="AE43" s="73">
        <f t="shared" si="21"/>
        <v>19.678069824925768</v>
      </c>
      <c r="AF43" s="182">
        <f t="shared" si="22"/>
        <v>0.14474620636762486</v>
      </c>
      <c r="AG43" s="162">
        <f t="shared" si="23"/>
        <v>374.73369767788034</v>
      </c>
      <c r="AH43" s="183">
        <f t="shared" si="24"/>
        <v>5.2810287502031183</v>
      </c>
      <c r="AI43" s="183">
        <f t="shared" si="24"/>
        <v>10.678606409498856</v>
      </c>
      <c r="AJ43" s="183">
        <f t="shared" si="24"/>
        <v>4.5296403212951928</v>
      </c>
      <c r="AK43" s="160">
        <f t="shared" si="25"/>
        <v>22.23866548099717</v>
      </c>
      <c r="AL43" s="183">
        <f t="shared" si="26"/>
        <v>1.1677999999999999</v>
      </c>
      <c r="AM43" s="183">
        <f t="shared" si="26"/>
        <v>8.5899999999999987E-3</v>
      </c>
      <c r="AN43" s="160">
        <f t="shared" si="26"/>
        <v>22.23866548099717</v>
      </c>
      <c r="AO43" s="72"/>
      <c r="AP43" s="72">
        <f>SUM(AG41:AG42)/SUM(F41:F42)</f>
        <v>0.25291989200692333</v>
      </c>
      <c r="AQ43" s="72"/>
      <c r="AR43" s="72"/>
      <c r="AS43" s="72"/>
      <c r="AT43" s="72"/>
      <c r="AU43" s="72"/>
      <c r="AV43" s="72"/>
      <c r="AW43" s="72"/>
      <c r="AX43" s="72"/>
      <c r="AY43" s="72"/>
      <c r="AZ43" s="72"/>
      <c r="BA43" s="72"/>
      <c r="BB43" s="72"/>
    </row>
    <row r="44" spans="2:54">
      <c r="B44" s="165" t="s">
        <v>14</v>
      </c>
      <c r="C44" s="74" t="s">
        <v>269</v>
      </c>
      <c r="D44" s="166" t="s">
        <v>273</v>
      </c>
      <c r="E44" s="398">
        <v>1</v>
      </c>
      <c r="F44" s="205">
        <v>6.0793582266506387</v>
      </c>
      <c r="G44" s="219"/>
      <c r="H44" s="219"/>
      <c r="I44" s="219">
        <v>2.8103475508555609</v>
      </c>
      <c r="J44" s="220">
        <v>3.2690106757950779</v>
      </c>
      <c r="K44" s="220"/>
      <c r="L44" s="221"/>
      <c r="M44" s="207"/>
      <c r="N44" s="207">
        <v>19824</v>
      </c>
      <c r="O44" s="207">
        <v>18996</v>
      </c>
      <c r="P44" s="174">
        <v>2.3999999999999998E-3</v>
      </c>
      <c r="S44" s="175">
        <v>0.14187245371763313</v>
      </c>
      <c r="T44" s="175">
        <v>6.0362250696661082E-2</v>
      </c>
      <c r="U44" s="222"/>
      <c r="V44" s="177">
        <f>SUM(Q44:U44)</f>
        <v>0.2022347044142942</v>
      </c>
      <c r="W44" s="210"/>
      <c r="X44" s="175">
        <v>0.16057440000000001</v>
      </c>
      <c r="Y44" s="175">
        <v>2.0895600000000004E-2</v>
      </c>
      <c r="Z44" s="217">
        <f t="shared" si="28"/>
        <v>0.18147000000000002</v>
      </c>
      <c r="AA44" s="180">
        <f t="shared" si="29"/>
        <v>0.38610470441429423</v>
      </c>
      <c r="AB44" s="73">
        <f t="shared" si="18"/>
        <v>0.64919073724751108</v>
      </c>
      <c r="AC44" s="73">
        <f t="shared" si="19"/>
        <v>0.27537306151034374</v>
      </c>
      <c r="AD44" s="73">
        <f t="shared" si="20"/>
        <v>3.4834722638708161E-2</v>
      </c>
      <c r="AE44" s="73">
        <f t="shared" si="21"/>
        <v>7.0994745370826159E-2</v>
      </c>
      <c r="AF44" s="182">
        <f t="shared" si="22"/>
        <v>5.2221687166928974E-4</v>
      </c>
      <c r="AG44" s="162">
        <f t="shared" si="23"/>
        <v>1.4170201880533526</v>
      </c>
      <c r="AH44" s="183">
        <f t="shared" si="24"/>
        <v>6.3510767094081029</v>
      </c>
      <c r="AI44" s="183">
        <f t="shared" si="24"/>
        <v>10.678606409498856</v>
      </c>
      <c r="AJ44" s="183">
        <f t="shared" si="24"/>
        <v>4.5296403212951937</v>
      </c>
      <c r="AK44" s="160">
        <f t="shared" si="25"/>
        <v>23.308713440202151</v>
      </c>
      <c r="AL44" s="183">
        <f t="shared" si="26"/>
        <v>1.1678000000000002</v>
      </c>
      <c r="AM44" s="183">
        <f t="shared" si="26"/>
        <v>8.5899999999999969E-3</v>
      </c>
      <c r="AN44" s="160">
        <f t="shared" si="26"/>
        <v>23.308713440202151</v>
      </c>
      <c r="AO44" s="72"/>
      <c r="AP44" s="72"/>
      <c r="AQ44" s="72"/>
      <c r="AR44" s="72"/>
      <c r="AS44" s="72"/>
      <c r="AT44" s="72"/>
      <c r="AU44" s="72"/>
      <c r="AV44" s="72"/>
      <c r="AW44" s="72"/>
      <c r="AX44" s="72"/>
      <c r="AY44" s="72"/>
      <c r="AZ44" s="72"/>
      <c r="BA44" s="72"/>
      <c r="BB44" s="72"/>
    </row>
    <row r="45" spans="2:54">
      <c r="B45" s="165"/>
      <c r="C45" s="187"/>
      <c r="D45" s="187" t="s">
        <v>222</v>
      </c>
      <c r="E45" s="188">
        <f>SUM(E36:E44)</f>
        <v>125125</v>
      </c>
      <c r="F45" s="189">
        <f t="shared" ref="F45:J45" si="30">SUM(F36:F44)</f>
        <v>7660.4135028924738</v>
      </c>
      <c r="G45" s="190">
        <f t="shared" si="30"/>
        <v>4944.6487433467173</v>
      </c>
      <c r="H45" s="190">
        <f t="shared" si="30"/>
        <v>448.27118891297891</v>
      </c>
      <c r="I45" s="190">
        <f t="shared" si="30"/>
        <v>2.8103475508555609</v>
      </c>
      <c r="J45" s="191">
        <f t="shared" si="30"/>
        <v>3.2690106757950779</v>
      </c>
      <c r="K45" s="191"/>
      <c r="L45" s="191"/>
      <c r="M45" s="223">
        <f>SUM(M36:M44)</f>
        <v>18047352</v>
      </c>
      <c r="N45" s="223">
        <f>SUM(N36:N44)</f>
        <v>19824</v>
      </c>
      <c r="O45" s="224">
        <f>SUM(O36:O44)</f>
        <v>18996</v>
      </c>
      <c r="P45" s="194">
        <f>SUM(P36:P44)</f>
        <v>34.261629599999999</v>
      </c>
      <c r="Q45" s="195">
        <f t="shared" ref="Q45:AG45" si="31">SUM(Q36:Q44)</f>
        <v>199.70041208432519</v>
      </c>
      <c r="R45" s="195">
        <f t="shared" si="31"/>
        <v>17.607038771168881</v>
      </c>
      <c r="S45" s="195">
        <f t="shared" si="31"/>
        <v>0.14187245371763313</v>
      </c>
      <c r="T45" s="195">
        <f t="shared" si="31"/>
        <v>6.0362250696661082E-2</v>
      </c>
      <c r="U45" s="195">
        <f t="shared" si="31"/>
        <v>190.42205671296375</v>
      </c>
      <c r="V45" s="196">
        <f>SUM(V36:V44)</f>
        <v>407.93174227287216</v>
      </c>
      <c r="W45" s="225">
        <f t="shared" si="31"/>
        <v>144.5345064</v>
      </c>
      <c r="X45" s="226">
        <f t="shared" si="31"/>
        <v>0.16057440000000001</v>
      </c>
      <c r="Y45" s="226">
        <f t="shared" si="31"/>
        <v>2.0895600000000004E-2</v>
      </c>
      <c r="Z45" s="227">
        <f t="shared" si="31"/>
        <v>144.71597639999999</v>
      </c>
      <c r="AA45" s="197">
        <f t="shared" si="31"/>
        <v>586.90934827287208</v>
      </c>
      <c r="AB45" s="198">
        <f t="shared" si="31"/>
        <v>818.02540731399165</v>
      </c>
      <c r="AC45" s="198">
        <f t="shared" si="31"/>
        <v>346.98917880495895</v>
      </c>
      <c r="AD45" s="198">
        <f t="shared" si="31"/>
        <v>43.894169371573874</v>
      </c>
      <c r="AE45" s="198">
        <f t="shared" si="31"/>
        <v>89.458308886778326</v>
      </c>
      <c r="AF45" s="199">
        <f t="shared" si="31"/>
        <v>0.65802951989846348</v>
      </c>
      <c r="AG45" s="200">
        <f t="shared" si="31"/>
        <v>1885.9344421700732</v>
      </c>
      <c r="AH45" s="201">
        <f t="shared" si="24"/>
        <v>7.6615883470423976</v>
      </c>
      <c r="AI45" s="201">
        <f t="shared" si="24"/>
        <v>10.678606409498856</v>
      </c>
      <c r="AJ45" s="201">
        <f t="shared" si="24"/>
        <v>4.5296403212951928</v>
      </c>
      <c r="AK45" s="202">
        <f t="shared" si="25"/>
        <v>24.619225077836447</v>
      </c>
      <c r="AL45" s="201">
        <f t="shared" si="26"/>
        <v>1.1678000000000002</v>
      </c>
      <c r="AM45" s="201">
        <f t="shared" si="26"/>
        <v>8.5900000000000004E-3</v>
      </c>
      <c r="AN45" s="202">
        <f t="shared" si="26"/>
        <v>24.619225077836447</v>
      </c>
      <c r="AO45" s="72"/>
      <c r="AP45" s="72">
        <f>+AN45/100</f>
        <v>0.24619225077836446</v>
      </c>
      <c r="AQ45" s="72"/>
      <c r="AR45" s="72"/>
      <c r="AS45" s="72"/>
      <c r="AT45" s="72"/>
      <c r="AU45" s="72"/>
      <c r="AV45" s="72"/>
      <c r="AW45" s="72"/>
      <c r="AX45" s="72"/>
      <c r="AY45" s="72"/>
      <c r="AZ45" s="72"/>
      <c r="BA45" s="72"/>
      <c r="BB45" s="72"/>
    </row>
    <row r="46" spans="2:54" ht="24.75" customHeight="1">
      <c r="C46" s="155" t="s">
        <v>274</v>
      </c>
      <c r="D46" s="72"/>
      <c r="E46" s="156"/>
      <c r="F46" s="157"/>
      <c r="G46" s="169"/>
      <c r="H46" s="169"/>
      <c r="I46" s="169"/>
      <c r="J46" s="228"/>
      <c r="K46" s="228"/>
      <c r="L46" s="228"/>
      <c r="M46" s="169"/>
      <c r="N46" s="169"/>
      <c r="O46" s="169"/>
      <c r="P46" s="208"/>
      <c r="Q46" s="176"/>
      <c r="R46" s="176"/>
      <c r="S46" s="176"/>
      <c r="T46" s="176"/>
      <c r="U46" s="176"/>
      <c r="V46" s="209"/>
      <c r="W46" s="179"/>
      <c r="X46" s="179"/>
      <c r="Y46" s="179"/>
      <c r="Z46" s="209"/>
      <c r="AA46" s="182"/>
      <c r="AB46" s="73"/>
      <c r="AC46" s="73"/>
      <c r="AD46" s="73"/>
      <c r="AE46" s="73"/>
      <c r="AF46" s="182"/>
      <c r="AG46" s="162"/>
      <c r="AH46" s="183"/>
      <c r="AI46" s="212">
        <f>AI45/100*$E$10</f>
        <v>732.72855811326963</v>
      </c>
      <c r="AJ46" s="183"/>
      <c r="AK46" s="160"/>
      <c r="AL46" s="183"/>
      <c r="AM46" s="183"/>
      <c r="AN46" s="160"/>
      <c r="AO46" s="72"/>
      <c r="AP46" s="72">
        <f>+AN101/100</f>
        <v>0.22736302984229159</v>
      </c>
      <c r="AQ46" s="72"/>
      <c r="AR46" s="72"/>
      <c r="AS46" s="72"/>
      <c r="AT46" s="72"/>
      <c r="AU46" s="72"/>
      <c r="AV46" s="72"/>
      <c r="AW46" s="72"/>
      <c r="AX46" s="72"/>
      <c r="AY46" s="72"/>
      <c r="AZ46" s="72"/>
      <c r="BA46" s="72"/>
      <c r="BB46" s="72"/>
    </row>
    <row r="47" spans="2:54">
      <c r="B47" s="165" t="s">
        <v>10</v>
      </c>
      <c r="C47" s="74" t="s">
        <v>253</v>
      </c>
      <c r="D47" s="166" t="s">
        <v>275</v>
      </c>
      <c r="E47" s="398">
        <v>112</v>
      </c>
      <c r="F47" s="205">
        <v>3.3085557240696297</v>
      </c>
      <c r="G47" s="169"/>
      <c r="H47" s="169"/>
      <c r="I47" s="169"/>
      <c r="J47" s="171"/>
      <c r="K47" s="171"/>
      <c r="L47" s="171"/>
      <c r="M47" s="229"/>
      <c r="N47" s="169"/>
      <c r="O47" s="169"/>
      <c r="P47" s="174">
        <v>6.7799999999999996E-3</v>
      </c>
      <c r="Q47" s="176"/>
      <c r="R47" s="176"/>
      <c r="S47" s="176"/>
      <c r="T47" s="176"/>
      <c r="U47" s="175">
        <v>0.31449282258176003</v>
      </c>
      <c r="V47" s="177">
        <f>SUM(Q47:U47)</f>
        <v>0.31449282258176003</v>
      </c>
      <c r="W47" s="179"/>
      <c r="X47" s="179"/>
      <c r="Y47" s="179"/>
      <c r="Z47" s="177">
        <f>SUM(W47:Y47)</f>
        <v>0</v>
      </c>
      <c r="AA47" s="180">
        <f>+V47+Z47+P47</f>
        <v>0.32127282258176004</v>
      </c>
      <c r="AB47" s="73">
        <f t="shared" ref="AB47:AB53" si="32">$H$2*F47</f>
        <v>0.35330764361234074</v>
      </c>
      <c r="AC47" s="73">
        <f t="shared" ref="AC47:AC53" si="33">+$H$3*F47</f>
        <v>0.14986567412997806</v>
      </c>
      <c r="AD47" s="73">
        <f t="shared" ref="AD47:AD53" si="34">+$H$4*F47</f>
        <v>1.8958024298918977E-2</v>
      </c>
      <c r="AE47" s="73">
        <f t="shared" ref="AE47:AE53" si="35">+$H$5*F47</f>
        <v>3.8637313745685138E-2</v>
      </c>
      <c r="AF47" s="182">
        <f t="shared" ref="AF47:AF53" si="36">+$H$6*F47</f>
        <v>2.8420493669758113E-4</v>
      </c>
      <c r="AG47" s="162">
        <f t="shared" ref="AG47:AG53" si="37">+AF47+AD47+AC47+AB47+AA47+AE47</f>
        <v>0.88232568330538053</v>
      </c>
      <c r="AH47" s="183">
        <f t="shared" ref="AH47:AJ94" si="38">+AA47/$F47*100</f>
        <v>9.7103645631388726</v>
      </c>
      <c r="AI47" s="183">
        <f t="shared" si="38"/>
        <v>10.678606409498856</v>
      </c>
      <c r="AJ47" s="183">
        <f t="shared" si="38"/>
        <v>4.5296403212951928</v>
      </c>
      <c r="AK47" s="160">
        <f t="shared" ref="AK47:AK54" si="39">+AG47/$F47*100</f>
        <v>26.668001293932917</v>
      </c>
      <c r="AL47" s="183">
        <f t="shared" ref="AL47:AN54" si="40">+AE47/$F47*100</f>
        <v>1.1678000000000002</v>
      </c>
      <c r="AM47" s="183">
        <f t="shared" si="40"/>
        <v>8.5899999999999987E-3</v>
      </c>
      <c r="AN47" s="160">
        <f t="shared" si="40"/>
        <v>26.668001293932917</v>
      </c>
      <c r="AO47" s="72"/>
      <c r="AP47" s="72">
        <f>+AN95/100</f>
        <v>0.39485664257138303</v>
      </c>
      <c r="AQ47" s="72"/>
      <c r="AR47" s="72"/>
      <c r="AS47" s="72"/>
      <c r="AT47" s="72"/>
      <c r="AU47" s="72"/>
      <c r="AV47" s="72"/>
      <c r="AW47" s="72"/>
      <c r="AX47" s="72"/>
      <c r="AY47" s="72"/>
      <c r="AZ47" s="72"/>
      <c r="BA47" s="72"/>
      <c r="BB47" s="72"/>
    </row>
    <row r="48" spans="2:54">
      <c r="B48" s="165" t="s">
        <v>12</v>
      </c>
      <c r="C48" s="74" t="s">
        <v>269</v>
      </c>
      <c r="D48" s="166" t="s">
        <v>276</v>
      </c>
      <c r="E48" s="398">
        <v>229</v>
      </c>
      <c r="F48" s="205">
        <v>99.067468164124108</v>
      </c>
      <c r="G48" s="169">
        <v>99.067468164124108</v>
      </c>
      <c r="H48" s="169">
        <v>0</v>
      </c>
      <c r="I48" s="169"/>
      <c r="J48" s="171"/>
      <c r="K48" s="171"/>
      <c r="L48" s="400">
        <v>447036</v>
      </c>
      <c r="M48" s="401">
        <v>447036</v>
      </c>
      <c r="N48" s="169"/>
      <c r="O48" s="169"/>
      <c r="P48" s="174">
        <v>0.57120000000000004</v>
      </c>
      <c r="Q48" s="175">
        <v>4.9368317616366975</v>
      </c>
      <c r="R48" s="175">
        <v>0</v>
      </c>
      <c r="S48" s="176"/>
      <c r="T48" s="176"/>
      <c r="U48" s="176"/>
      <c r="V48" s="177">
        <f t="shared" ref="V48:V53" si="41">SUM(Q48:U48)</f>
        <v>4.9368317616366975</v>
      </c>
      <c r="W48" s="175">
        <v>3.7258626239999999</v>
      </c>
      <c r="X48" s="179"/>
      <c r="Y48" s="179"/>
      <c r="Z48" s="177">
        <f t="shared" ref="Z48:Z53" si="42">SUM(W48:Y48)</f>
        <v>3.7258626239999999</v>
      </c>
      <c r="AA48" s="180">
        <f t="shared" ref="AA48:AA53" si="43">+V48+Z48+P48</f>
        <v>9.2338943856366971</v>
      </c>
      <c r="AB48" s="73">
        <f t="shared" si="32"/>
        <v>10.579025005102395</v>
      </c>
      <c r="AC48" s="73">
        <f t="shared" si="33"/>
        <v>4.4873999832484435</v>
      </c>
      <c r="AD48" s="73">
        <f t="shared" si="34"/>
        <v>0.56765659258043111</v>
      </c>
      <c r="AE48" s="73">
        <f t="shared" si="35"/>
        <v>1.1569098932206414</v>
      </c>
      <c r="AF48" s="182">
        <f t="shared" si="36"/>
        <v>8.5098955152982589E-3</v>
      </c>
      <c r="AG48" s="162">
        <f t="shared" si="37"/>
        <v>26.033395755303907</v>
      </c>
      <c r="AH48" s="183">
        <f t="shared" si="38"/>
        <v>9.3208139430181003</v>
      </c>
      <c r="AI48" s="183">
        <f t="shared" si="38"/>
        <v>10.678606409498855</v>
      </c>
      <c r="AJ48" s="183">
        <f t="shared" si="38"/>
        <v>4.5296403212951919</v>
      </c>
      <c r="AK48" s="160">
        <f t="shared" si="39"/>
        <v>26.278450673812149</v>
      </c>
      <c r="AL48" s="183">
        <f t="shared" si="40"/>
        <v>1.1678000000000002</v>
      </c>
      <c r="AM48" s="183">
        <f t="shared" si="40"/>
        <v>8.5899999999999969E-3</v>
      </c>
      <c r="AN48" s="160">
        <f t="shared" si="40"/>
        <v>26.278450673812149</v>
      </c>
      <c r="AO48" s="72"/>
      <c r="AQ48" s="72"/>
      <c r="AR48" s="72"/>
      <c r="AS48" s="72"/>
      <c r="AT48" s="72"/>
      <c r="AU48" s="72"/>
      <c r="AV48" s="72"/>
      <c r="AW48" s="72"/>
      <c r="AX48" s="72"/>
      <c r="AY48" s="72"/>
      <c r="AZ48" s="72"/>
      <c r="BA48" s="72"/>
      <c r="BB48" s="72"/>
    </row>
    <row r="49" spans="2:54">
      <c r="B49" s="165" t="s">
        <v>13</v>
      </c>
      <c r="C49" s="74" t="s">
        <v>271</v>
      </c>
      <c r="D49" s="166" t="s">
        <v>277</v>
      </c>
      <c r="E49" s="398">
        <v>215</v>
      </c>
      <c r="F49" s="205">
        <v>883.75821171170833</v>
      </c>
      <c r="G49" s="169">
        <v>856.8252</v>
      </c>
      <c r="H49" s="169">
        <v>26.933011711708332</v>
      </c>
      <c r="I49" s="169"/>
      <c r="J49" s="171"/>
      <c r="K49" s="171"/>
      <c r="L49" s="400">
        <v>2856084</v>
      </c>
      <c r="M49" s="401">
        <v>2856084</v>
      </c>
      <c r="N49" s="169"/>
      <c r="O49" s="169"/>
      <c r="P49" s="174">
        <v>1.1448</v>
      </c>
      <c r="Q49" s="175">
        <v>28.688572512</v>
      </c>
      <c r="R49" s="175">
        <v>10.916851443476927</v>
      </c>
      <c r="S49" s="176"/>
      <c r="T49" s="176"/>
      <c r="U49" s="176"/>
      <c r="V49" s="177">
        <f t="shared" si="41"/>
        <v>39.60542395547693</v>
      </c>
      <c r="W49" s="175">
        <v>22.227358692000003</v>
      </c>
      <c r="X49" s="179"/>
      <c r="Y49" s="179"/>
      <c r="Z49" s="177">
        <f t="shared" si="42"/>
        <v>22.227358692000003</v>
      </c>
      <c r="AA49" s="180">
        <f t="shared" si="43"/>
        <v>62.977582647476936</v>
      </c>
      <c r="AB49" s="73">
        <f t="shared" si="32"/>
        <v>94.373061040318959</v>
      </c>
      <c r="AC49" s="73">
        <f t="shared" si="33"/>
        <v>40.031068300450876</v>
      </c>
      <c r="AD49" s="73">
        <f t="shared" si="34"/>
        <v>5.0639345531080888</v>
      </c>
      <c r="AE49" s="73">
        <f t="shared" si="35"/>
        <v>10.320528396369332</v>
      </c>
      <c r="AF49" s="182">
        <f t="shared" si="36"/>
        <v>7.5914830386035734E-2</v>
      </c>
      <c r="AG49" s="162">
        <f t="shared" si="37"/>
        <v>212.84208976811021</v>
      </c>
      <c r="AH49" s="183">
        <f t="shared" si="38"/>
        <v>7.1261100392491645</v>
      </c>
      <c r="AI49" s="183">
        <f t="shared" si="38"/>
        <v>10.678606409498856</v>
      </c>
      <c r="AJ49" s="183">
        <f t="shared" si="38"/>
        <v>4.5296403212951928</v>
      </c>
      <c r="AK49" s="160">
        <f t="shared" si="39"/>
        <v>24.083746770043213</v>
      </c>
      <c r="AL49" s="183">
        <f t="shared" si="40"/>
        <v>1.1678000000000002</v>
      </c>
      <c r="AM49" s="183">
        <f t="shared" si="40"/>
        <v>8.5899999999999987E-3</v>
      </c>
      <c r="AN49" s="160">
        <f t="shared" si="40"/>
        <v>24.083746770043213</v>
      </c>
      <c r="AO49" s="72"/>
      <c r="AQ49" s="72"/>
      <c r="AR49" s="72"/>
      <c r="AS49" s="72"/>
      <c r="AT49" s="72"/>
      <c r="AU49" s="72"/>
      <c r="AV49" s="72"/>
      <c r="AW49" s="72"/>
      <c r="AX49" s="72"/>
      <c r="AY49" s="72"/>
      <c r="AZ49" s="72"/>
      <c r="BA49" s="72"/>
      <c r="BB49" s="72"/>
    </row>
    <row r="50" spans="2:54">
      <c r="B50" s="165" t="s">
        <v>17</v>
      </c>
      <c r="C50" s="74" t="s">
        <v>271</v>
      </c>
      <c r="D50" s="166" t="s">
        <v>278</v>
      </c>
      <c r="E50" s="398">
        <v>1</v>
      </c>
      <c r="F50" s="205">
        <v>59.09023981138477</v>
      </c>
      <c r="G50" s="169">
        <v>59.09023981138477</v>
      </c>
      <c r="H50" s="169">
        <v>0</v>
      </c>
      <c r="I50" s="169"/>
      <c r="J50" s="171"/>
      <c r="K50" s="171"/>
      <c r="L50" s="400">
        <v>182244</v>
      </c>
      <c r="M50" s="401">
        <v>182244</v>
      </c>
      <c r="N50" s="169"/>
      <c r="O50" s="169"/>
      <c r="P50" s="174">
        <v>5.4000000000000003E-3</v>
      </c>
      <c r="Q50" s="176"/>
      <c r="R50" s="176"/>
      <c r="S50" s="176"/>
      <c r="T50" s="176"/>
      <c r="U50" s="175">
        <v>0</v>
      </c>
      <c r="V50" s="177">
        <f t="shared" si="41"/>
        <v>0</v>
      </c>
      <c r="W50" s="175">
        <v>1.151586</v>
      </c>
      <c r="X50" s="179"/>
      <c r="Y50" s="179"/>
      <c r="Z50" s="177">
        <f t="shared" si="42"/>
        <v>1.151586</v>
      </c>
      <c r="AA50" s="180">
        <f>+V50+Z50+P50</f>
        <v>1.1569860000000001</v>
      </c>
      <c r="AB50" s="73">
        <f t="shared" si="32"/>
        <v>6.310014135886779</v>
      </c>
      <c r="AC50" s="73">
        <f t="shared" si="33"/>
        <v>2.6765753284465088</v>
      </c>
      <c r="AD50" s="73">
        <f t="shared" si="34"/>
        <v>0.33858707411923472</v>
      </c>
      <c r="AE50" s="73">
        <f t="shared" si="35"/>
        <v>0.69005582051735137</v>
      </c>
      <c r="AF50" s="182">
        <f t="shared" si="36"/>
        <v>5.075851599797951E-3</v>
      </c>
      <c r="AG50" s="162">
        <f t="shared" si="37"/>
        <v>11.177294210569672</v>
      </c>
      <c r="AH50" s="183">
        <f t="shared" si="38"/>
        <v>1.9579984845095968</v>
      </c>
      <c r="AI50" s="183">
        <f t="shared" si="38"/>
        <v>10.678606409498856</v>
      </c>
      <c r="AJ50" s="183">
        <f t="shared" si="38"/>
        <v>4.5296403212951928</v>
      </c>
      <c r="AK50" s="160">
        <f t="shared" si="39"/>
        <v>18.915635215303645</v>
      </c>
      <c r="AL50" s="183">
        <f t="shared" si="40"/>
        <v>1.1678000000000002</v>
      </c>
      <c r="AM50" s="183">
        <f t="shared" si="40"/>
        <v>8.5899999999999987E-3</v>
      </c>
      <c r="AN50" s="160">
        <f t="shared" si="40"/>
        <v>18.915635215303645</v>
      </c>
      <c r="AO50" s="72"/>
      <c r="AP50" s="72"/>
      <c r="AQ50" s="72"/>
      <c r="AR50" s="72"/>
      <c r="AS50" s="72"/>
      <c r="AT50" s="72"/>
      <c r="AU50" s="72"/>
      <c r="AV50" s="72"/>
      <c r="AW50" s="72"/>
      <c r="AX50" s="72"/>
      <c r="AY50" s="72"/>
      <c r="AZ50" s="72"/>
      <c r="BA50" s="72"/>
      <c r="BB50" s="72"/>
    </row>
    <row r="51" spans="2:54">
      <c r="B51" s="165" t="s">
        <v>24</v>
      </c>
      <c r="C51" s="74" t="s">
        <v>271</v>
      </c>
      <c r="D51" s="166" t="s">
        <v>279</v>
      </c>
      <c r="E51" s="398">
        <v>2</v>
      </c>
      <c r="F51" s="205">
        <v>4.0434796377890505</v>
      </c>
      <c r="G51" s="169"/>
      <c r="H51" s="169"/>
      <c r="I51" s="169"/>
      <c r="J51" s="171"/>
      <c r="K51" s="171"/>
      <c r="L51" s="171"/>
      <c r="M51" s="229"/>
      <c r="N51" s="169"/>
      <c r="O51" s="169"/>
      <c r="P51" s="174">
        <v>1.252032E-2</v>
      </c>
      <c r="Q51" s="176"/>
      <c r="R51" s="176"/>
      <c r="S51" s="176"/>
      <c r="T51" s="176"/>
      <c r="U51" s="175">
        <v>1.9627582868829912E-2</v>
      </c>
      <c r="V51" s="177">
        <f t="shared" si="41"/>
        <v>1.9627582868829912E-2</v>
      </c>
      <c r="W51" s="175">
        <v>0</v>
      </c>
      <c r="X51" s="179"/>
      <c r="Y51" s="179"/>
      <c r="Z51" s="177">
        <f t="shared" si="42"/>
        <v>0</v>
      </c>
      <c r="AA51" s="180">
        <f t="shared" si="43"/>
        <v>3.214790286882991E-2</v>
      </c>
      <c r="AB51" s="73">
        <f t="shared" si="32"/>
        <v>0.43178727576772269</v>
      </c>
      <c r="AC51" s="73">
        <f t="shared" si="33"/>
        <v>0.18315508405665365</v>
      </c>
      <c r="AD51" s="73">
        <f t="shared" si="34"/>
        <v>2.3169138324531258E-2</v>
      </c>
      <c r="AE51" s="73">
        <f t="shared" si="35"/>
        <v>4.7219755210100536E-2</v>
      </c>
      <c r="AF51" s="182">
        <f t="shared" si="36"/>
        <v>3.4733490088607936E-4</v>
      </c>
      <c r="AG51" s="162">
        <f t="shared" si="37"/>
        <v>0.71782649112872421</v>
      </c>
      <c r="AH51" s="183">
        <f t="shared" si="38"/>
        <v>0.79505539160840633</v>
      </c>
      <c r="AI51" s="183">
        <f t="shared" si="38"/>
        <v>10.678606409498856</v>
      </c>
      <c r="AJ51" s="183">
        <f t="shared" si="38"/>
        <v>4.5296403212951928</v>
      </c>
      <c r="AK51" s="160">
        <f t="shared" si="39"/>
        <v>17.752692122402458</v>
      </c>
      <c r="AL51" s="183">
        <f t="shared" si="40"/>
        <v>1.1678000000000002</v>
      </c>
      <c r="AM51" s="183">
        <f t="shared" si="40"/>
        <v>8.5899999999999987E-3</v>
      </c>
      <c r="AN51" s="160">
        <f t="shared" si="40"/>
        <v>17.752692122402458</v>
      </c>
      <c r="AO51" s="72"/>
      <c r="AP51" s="72"/>
      <c r="AQ51" s="72"/>
      <c r="AR51" s="72"/>
      <c r="AS51" s="72"/>
      <c r="AT51" s="72"/>
      <c r="AU51" s="72"/>
      <c r="AV51" s="72"/>
      <c r="AW51" s="72"/>
      <c r="AX51" s="72"/>
      <c r="AY51" s="72"/>
      <c r="AZ51" s="72"/>
      <c r="BA51" s="72"/>
      <c r="BB51" s="72"/>
    </row>
    <row r="52" spans="2:54">
      <c r="B52" s="165" t="s">
        <v>16</v>
      </c>
      <c r="C52" s="74" t="s">
        <v>271</v>
      </c>
      <c r="D52" s="166" t="s">
        <v>280</v>
      </c>
      <c r="E52" s="398">
        <v>14</v>
      </c>
      <c r="F52" s="205">
        <v>270.91306735832359</v>
      </c>
      <c r="G52" s="169"/>
      <c r="H52" s="169"/>
      <c r="I52" s="169">
        <v>102.65925779264369</v>
      </c>
      <c r="J52" s="402">
        <v>168.25380956567989</v>
      </c>
      <c r="K52" s="171"/>
      <c r="L52" s="171"/>
      <c r="M52" s="169"/>
      <c r="N52" s="169">
        <v>911880</v>
      </c>
      <c r="O52" s="169">
        <v>910380</v>
      </c>
      <c r="P52" s="174">
        <v>8.1000000000000003E-2</v>
      </c>
      <c r="Q52" s="176"/>
      <c r="R52" s="176"/>
      <c r="S52" s="175">
        <v>7.6735808435984492</v>
      </c>
      <c r="T52" s="175">
        <v>4.7522462480687215</v>
      </c>
      <c r="U52" s="176"/>
      <c r="V52" s="177">
        <f t="shared" si="41"/>
        <v>12.42582709166717</v>
      </c>
      <c r="W52" s="179"/>
      <c r="X52" s="175">
        <v>0.638127259</v>
      </c>
      <c r="Y52" s="175">
        <v>8.2686670000000004E-2</v>
      </c>
      <c r="Z52" s="177">
        <f t="shared" si="42"/>
        <v>0.72081392899999996</v>
      </c>
      <c r="AA52" s="180">
        <f>+V52+Z52+P52</f>
        <v>13.22764102066717</v>
      </c>
      <c r="AB52" s="73">
        <f t="shared" si="32"/>
        <v>28.929740175095894</v>
      </c>
      <c r="AC52" s="73">
        <f t="shared" si="33"/>
        <v>12.27138753472023</v>
      </c>
      <c r="AD52" s="73">
        <f t="shared" si="34"/>
        <v>1.5523318759631941</v>
      </c>
      <c r="AE52" s="73">
        <f t="shared" si="35"/>
        <v>3.1637228006105031</v>
      </c>
      <c r="AF52" s="182">
        <f t="shared" si="36"/>
        <v>2.3271432486079994E-2</v>
      </c>
      <c r="AG52" s="162">
        <f t="shared" si="37"/>
        <v>59.168094839543066</v>
      </c>
      <c r="AH52" s="183">
        <f t="shared" si="38"/>
        <v>4.882614614957502</v>
      </c>
      <c r="AI52" s="183">
        <f t="shared" si="38"/>
        <v>10.678606409498856</v>
      </c>
      <c r="AJ52" s="183">
        <f t="shared" si="38"/>
        <v>4.5296403212951928</v>
      </c>
      <c r="AK52" s="160">
        <f t="shared" si="39"/>
        <v>21.84025134575155</v>
      </c>
      <c r="AL52" s="183">
        <f t="shared" si="40"/>
        <v>1.1678000000000002</v>
      </c>
      <c r="AM52" s="183">
        <f t="shared" si="40"/>
        <v>8.5899999999999987E-3</v>
      </c>
      <c r="AN52" s="160">
        <f t="shared" si="40"/>
        <v>21.84025134575155</v>
      </c>
      <c r="AO52" s="72"/>
      <c r="AP52" s="72"/>
      <c r="AQ52" s="72"/>
      <c r="AR52" s="72"/>
      <c r="AS52" s="72"/>
      <c r="AT52" s="72"/>
      <c r="AU52" s="72"/>
      <c r="AV52" s="72"/>
      <c r="AW52" s="72"/>
      <c r="AX52" s="72"/>
      <c r="AY52" s="72"/>
      <c r="AZ52" s="72"/>
      <c r="BA52" s="72"/>
      <c r="BB52" s="72"/>
    </row>
    <row r="53" spans="2:54">
      <c r="B53" s="165" t="s">
        <v>16</v>
      </c>
      <c r="C53" s="74" t="s">
        <v>271</v>
      </c>
      <c r="D53" s="166" t="s">
        <v>281</v>
      </c>
      <c r="E53" s="398">
        <v>2</v>
      </c>
      <c r="F53" s="205">
        <v>10.592001280162158</v>
      </c>
      <c r="G53" s="219"/>
      <c r="H53" s="219"/>
      <c r="I53" s="219">
        <v>4.0387342442193219</v>
      </c>
      <c r="J53" s="403">
        <v>6.5532670359428362</v>
      </c>
      <c r="K53" s="230"/>
      <c r="L53" s="171"/>
      <c r="M53" s="169"/>
      <c r="N53" s="169">
        <v>44640</v>
      </c>
      <c r="O53" s="169">
        <v>44304</v>
      </c>
      <c r="P53" s="174">
        <v>1.0800000000000001E-2</v>
      </c>
      <c r="Q53" s="176"/>
      <c r="R53" s="176"/>
      <c r="S53" s="175">
        <v>0.49255150998860753</v>
      </c>
      <c r="T53" s="175">
        <v>0.2540865018220273</v>
      </c>
      <c r="U53" s="222"/>
      <c r="V53" s="177">
        <f t="shared" si="41"/>
        <v>0.74663801181063483</v>
      </c>
      <c r="W53" s="179"/>
      <c r="X53" s="175">
        <v>3.4067341000000001E-2</v>
      </c>
      <c r="Y53" s="175">
        <v>4.1920799999999999E-3</v>
      </c>
      <c r="Z53" s="177">
        <f t="shared" si="42"/>
        <v>3.8259421000000002E-2</v>
      </c>
      <c r="AA53" s="180">
        <f t="shared" si="43"/>
        <v>0.79569743281063487</v>
      </c>
      <c r="AB53" s="73">
        <f t="shared" si="32"/>
        <v>1.1310781275975972</v>
      </c>
      <c r="AC53" s="73">
        <f t="shared" si="33"/>
        <v>0.47977956081832807</v>
      </c>
      <c r="AD53" s="73">
        <f t="shared" si="34"/>
        <v>6.0692167335329165E-2</v>
      </c>
      <c r="AE53" s="73">
        <f t="shared" si="35"/>
        <v>0.12369339094973369</v>
      </c>
      <c r="AF53" s="182">
        <f t="shared" si="36"/>
        <v>9.0985290996592927E-4</v>
      </c>
      <c r="AG53" s="162">
        <f t="shared" si="37"/>
        <v>2.591850532421589</v>
      </c>
      <c r="AH53" s="183">
        <f t="shared" si="38"/>
        <v>7.5122482688979915</v>
      </c>
      <c r="AI53" s="183">
        <f t="shared" si="38"/>
        <v>10.678606409498856</v>
      </c>
      <c r="AJ53" s="183">
        <f t="shared" si="38"/>
        <v>4.5296403212951928</v>
      </c>
      <c r="AK53" s="160">
        <f t="shared" si="39"/>
        <v>24.469884999692042</v>
      </c>
      <c r="AL53" s="183">
        <f t="shared" si="40"/>
        <v>1.1678000000000002</v>
      </c>
      <c r="AM53" s="183">
        <f t="shared" si="40"/>
        <v>8.5899999999999987E-3</v>
      </c>
      <c r="AN53" s="160">
        <f t="shared" si="40"/>
        <v>24.469884999692042</v>
      </c>
      <c r="AO53" s="72"/>
      <c r="AP53" s="72"/>
      <c r="AQ53" s="72"/>
      <c r="AR53" s="72"/>
      <c r="AS53" s="72"/>
      <c r="AT53" s="72"/>
      <c r="AU53" s="72"/>
      <c r="AV53" s="72"/>
      <c r="AW53" s="72"/>
      <c r="AX53" s="72"/>
      <c r="AY53" s="72"/>
      <c r="AZ53" s="72"/>
      <c r="BA53" s="72"/>
      <c r="BB53" s="72"/>
    </row>
    <row r="54" spans="2:54">
      <c r="B54" s="165"/>
      <c r="C54" s="187"/>
      <c r="D54" s="187" t="s">
        <v>222</v>
      </c>
      <c r="E54" s="188">
        <f t="shared" ref="E54:J54" si="44">SUM(E47:E53)</f>
        <v>575</v>
      </c>
      <c r="F54" s="189">
        <f t="shared" si="44"/>
        <v>1330.7730236875614</v>
      </c>
      <c r="G54" s="190">
        <f t="shared" si="44"/>
        <v>1014.9829079755089</v>
      </c>
      <c r="H54" s="190">
        <f t="shared" si="44"/>
        <v>26.933011711708332</v>
      </c>
      <c r="I54" s="190">
        <f t="shared" si="44"/>
        <v>106.69799203686301</v>
      </c>
      <c r="J54" s="191">
        <f t="shared" si="44"/>
        <v>174.80707660162273</v>
      </c>
      <c r="K54" s="191"/>
      <c r="L54" s="191"/>
      <c r="M54" s="192">
        <f t="shared" ref="M54:AD54" si="45">SUM(M47:M53)</f>
        <v>3485364</v>
      </c>
      <c r="N54" s="192">
        <f t="shared" si="45"/>
        <v>956520</v>
      </c>
      <c r="O54" s="193">
        <f t="shared" si="45"/>
        <v>954684</v>
      </c>
      <c r="P54" s="194">
        <f t="shared" si="45"/>
        <v>1.8325003200000001</v>
      </c>
      <c r="Q54" s="195">
        <f t="shared" si="45"/>
        <v>33.625404273636697</v>
      </c>
      <c r="R54" s="195">
        <f t="shared" si="45"/>
        <v>10.916851443476927</v>
      </c>
      <c r="S54" s="195">
        <f t="shared" si="45"/>
        <v>8.1661323535870558</v>
      </c>
      <c r="T54" s="195">
        <f t="shared" si="45"/>
        <v>5.0063327498907491</v>
      </c>
      <c r="U54" s="195">
        <f t="shared" si="45"/>
        <v>0.33412040545058996</v>
      </c>
      <c r="V54" s="196">
        <f>SUM(V47:V53)</f>
        <v>58.048841226042015</v>
      </c>
      <c r="W54" s="231">
        <f t="shared" si="45"/>
        <v>27.104807316000006</v>
      </c>
      <c r="X54" s="195">
        <f t="shared" si="45"/>
        <v>0.67219459999999998</v>
      </c>
      <c r="Y54" s="195">
        <f t="shared" si="45"/>
        <v>8.6878750000000005E-2</v>
      </c>
      <c r="Z54" s="196">
        <f t="shared" si="45"/>
        <v>27.863880666000004</v>
      </c>
      <c r="AA54" s="197">
        <f t="shared" si="45"/>
        <v>87.745222212042023</v>
      </c>
      <c r="AB54" s="198">
        <f t="shared" si="45"/>
        <v>142.10801340338168</v>
      </c>
      <c r="AC54" s="198">
        <f t="shared" si="45"/>
        <v>60.279231465871021</v>
      </c>
      <c r="AD54" s="198">
        <f t="shared" si="45"/>
        <v>7.6253294257297286</v>
      </c>
      <c r="AE54" s="198">
        <f>SUM(AE46:AE53)</f>
        <v>15.540767370623348</v>
      </c>
      <c r="AF54" s="199">
        <f>SUM(AF47:AF53)</f>
        <v>0.11431340273476152</v>
      </c>
      <c r="AG54" s="200">
        <f>SUM(AG47:AG53)</f>
        <v>313.41287728038253</v>
      </c>
      <c r="AH54" s="201">
        <f t="shared" si="38"/>
        <v>6.5935528185641097</v>
      </c>
      <c r="AI54" s="201">
        <f t="shared" si="38"/>
        <v>10.678606409498856</v>
      </c>
      <c r="AJ54" s="201">
        <f t="shared" si="38"/>
        <v>4.5296403212951937</v>
      </c>
      <c r="AK54" s="202">
        <f t="shared" si="39"/>
        <v>23.55118954935816</v>
      </c>
      <c r="AL54" s="201">
        <f t="shared" si="40"/>
        <v>1.1678000000000004</v>
      </c>
      <c r="AM54" s="201">
        <f t="shared" si="40"/>
        <v>8.5900000000000004E-3</v>
      </c>
      <c r="AN54" s="202">
        <f t="shared" si="40"/>
        <v>23.55118954935816</v>
      </c>
      <c r="AO54" s="72"/>
      <c r="AP54" s="203"/>
      <c r="AQ54" s="72"/>
      <c r="AR54" s="72"/>
      <c r="AS54" s="72"/>
      <c r="AT54" s="72"/>
      <c r="AU54" s="72"/>
      <c r="AV54" s="72"/>
      <c r="AW54" s="72"/>
      <c r="AX54" s="72"/>
      <c r="AY54" s="72"/>
      <c r="AZ54" s="72"/>
      <c r="BA54" s="72"/>
      <c r="BB54" s="72"/>
    </row>
    <row r="55" spans="2:54" ht="21.75" customHeight="1">
      <c r="C55" s="155" t="s">
        <v>282</v>
      </c>
      <c r="D55" s="72"/>
      <c r="E55" s="167"/>
      <c r="F55" s="168"/>
      <c r="G55" s="169"/>
      <c r="H55" s="169"/>
      <c r="I55" s="169"/>
      <c r="J55" s="171"/>
      <c r="K55" s="171"/>
      <c r="L55" s="171"/>
      <c r="M55" s="173"/>
      <c r="N55" s="173"/>
      <c r="O55" s="184"/>
      <c r="P55" s="208"/>
      <c r="Q55" s="176"/>
      <c r="R55" s="176"/>
      <c r="S55" s="176"/>
      <c r="T55" s="176"/>
      <c r="U55" s="176"/>
      <c r="V55" s="209"/>
      <c r="W55" s="179"/>
      <c r="X55" s="179"/>
      <c r="Y55" s="179"/>
      <c r="Z55" s="209"/>
      <c r="AA55" s="182"/>
      <c r="AB55" s="73"/>
      <c r="AC55" s="73"/>
      <c r="AD55" s="73"/>
      <c r="AE55" s="73"/>
      <c r="AF55" s="182"/>
      <c r="AG55" s="162"/>
      <c r="AH55" s="183"/>
      <c r="AI55" s="212"/>
      <c r="AJ55" s="183"/>
      <c r="AK55" s="160"/>
      <c r="AL55" s="183"/>
      <c r="AM55" s="183"/>
      <c r="AN55" s="160"/>
      <c r="AO55" s="72"/>
      <c r="AP55" s="72"/>
      <c r="AQ55" s="72"/>
      <c r="AR55" s="72"/>
      <c r="AS55" s="72"/>
      <c r="AT55" s="72"/>
      <c r="AU55" s="72"/>
      <c r="AV55" s="72"/>
      <c r="AW55" s="72"/>
      <c r="AX55" s="72"/>
      <c r="AY55" s="72"/>
      <c r="AZ55" s="72"/>
      <c r="BA55" s="72"/>
      <c r="BB55" s="72"/>
    </row>
    <row r="56" spans="2:54">
      <c r="B56" s="165" t="str">
        <f>D56</f>
        <v>PLGUM 001</v>
      </c>
      <c r="C56" s="155"/>
      <c r="D56" s="232" t="s">
        <v>74</v>
      </c>
      <c r="E56" s="167"/>
      <c r="F56" s="404">
        <v>2.3052242691268647E-3</v>
      </c>
      <c r="G56" s="169"/>
      <c r="H56" s="169"/>
      <c r="I56" s="169"/>
      <c r="J56" s="171"/>
      <c r="K56" s="400">
        <v>11</v>
      </c>
      <c r="L56" s="215"/>
      <c r="M56" s="173"/>
      <c r="N56" s="173"/>
      <c r="O56" s="184"/>
      <c r="P56" s="208"/>
      <c r="Q56" s="176"/>
      <c r="R56" s="176"/>
      <c r="S56" s="176"/>
      <c r="T56" s="176"/>
      <c r="U56" s="216">
        <v>7.7880000000000007E-4</v>
      </c>
      <c r="V56" s="177">
        <f>SUM(Q56:U56)</f>
        <v>7.7880000000000007E-4</v>
      </c>
      <c r="W56" s="179"/>
      <c r="X56" s="179"/>
      <c r="Y56" s="179"/>
      <c r="Z56" s="177">
        <f>SUM(W56:Y56)</f>
        <v>0</v>
      </c>
      <c r="AA56" s="180">
        <f>+V56+Z56+P56</f>
        <v>7.7880000000000007E-4</v>
      </c>
      <c r="AB56" s="73">
        <f t="shared" ref="AB56:AB77" si="46">$H$2*F56</f>
        <v>2.4616582655630453E-4</v>
      </c>
      <c r="AC56" s="73">
        <f t="shared" ref="AC56:AC77" si="47">+$H$3*F56</f>
        <v>1.0441836799065287E-4</v>
      </c>
      <c r="AD56" s="73">
        <f t="shared" ref="AD56:AD77" si="48">+$H$4*F56</f>
        <v>1.3208935062096935E-5</v>
      </c>
      <c r="AE56" s="73">
        <f t="shared" ref="AE56:AE77" si="49">+$H$5*F56</f>
        <v>2.6920409014863529E-5</v>
      </c>
      <c r="AF56" s="182">
        <f t="shared" ref="AF56:AF77" si="50">+$H$6*F56</f>
        <v>1.9801876471799765E-7</v>
      </c>
      <c r="AG56" s="162">
        <f t="shared" ref="AG56:AG77" si="51">+AF56+AD56+AC56+AB56+AA56+AE56</f>
        <v>1.169711557388636E-3</v>
      </c>
      <c r="AH56" s="183">
        <f t="shared" si="38"/>
        <v>33.784131567163364</v>
      </c>
      <c r="AI56" s="183">
        <f t="shared" si="38"/>
        <v>10.678606409498856</v>
      </c>
      <c r="AJ56" s="183">
        <f t="shared" si="38"/>
        <v>4.5296403212951928</v>
      </c>
      <c r="AK56" s="160">
        <f t="shared" ref="AK56:AK95" si="52">+AG56/$F56*100</f>
        <v>50.741768297957421</v>
      </c>
      <c r="AL56" s="183">
        <f t="shared" ref="AL56:AN77" si="53">+AE56/$F56*100</f>
        <v>1.1678000000000002</v>
      </c>
      <c r="AM56" s="183">
        <f t="shared" si="53"/>
        <v>8.5899999999999987E-3</v>
      </c>
      <c r="AN56" s="160">
        <f t="shared" si="53"/>
        <v>50.741768297957421</v>
      </c>
      <c r="AO56" s="72"/>
      <c r="AP56" s="72"/>
      <c r="AQ56" s="72"/>
      <c r="AR56" s="72"/>
      <c r="AS56" s="72"/>
      <c r="AT56" s="72"/>
      <c r="AU56" s="72"/>
      <c r="AV56" s="72"/>
      <c r="AW56" s="72"/>
      <c r="AX56" s="72"/>
      <c r="AY56" s="72"/>
      <c r="AZ56" s="72"/>
      <c r="BA56" s="72"/>
      <c r="BB56" s="72"/>
    </row>
    <row r="57" spans="2:54">
      <c r="B57" s="165" t="str">
        <f t="shared" ref="B57:B77" si="54">D57</f>
        <v>PLGUM 002</v>
      </c>
      <c r="C57" s="155"/>
      <c r="D57" s="232" t="s">
        <v>79</v>
      </c>
      <c r="E57" s="167"/>
      <c r="F57" s="399">
        <v>2.9499285850620418</v>
      </c>
      <c r="G57" s="169"/>
      <c r="H57" s="169"/>
      <c r="I57" s="169"/>
      <c r="J57" s="171"/>
      <c r="K57" s="400">
        <v>10011</v>
      </c>
      <c r="L57" s="215"/>
      <c r="M57" s="173"/>
      <c r="N57" s="173"/>
      <c r="O57" s="184"/>
      <c r="P57" s="208"/>
      <c r="Q57" s="176"/>
      <c r="R57" s="176"/>
      <c r="S57" s="176"/>
      <c r="T57" s="176"/>
      <c r="U57" s="216">
        <v>0.80815104000000004</v>
      </c>
      <c r="V57" s="177">
        <f t="shared" ref="V57:V77" si="55">SUM(Q57:U57)</f>
        <v>0.80815104000000004</v>
      </c>
      <c r="W57" s="179"/>
      <c r="X57" s="179"/>
      <c r="Y57" s="179"/>
      <c r="Z57" s="177">
        <f t="shared" ref="Z57:Z77" si="56">SUM(W57:Y57)</f>
        <v>0</v>
      </c>
      <c r="AA57" s="180">
        <f t="shared" ref="AA57:AA77" si="57">+V57+Z57+P57</f>
        <v>0.80815104000000004</v>
      </c>
      <c r="AB57" s="73">
        <f t="shared" si="46"/>
        <v>0.31501126296007409</v>
      </c>
      <c r="AC57" s="73">
        <f t="shared" si="47"/>
        <v>0.13362115463838301</v>
      </c>
      <c r="AD57" s="73">
        <f t="shared" si="48"/>
        <v>1.6903090792405498E-2</v>
      </c>
      <c r="AE57" s="73">
        <f t="shared" si="49"/>
        <v>3.4449266016354528E-2</v>
      </c>
      <c r="AF57" s="182">
        <f t="shared" si="50"/>
        <v>2.5339886545682936E-4</v>
      </c>
      <c r="AG57" s="162">
        <f t="shared" si="51"/>
        <v>1.308389213272674</v>
      </c>
      <c r="AH57" s="183">
        <f t="shared" si="38"/>
        <v>27.395613713916511</v>
      </c>
      <c r="AI57" s="183">
        <f t="shared" si="38"/>
        <v>10.678606409498856</v>
      </c>
      <c r="AJ57" s="183">
        <f t="shared" si="38"/>
        <v>4.5296403212951928</v>
      </c>
      <c r="AK57" s="160">
        <f t="shared" si="52"/>
        <v>44.353250444710561</v>
      </c>
      <c r="AL57" s="183">
        <f t="shared" si="53"/>
        <v>1.1678000000000002</v>
      </c>
      <c r="AM57" s="183">
        <f t="shared" si="53"/>
        <v>8.5899999999999987E-3</v>
      </c>
      <c r="AN57" s="160">
        <f t="shared" si="53"/>
        <v>44.353250444710561</v>
      </c>
      <c r="AO57" s="72"/>
      <c r="AP57" s="72"/>
      <c r="AQ57" s="72"/>
      <c r="AR57" s="72"/>
      <c r="AS57" s="72"/>
      <c r="AT57" s="72"/>
      <c r="AU57" s="72"/>
      <c r="AV57" s="72"/>
      <c r="AW57" s="72"/>
      <c r="AX57" s="72"/>
      <c r="AY57" s="72"/>
      <c r="AZ57" s="72"/>
      <c r="BA57" s="72"/>
      <c r="BB57" s="72"/>
    </row>
    <row r="58" spans="2:54">
      <c r="B58" s="165" t="str">
        <f t="shared" si="54"/>
        <v>PLGUM 003</v>
      </c>
      <c r="C58" s="155"/>
      <c r="D58" s="232" t="s">
        <v>82</v>
      </c>
      <c r="E58" s="167"/>
      <c r="F58" s="399">
        <v>30.771393066933282</v>
      </c>
      <c r="G58" s="169"/>
      <c r="H58" s="169"/>
      <c r="I58" s="169"/>
      <c r="J58" s="171"/>
      <c r="K58" s="400">
        <v>74170</v>
      </c>
      <c r="L58" s="215"/>
      <c r="M58" s="173"/>
      <c r="N58" s="173"/>
      <c r="O58" s="184"/>
      <c r="P58" s="208"/>
      <c r="Q58" s="176"/>
      <c r="R58" s="176"/>
      <c r="S58" s="176"/>
      <c r="T58" s="176"/>
      <c r="U58" s="216">
        <v>6.2918712000000001</v>
      </c>
      <c r="V58" s="177">
        <f t="shared" si="55"/>
        <v>6.2918712000000001</v>
      </c>
      <c r="W58" s="179"/>
      <c r="X58" s="179"/>
      <c r="Y58" s="179"/>
      <c r="Z58" s="177">
        <f t="shared" si="56"/>
        <v>0</v>
      </c>
      <c r="AA58" s="180">
        <f t="shared" si="57"/>
        <v>6.2918712000000001</v>
      </c>
      <c r="AB58" s="73">
        <f t="shared" si="46"/>
        <v>3.2859559523376238</v>
      </c>
      <c r="AC58" s="73">
        <f t="shared" si="47"/>
        <v>1.3938334277840434</v>
      </c>
      <c r="AD58" s="73">
        <f t="shared" si="48"/>
        <v>0.17632008227352769</v>
      </c>
      <c r="AE58" s="73">
        <f t="shared" si="49"/>
        <v>0.35934832823564689</v>
      </c>
      <c r="AF58" s="182">
        <f t="shared" si="50"/>
        <v>2.6432626644495687E-3</v>
      </c>
      <c r="AG58" s="162">
        <f t="shared" si="51"/>
        <v>11.509972253295292</v>
      </c>
      <c r="AH58" s="183">
        <f t="shared" si="38"/>
        <v>20.44714448355996</v>
      </c>
      <c r="AI58" s="183">
        <f t="shared" si="38"/>
        <v>10.678606409498856</v>
      </c>
      <c r="AJ58" s="183">
        <f t="shared" si="38"/>
        <v>4.5296403212951928</v>
      </c>
      <c r="AK58" s="160">
        <f t="shared" si="52"/>
        <v>37.40478121435401</v>
      </c>
      <c r="AL58" s="183">
        <f t="shared" si="53"/>
        <v>1.1678000000000002</v>
      </c>
      <c r="AM58" s="183">
        <f t="shared" si="53"/>
        <v>8.5899999999999987E-3</v>
      </c>
      <c r="AN58" s="160">
        <f t="shared" si="53"/>
        <v>37.40478121435401</v>
      </c>
      <c r="AO58" s="72"/>
      <c r="AP58" s="72"/>
      <c r="AQ58" s="72"/>
      <c r="AR58" s="72"/>
      <c r="AS58" s="72"/>
      <c r="AT58" s="72"/>
      <c r="AU58" s="72"/>
      <c r="AV58" s="72"/>
      <c r="AW58" s="72"/>
      <c r="AX58" s="72"/>
      <c r="AY58" s="72"/>
      <c r="AZ58" s="72"/>
      <c r="BA58" s="72"/>
      <c r="BB58" s="72"/>
    </row>
    <row r="59" spans="2:54">
      <c r="B59" s="165" t="str">
        <f t="shared" si="54"/>
        <v>PLGUM 004</v>
      </c>
      <c r="C59" s="155"/>
      <c r="D59" s="232" t="s">
        <v>84</v>
      </c>
      <c r="E59" s="167"/>
      <c r="F59" s="399">
        <v>0.36987839334352141</v>
      </c>
      <c r="G59" s="169"/>
      <c r="H59" s="169"/>
      <c r="I59" s="169"/>
      <c r="J59" s="171"/>
      <c r="K59" s="400">
        <v>610</v>
      </c>
      <c r="L59" s="215"/>
      <c r="M59" s="173"/>
      <c r="N59" s="173"/>
      <c r="O59" s="184"/>
      <c r="P59" s="208"/>
      <c r="Q59" s="176"/>
      <c r="R59" s="176"/>
      <c r="S59" s="176"/>
      <c r="T59" s="176"/>
      <c r="U59" s="216">
        <v>5.7754799999999995E-2</v>
      </c>
      <c r="V59" s="177">
        <f t="shared" si="55"/>
        <v>5.7754799999999995E-2</v>
      </c>
      <c r="W59" s="179"/>
      <c r="X59" s="179"/>
      <c r="Y59" s="179"/>
      <c r="Z59" s="177">
        <f t="shared" si="56"/>
        <v>0</v>
      </c>
      <c r="AA59" s="180">
        <f t="shared" si="57"/>
        <v>5.7754799999999995E-2</v>
      </c>
      <c r="AB59" s="73">
        <f t="shared" si="46"/>
        <v>3.9497857818932669E-2</v>
      </c>
      <c r="AC59" s="73">
        <f t="shared" si="47"/>
        <v>1.6754160844646978E-2</v>
      </c>
      <c r="AD59" s="73">
        <f t="shared" si="48"/>
        <v>2.1194031938583774E-3</v>
      </c>
      <c r="AE59" s="73">
        <f t="shared" si="49"/>
        <v>4.3194398774656431E-3</v>
      </c>
      <c r="AF59" s="182">
        <f t="shared" si="50"/>
        <v>3.1772553988208484E-5</v>
      </c>
      <c r="AG59" s="162">
        <f t="shared" si="51"/>
        <v>0.12047743428889188</v>
      </c>
      <c r="AH59" s="183">
        <f t="shared" si="38"/>
        <v>15.614537382928642</v>
      </c>
      <c r="AI59" s="183">
        <f t="shared" si="38"/>
        <v>10.678606409498856</v>
      </c>
      <c r="AJ59" s="183">
        <f t="shared" si="38"/>
        <v>4.5296403212951919</v>
      </c>
      <c r="AK59" s="160">
        <f t="shared" si="52"/>
        <v>32.572174113722689</v>
      </c>
      <c r="AL59" s="183">
        <f t="shared" si="53"/>
        <v>1.1678000000000002</v>
      </c>
      <c r="AM59" s="183">
        <f t="shared" si="53"/>
        <v>8.5899999999999987E-3</v>
      </c>
      <c r="AN59" s="160">
        <f t="shared" si="53"/>
        <v>32.572174113722689</v>
      </c>
      <c r="AO59" s="72"/>
      <c r="AP59" s="72"/>
      <c r="AQ59" s="72"/>
      <c r="AR59" s="72"/>
      <c r="AS59" s="72"/>
      <c r="AT59" s="72"/>
      <c r="AU59" s="72"/>
      <c r="AV59" s="72"/>
      <c r="AW59" s="72"/>
      <c r="AX59" s="72"/>
      <c r="AY59" s="72"/>
      <c r="AZ59" s="72"/>
      <c r="BA59" s="72"/>
      <c r="BB59" s="72"/>
    </row>
    <row r="60" spans="2:54">
      <c r="B60" s="165" t="str">
        <f t="shared" si="54"/>
        <v>PLGUM 005</v>
      </c>
      <c r="C60" s="155"/>
      <c r="D60" s="232" t="s">
        <v>86</v>
      </c>
      <c r="E60" s="167"/>
      <c r="F60" s="399">
        <v>16.622141387805254</v>
      </c>
      <c r="G60" s="169"/>
      <c r="H60" s="169"/>
      <c r="I60" s="169"/>
      <c r="J60" s="171"/>
      <c r="K60" s="400">
        <v>18448</v>
      </c>
      <c r="L60" s="215"/>
      <c r="M60" s="173"/>
      <c r="N60" s="173"/>
      <c r="O60" s="184"/>
      <c r="P60" s="208"/>
      <c r="Q60" s="176"/>
      <c r="R60" s="176"/>
      <c r="S60" s="176"/>
      <c r="T60" s="176"/>
      <c r="U60" s="216">
        <v>2.69572608</v>
      </c>
      <c r="V60" s="177">
        <f t="shared" si="55"/>
        <v>2.69572608</v>
      </c>
      <c r="W60" s="179"/>
      <c r="X60" s="179"/>
      <c r="Y60" s="179"/>
      <c r="Z60" s="177">
        <f t="shared" si="56"/>
        <v>0</v>
      </c>
      <c r="AA60" s="180">
        <f t="shared" si="57"/>
        <v>2.69572608</v>
      </c>
      <c r="AB60" s="73">
        <f t="shared" si="46"/>
        <v>1.7750130556341339</v>
      </c>
      <c r="AC60" s="73">
        <f t="shared" si="47"/>
        <v>0.75292321856472311</v>
      </c>
      <c r="AD60" s="73">
        <f t="shared" si="48"/>
        <v>9.52448701521241E-2</v>
      </c>
      <c r="AE60" s="73">
        <f t="shared" si="49"/>
        <v>0.19411336712678975</v>
      </c>
      <c r="AF60" s="182">
        <f t="shared" si="50"/>
        <v>1.427841945212471E-3</v>
      </c>
      <c r="AG60" s="162">
        <f t="shared" si="51"/>
        <v>5.5144484334229835</v>
      </c>
      <c r="AH60" s="183">
        <f t="shared" si="38"/>
        <v>16.217682289585778</v>
      </c>
      <c r="AI60" s="183">
        <f t="shared" si="38"/>
        <v>10.678606409498856</v>
      </c>
      <c r="AJ60" s="183">
        <f t="shared" si="38"/>
        <v>4.5296403212951928</v>
      </c>
      <c r="AK60" s="160">
        <f t="shared" si="52"/>
        <v>33.175319020379831</v>
      </c>
      <c r="AL60" s="183">
        <f t="shared" si="53"/>
        <v>1.1678000000000002</v>
      </c>
      <c r="AM60" s="183">
        <f t="shared" si="53"/>
        <v>8.5899999999999987E-3</v>
      </c>
      <c r="AN60" s="160">
        <f t="shared" si="53"/>
        <v>33.175319020379831</v>
      </c>
      <c r="AO60" s="72"/>
      <c r="AP60" s="72"/>
      <c r="AQ60" s="72"/>
      <c r="AR60" s="72"/>
      <c r="AS60" s="72"/>
      <c r="AT60" s="72"/>
      <c r="AU60" s="72"/>
      <c r="AV60" s="72"/>
      <c r="AW60" s="72"/>
      <c r="AX60" s="72"/>
      <c r="AY60" s="72"/>
      <c r="AZ60" s="72"/>
      <c r="BA60" s="72"/>
      <c r="BB60" s="72"/>
    </row>
    <row r="61" spans="2:54">
      <c r="B61" s="165" t="str">
        <f t="shared" si="54"/>
        <v>PLGUM 006</v>
      </c>
      <c r="C61" s="155"/>
      <c r="D61" s="232" t="s">
        <v>90</v>
      </c>
      <c r="E61" s="167"/>
      <c r="F61" s="399">
        <v>0.83326357637612969</v>
      </c>
      <c r="G61" s="169"/>
      <c r="H61" s="169"/>
      <c r="I61" s="169"/>
      <c r="J61" s="171"/>
      <c r="K61" s="400">
        <v>746</v>
      </c>
      <c r="L61" s="215"/>
      <c r="M61" s="173"/>
      <c r="N61" s="173"/>
      <c r="O61" s="184"/>
      <c r="P61" s="208"/>
      <c r="Q61" s="176"/>
      <c r="R61" s="176"/>
      <c r="S61" s="176"/>
      <c r="T61" s="176"/>
      <c r="U61" s="216">
        <v>0.11924063999999999</v>
      </c>
      <c r="V61" s="177">
        <f t="shared" si="55"/>
        <v>0.11924063999999999</v>
      </c>
      <c r="W61" s="179"/>
      <c r="X61" s="179"/>
      <c r="Y61" s="179"/>
      <c r="Z61" s="177">
        <f t="shared" si="56"/>
        <v>0</v>
      </c>
      <c r="AA61" s="180">
        <f t="shared" si="57"/>
        <v>0.11924063999999999</v>
      </c>
      <c r="AB61" s="73">
        <f t="shared" si="46"/>
        <v>8.8980937674920782E-2</v>
      </c>
      <c r="AC61" s="73">
        <f t="shared" si="47"/>
        <v>3.7743842938199532E-2</v>
      </c>
      <c r="AD61" s="73">
        <f t="shared" si="48"/>
        <v>4.7746002926352228E-3</v>
      </c>
      <c r="AE61" s="73">
        <f t="shared" si="49"/>
        <v>9.730852044920444E-3</v>
      </c>
      <c r="AF61" s="182">
        <f t="shared" si="50"/>
        <v>7.1577341210709531E-5</v>
      </c>
      <c r="AG61" s="162">
        <f t="shared" si="51"/>
        <v>0.26054245029188672</v>
      </c>
      <c r="AH61" s="183">
        <f t="shared" si="38"/>
        <v>14.31007467271983</v>
      </c>
      <c r="AI61" s="183">
        <f t="shared" si="38"/>
        <v>10.678606409498856</v>
      </c>
      <c r="AJ61" s="183">
        <f t="shared" si="38"/>
        <v>4.5296403212951928</v>
      </c>
      <c r="AK61" s="160">
        <f t="shared" si="52"/>
        <v>31.267711403513882</v>
      </c>
      <c r="AL61" s="183">
        <f t="shared" si="53"/>
        <v>1.1678000000000002</v>
      </c>
      <c r="AM61" s="183">
        <f t="shared" si="53"/>
        <v>8.5899999999999987E-3</v>
      </c>
      <c r="AN61" s="160">
        <f t="shared" si="53"/>
        <v>31.267711403513882</v>
      </c>
      <c r="AO61" s="72"/>
      <c r="AP61" s="72"/>
      <c r="AQ61" s="72"/>
      <c r="AR61" s="72"/>
      <c r="AS61" s="72"/>
      <c r="AT61" s="72"/>
      <c r="AU61" s="72"/>
      <c r="AV61" s="72"/>
      <c r="AW61" s="72"/>
      <c r="AX61" s="72"/>
      <c r="AY61" s="72"/>
      <c r="AZ61" s="72"/>
      <c r="BA61" s="72"/>
      <c r="BB61" s="72"/>
    </row>
    <row r="62" spans="2:54">
      <c r="B62" s="165" t="str">
        <f t="shared" si="54"/>
        <v>PLGUM 007</v>
      </c>
      <c r="C62" s="155"/>
      <c r="D62" s="232" t="s">
        <v>92</v>
      </c>
      <c r="E62" s="167"/>
      <c r="F62" s="399">
        <v>1.9540812748732657</v>
      </c>
      <c r="G62" s="169"/>
      <c r="H62" s="169"/>
      <c r="I62" s="169"/>
      <c r="J62" s="171"/>
      <c r="K62" s="400">
        <v>1136</v>
      </c>
      <c r="L62" s="215"/>
      <c r="M62" s="173"/>
      <c r="N62" s="173"/>
      <c r="O62" s="184"/>
      <c r="P62" s="208"/>
      <c r="Q62" s="176"/>
      <c r="R62" s="176"/>
      <c r="S62" s="176"/>
      <c r="T62" s="176"/>
      <c r="U62" s="216">
        <v>0.24755711999999999</v>
      </c>
      <c r="V62" s="177">
        <f t="shared" si="55"/>
        <v>0.24755711999999999</v>
      </c>
      <c r="W62" s="179"/>
      <c r="X62" s="179"/>
      <c r="Y62" s="179"/>
      <c r="Z62" s="177">
        <f t="shared" si="56"/>
        <v>0</v>
      </c>
      <c r="AA62" s="180">
        <f t="shared" si="57"/>
        <v>0.24755711999999999</v>
      </c>
      <c r="AB62" s="73">
        <f t="shared" si="46"/>
        <v>0.20866864826543349</v>
      </c>
      <c r="AC62" s="73">
        <f t="shared" si="47"/>
        <v>8.8512853337538583E-2</v>
      </c>
      <c r="AD62" s="73">
        <f t="shared" si="48"/>
        <v>1.1196885705023812E-2</v>
      </c>
      <c r="AE62" s="73">
        <f t="shared" si="49"/>
        <v>2.2819761127969997E-2</v>
      </c>
      <c r="AF62" s="182">
        <f t="shared" si="50"/>
        <v>1.678555815116135E-4</v>
      </c>
      <c r="AG62" s="162">
        <f t="shared" si="51"/>
        <v>0.57892312401747748</v>
      </c>
      <c r="AH62" s="183">
        <f t="shared" si="38"/>
        <v>12.668721776480643</v>
      </c>
      <c r="AI62" s="183">
        <f t="shared" si="38"/>
        <v>10.678606409498856</v>
      </c>
      <c r="AJ62" s="183">
        <f t="shared" si="38"/>
        <v>4.5296403212951928</v>
      </c>
      <c r="AK62" s="160">
        <f t="shared" si="52"/>
        <v>29.626358507274691</v>
      </c>
      <c r="AL62" s="183">
        <f t="shared" si="53"/>
        <v>1.1678000000000002</v>
      </c>
      <c r="AM62" s="183">
        <f t="shared" si="53"/>
        <v>8.5899999999999987E-3</v>
      </c>
      <c r="AN62" s="160">
        <f t="shared" si="53"/>
        <v>29.626358507274691</v>
      </c>
      <c r="AO62" s="72"/>
      <c r="AP62" s="72"/>
      <c r="AQ62" s="72"/>
      <c r="AR62" s="72"/>
      <c r="AS62" s="72"/>
      <c r="AT62" s="72"/>
      <c r="AU62" s="72"/>
      <c r="AV62" s="72"/>
      <c r="AW62" s="72"/>
      <c r="AX62" s="72"/>
      <c r="AY62" s="72"/>
      <c r="AZ62" s="72"/>
      <c r="BA62" s="72"/>
      <c r="BB62" s="72"/>
    </row>
    <row r="63" spans="2:54">
      <c r="B63" s="165" t="str">
        <f t="shared" si="54"/>
        <v>PLGUM 010</v>
      </c>
      <c r="C63" s="155"/>
      <c r="D63" s="232" t="s">
        <v>96</v>
      </c>
      <c r="E63" s="167"/>
      <c r="F63" s="399">
        <v>7.3348044926763879E-3</v>
      </c>
      <c r="G63" s="169"/>
      <c r="H63" s="169"/>
      <c r="I63" s="169"/>
      <c r="J63" s="171"/>
      <c r="K63" s="400">
        <v>35</v>
      </c>
      <c r="L63" s="215"/>
      <c r="M63" s="173"/>
      <c r="N63" s="173"/>
      <c r="O63" s="184"/>
      <c r="P63" s="208"/>
      <c r="Q63" s="176"/>
      <c r="R63" s="176"/>
      <c r="S63" s="176"/>
      <c r="T63" s="176"/>
      <c r="U63" s="216">
        <v>3.7589999999999998E-3</v>
      </c>
      <c r="V63" s="177">
        <f t="shared" si="55"/>
        <v>3.7589999999999998E-3</v>
      </c>
      <c r="W63" s="179"/>
      <c r="X63" s="179"/>
      <c r="Y63" s="179"/>
      <c r="Z63" s="177">
        <f t="shared" si="56"/>
        <v>0</v>
      </c>
      <c r="AA63" s="180">
        <f t="shared" si="57"/>
        <v>3.7589999999999998E-3</v>
      </c>
      <c r="AB63" s="73">
        <f t="shared" si="46"/>
        <v>7.8325490267915077E-4</v>
      </c>
      <c r="AC63" s="73">
        <f t="shared" si="47"/>
        <v>3.3224026178844095E-4</v>
      </c>
      <c r="AD63" s="73">
        <f t="shared" si="48"/>
        <v>4.2028429743035704E-5</v>
      </c>
      <c r="AE63" s="73">
        <f t="shared" si="49"/>
        <v>8.565584686547486E-5</v>
      </c>
      <c r="AF63" s="182">
        <f t="shared" si="50"/>
        <v>6.3005970592090159E-7</v>
      </c>
      <c r="AG63" s="162">
        <f t="shared" si="51"/>
        <v>5.002809500782023E-3</v>
      </c>
      <c r="AH63" s="183">
        <f t="shared" si="38"/>
        <v>51.248809750188485</v>
      </c>
      <c r="AI63" s="183">
        <f t="shared" si="38"/>
        <v>10.678606409498856</v>
      </c>
      <c r="AJ63" s="183">
        <f t="shared" si="38"/>
        <v>4.5296403212951928</v>
      </c>
      <c r="AK63" s="160">
        <f t="shared" si="52"/>
        <v>68.206446480982535</v>
      </c>
      <c r="AL63" s="183">
        <f t="shared" si="53"/>
        <v>1.1678000000000002</v>
      </c>
      <c r="AM63" s="183">
        <f t="shared" si="53"/>
        <v>8.5899999999999987E-3</v>
      </c>
      <c r="AN63" s="160">
        <f t="shared" si="53"/>
        <v>68.206446480982535</v>
      </c>
      <c r="AO63" s="72"/>
      <c r="AP63" s="72"/>
      <c r="AQ63" s="72"/>
      <c r="AR63" s="72"/>
      <c r="AS63" s="72"/>
      <c r="AT63" s="72"/>
      <c r="AU63" s="72"/>
      <c r="AV63" s="72"/>
      <c r="AW63" s="72"/>
      <c r="AX63" s="72"/>
      <c r="AY63" s="72"/>
      <c r="AZ63" s="72"/>
      <c r="BA63" s="72"/>
      <c r="BB63" s="72"/>
    </row>
    <row r="64" spans="2:54">
      <c r="B64" s="165" t="str">
        <f t="shared" si="54"/>
        <v>PLGUM 011</v>
      </c>
      <c r="C64" s="155"/>
      <c r="D64" s="232" t="s">
        <v>99</v>
      </c>
      <c r="E64" s="167"/>
      <c r="F64" s="399">
        <v>16.881865804294222</v>
      </c>
      <c r="G64" s="169"/>
      <c r="H64" s="169"/>
      <c r="I64" s="169"/>
      <c r="J64" s="171"/>
      <c r="K64" s="650">
        <v>48238</v>
      </c>
      <c r="L64" s="215"/>
      <c r="M64" s="173"/>
      <c r="N64" s="173"/>
      <c r="O64" s="184"/>
      <c r="P64" s="208"/>
      <c r="Q64" s="176"/>
      <c r="R64" s="176"/>
      <c r="S64" s="176"/>
      <c r="T64" s="176"/>
      <c r="U64" s="216">
        <v>6.5133379199999997</v>
      </c>
      <c r="V64" s="177">
        <f t="shared" si="55"/>
        <v>6.5133379199999997</v>
      </c>
      <c r="W64" s="179"/>
      <c r="X64" s="179"/>
      <c r="Y64" s="179"/>
      <c r="Z64" s="177">
        <f t="shared" si="56"/>
        <v>0</v>
      </c>
      <c r="AA64" s="180">
        <f t="shared" si="57"/>
        <v>6.5133379199999997</v>
      </c>
      <c r="AB64" s="73">
        <f t="shared" si="46"/>
        <v>1.8027480038203583</v>
      </c>
      <c r="AC64" s="73">
        <f t="shared" si="47"/>
        <v>0.76468780045825602</v>
      </c>
      <c r="AD64" s="73">
        <f t="shared" si="48"/>
        <v>9.6733091058605891E-2</v>
      </c>
      <c r="AE64" s="73">
        <f t="shared" si="49"/>
        <v>0.19714642886254793</v>
      </c>
      <c r="AF64" s="182">
        <f t="shared" si="50"/>
        <v>1.4501522725888735E-3</v>
      </c>
      <c r="AG64" s="162">
        <f t="shared" si="51"/>
        <v>9.3761033964723559</v>
      </c>
      <c r="AH64" s="183">
        <f t="shared" si="38"/>
        <v>38.581860533112454</v>
      </c>
      <c r="AI64" s="183">
        <f t="shared" si="38"/>
        <v>10.678606409498856</v>
      </c>
      <c r="AJ64" s="183">
        <f t="shared" si="38"/>
        <v>4.5296403212951928</v>
      </c>
      <c r="AK64" s="160">
        <f t="shared" si="52"/>
        <v>55.539497263906497</v>
      </c>
      <c r="AL64" s="183">
        <f t="shared" si="53"/>
        <v>1.1678000000000002</v>
      </c>
      <c r="AM64" s="183">
        <f t="shared" si="53"/>
        <v>8.5899999999999987E-3</v>
      </c>
      <c r="AN64" s="160">
        <f t="shared" si="53"/>
        <v>55.539497263906497</v>
      </c>
      <c r="AO64" s="72"/>
      <c r="AP64" s="72"/>
      <c r="AQ64" s="72"/>
      <c r="AR64" s="72"/>
      <c r="AS64" s="72"/>
      <c r="AT64" s="72"/>
      <c r="AU64" s="72"/>
      <c r="AV64" s="72"/>
      <c r="AW64" s="72"/>
      <c r="AX64" s="72"/>
      <c r="AY64" s="72"/>
      <c r="AZ64" s="72"/>
      <c r="BA64" s="72"/>
      <c r="BB64" s="72"/>
    </row>
    <row r="65" spans="2:55">
      <c r="B65" s="165" t="str">
        <f t="shared" si="54"/>
        <v>PLGUM 012</v>
      </c>
      <c r="C65" s="155"/>
      <c r="D65" s="232" t="s">
        <v>100</v>
      </c>
      <c r="E65" s="167"/>
      <c r="F65" s="399">
        <v>108.73997122326206</v>
      </c>
      <c r="G65" s="169"/>
      <c r="H65" s="169"/>
      <c r="I65" s="169"/>
      <c r="J65" s="171"/>
      <c r="K65" s="650">
        <v>239243</v>
      </c>
      <c r="L65" s="215"/>
      <c r="M65" s="173"/>
      <c r="N65" s="173"/>
      <c r="O65" s="184"/>
      <c r="P65" s="208"/>
      <c r="Q65" s="176"/>
      <c r="R65" s="176"/>
      <c r="S65" s="176"/>
      <c r="T65" s="176"/>
      <c r="U65" s="216">
        <v>32.632251599999996</v>
      </c>
      <c r="V65" s="177">
        <f t="shared" si="55"/>
        <v>32.632251599999996</v>
      </c>
      <c r="W65" s="179"/>
      <c r="X65" s="179"/>
      <c r="Y65" s="179"/>
      <c r="Z65" s="177">
        <f t="shared" si="56"/>
        <v>0</v>
      </c>
      <c r="AA65" s="180">
        <f t="shared" si="57"/>
        <v>32.632251599999996</v>
      </c>
      <c r="AB65" s="73">
        <f t="shared" si="46"/>
        <v>11.611913536734473</v>
      </c>
      <c r="AC65" s="73">
        <f t="shared" si="47"/>
        <v>4.9255295818936675</v>
      </c>
      <c r="AD65" s="73">
        <f t="shared" si="48"/>
        <v>0.62308003510929155</v>
      </c>
      <c r="AE65" s="73">
        <f t="shared" si="49"/>
        <v>1.2698653839452545</v>
      </c>
      <c r="AF65" s="182">
        <f t="shared" si="50"/>
        <v>9.3407635280782098E-3</v>
      </c>
      <c r="AG65" s="162">
        <f t="shared" si="51"/>
        <v>51.071980901210758</v>
      </c>
      <c r="AH65" s="183">
        <f t="shared" si="38"/>
        <v>30.009435567166292</v>
      </c>
      <c r="AI65" s="183">
        <f t="shared" si="38"/>
        <v>10.678606409498856</v>
      </c>
      <c r="AJ65" s="183">
        <f t="shared" si="38"/>
        <v>4.5296403212951928</v>
      </c>
      <c r="AK65" s="160">
        <f t="shared" si="52"/>
        <v>46.967072297960335</v>
      </c>
      <c r="AL65" s="183">
        <f t="shared" si="53"/>
        <v>1.1678000000000002</v>
      </c>
      <c r="AM65" s="183">
        <f t="shared" si="53"/>
        <v>8.5899999999999987E-3</v>
      </c>
      <c r="AN65" s="160">
        <f t="shared" si="53"/>
        <v>46.967072297960335</v>
      </c>
      <c r="AO65" s="72"/>
      <c r="AP65" s="72"/>
      <c r="AQ65" s="72"/>
      <c r="AR65" s="72"/>
      <c r="AS65" s="72"/>
      <c r="AT65" s="72"/>
      <c r="AU65" s="72"/>
      <c r="AV65" s="72"/>
      <c r="AW65" s="72"/>
      <c r="AX65" s="72"/>
      <c r="AY65" s="72"/>
      <c r="AZ65" s="72"/>
      <c r="BA65" s="72"/>
      <c r="BB65" s="72"/>
    </row>
    <row r="66" spans="2:55">
      <c r="B66" s="165" t="str">
        <f t="shared" si="54"/>
        <v>PLGUM 013</v>
      </c>
      <c r="C66" s="155"/>
      <c r="D66" s="232" t="s">
        <v>101</v>
      </c>
      <c r="E66" s="167"/>
      <c r="F66" s="399">
        <v>0.44627950409972417</v>
      </c>
      <c r="G66" s="169"/>
      <c r="H66" s="169"/>
      <c r="I66" s="169"/>
      <c r="J66" s="171"/>
      <c r="K66" s="400">
        <v>736</v>
      </c>
      <c r="L66" s="215"/>
      <c r="M66" s="173"/>
      <c r="N66" s="173"/>
      <c r="O66" s="184"/>
      <c r="P66" s="208"/>
      <c r="Q66" s="176"/>
      <c r="R66" s="176"/>
      <c r="S66" s="176"/>
      <c r="T66" s="176"/>
      <c r="U66" s="216">
        <v>9.6180480000000013E-2</v>
      </c>
      <c r="V66" s="177">
        <f t="shared" si="55"/>
        <v>9.6180480000000013E-2</v>
      </c>
      <c r="W66" s="179"/>
      <c r="X66" s="179"/>
      <c r="Y66" s="179"/>
      <c r="Z66" s="177">
        <f t="shared" si="56"/>
        <v>0</v>
      </c>
      <c r="AA66" s="180">
        <f t="shared" si="57"/>
        <v>9.6180480000000013E-2</v>
      </c>
      <c r="AB66" s="73">
        <f t="shared" si="46"/>
        <v>4.7656431729072857E-2</v>
      </c>
      <c r="AC66" s="73">
        <f t="shared" si="47"/>
        <v>2.0214856363377338E-2</v>
      </c>
      <c r="AD66" s="73">
        <f t="shared" si="48"/>
        <v>2.5571815584914193E-3</v>
      </c>
      <c r="AE66" s="73">
        <f t="shared" si="49"/>
        <v>5.2116520488765796E-3</v>
      </c>
      <c r="AF66" s="182">
        <f t="shared" si="50"/>
        <v>3.83354094021663E-5</v>
      </c>
      <c r="AG66" s="162">
        <f t="shared" si="51"/>
        <v>0.17185893710922037</v>
      </c>
      <c r="AH66" s="183">
        <f t="shared" si="38"/>
        <v>21.551623840315965</v>
      </c>
      <c r="AI66" s="183">
        <f t="shared" si="38"/>
        <v>10.678606409498856</v>
      </c>
      <c r="AJ66" s="183">
        <f t="shared" si="38"/>
        <v>4.5296403212951928</v>
      </c>
      <c r="AK66" s="160">
        <f t="shared" si="52"/>
        <v>38.509260571110019</v>
      </c>
      <c r="AL66" s="183">
        <f t="shared" si="53"/>
        <v>1.1678000000000002</v>
      </c>
      <c r="AM66" s="183">
        <f t="shared" si="53"/>
        <v>8.5899999999999987E-3</v>
      </c>
      <c r="AN66" s="160">
        <f t="shared" si="53"/>
        <v>38.509260571110019</v>
      </c>
      <c r="AO66" s="72"/>
      <c r="AP66" s="72"/>
      <c r="AQ66" s="72"/>
      <c r="AR66" s="72"/>
      <c r="AS66" s="72"/>
      <c r="AT66" s="72"/>
      <c r="AU66" s="72"/>
      <c r="AV66" s="72"/>
      <c r="AW66" s="72"/>
      <c r="AX66" s="72"/>
      <c r="AY66" s="72"/>
      <c r="AZ66" s="72"/>
      <c r="BA66" s="72"/>
      <c r="BB66" s="72"/>
    </row>
    <row r="67" spans="2:55">
      <c r="B67" s="165" t="str">
        <f t="shared" si="54"/>
        <v>PLGUM 014</v>
      </c>
      <c r="C67" s="155"/>
      <c r="D67" s="232" t="s">
        <v>102</v>
      </c>
      <c r="E67" s="167"/>
      <c r="F67" s="399">
        <v>32.88927823816497</v>
      </c>
      <c r="G67" s="169"/>
      <c r="H67" s="169"/>
      <c r="I67" s="169"/>
      <c r="J67" s="171"/>
      <c r="K67" s="400">
        <v>36502</v>
      </c>
      <c r="L67" s="215"/>
      <c r="M67" s="173"/>
      <c r="N67" s="173"/>
      <c r="O67" s="184"/>
      <c r="P67" s="208"/>
      <c r="Q67" s="176"/>
      <c r="R67" s="176"/>
      <c r="S67" s="176"/>
      <c r="T67" s="176"/>
      <c r="U67" s="216">
        <v>5.9109455999999998</v>
      </c>
      <c r="V67" s="177">
        <f t="shared" si="55"/>
        <v>5.9109455999999998</v>
      </c>
      <c r="W67" s="179"/>
      <c r="X67" s="179"/>
      <c r="Y67" s="179"/>
      <c r="Z67" s="177">
        <f t="shared" si="56"/>
        <v>0</v>
      </c>
      <c r="AA67" s="180">
        <f t="shared" si="57"/>
        <v>5.9109455999999998</v>
      </c>
      <c r="AB67" s="73">
        <f t="shared" si="46"/>
        <v>3.5121165739785969</v>
      </c>
      <c r="AC67" s="73">
        <f t="shared" si="47"/>
        <v>1.4897660084588855</v>
      </c>
      <c r="AD67" s="73">
        <f t="shared" si="48"/>
        <v>0.18845556430468527</v>
      </c>
      <c r="AE67" s="73">
        <f t="shared" si="49"/>
        <v>0.38408099126529055</v>
      </c>
      <c r="AF67" s="182">
        <f t="shared" si="50"/>
        <v>2.8251890006583706E-3</v>
      </c>
      <c r="AG67" s="162">
        <f t="shared" si="51"/>
        <v>11.488189927008117</v>
      </c>
      <c r="AH67" s="183">
        <f t="shared" si="38"/>
        <v>17.972256968354184</v>
      </c>
      <c r="AI67" s="183">
        <f t="shared" si="38"/>
        <v>10.678606409498856</v>
      </c>
      <c r="AJ67" s="183">
        <f t="shared" si="38"/>
        <v>4.5296403212951928</v>
      </c>
      <c r="AK67" s="160">
        <f t="shared" si="52"/>
        <v>34.929893699148238</v>
      </c>
      <c r="AL67" s="183">
        <f t="shared" si="53"/>
        <v>1.1678000000000002</v>
      </c>
      <c r="AM67" s="183">
        <f t="shared" si="53"/>
        <v>8.5899999999999987E-3</v>
      </c>
      <c r="AN67" s="160">
        <f t="shared" si="53"/>
        <v>34.929893699148238</v>
      </c>
      <c r="AO67" s="72"/>
      <c r="AP67" s="72"/>
      <c r="AQ67" s="72"/>
      <c r="AR67" s="72"/>
      <c r="AS67" s="72"/>
      <c r="AT67" s="72"/>
      <c r="AU67" s="72"/>
      <c r="AV67" s="72"/>
      <c r="AW67" s="72"/>
      <c r="AX67" s="72"/>
      <c r="AY67" s="72"/>
      <c r="AZ67" s="72"/>
      <c r="BA67" s="72"/>
      <c r="BB67" s="72"/>
    </row>
    <row r="68" spans="2:55">
      <c r="B68" s="165" t="str">
        <f t="shared" si="54"/>
        <v>PLGUM 015</v>
      </c>
      <c r="C68" s="155"/>
      <c r="D68" s="232" t="s">
        <v>106</v>
      </c>
      <c r="E68" s="167"/>
      <c r="F68" s="399">
        <v>0.15525956718000275</v>
      </c>
      <c r="G68" s="169"/>
      <c r="H68" s="169"/>
      <c r="I68" s="169"/>
      <c r="J68" s="171"/>
      <c r="K68" s="400">
        <v>139</v>
      </c>
      <c r="L68" s="215"/>
      <c r="M68" s="173"/>
      <c r="N68" s="173"/>
      <c r="O68" s="184"/>
      <c r="P68" s="208"/>
      <c r="Q68" s="176"/>
      <c r="R68" s="176"/>
      <c r="S68" s="176"/>
      <c r="T68" s="176"/>
      <c r="U68" s="216">
        <v>1.5465600000000001E-2</v>
      </c>
      <c r="V68" s="177">
        <f t="shared" si="55"/>
        <v>1.5465600000000001E-2</v>
      </c>
      <c r="W68" s="179"/>
      <c r="X68" s="179"/>
      <c r="Y68" s="179"/>
      <c r="Z68" s="177">
        <f t="shared" si="56"/>
        <v>0</v>
      </c>
      <c r="AA68" s="180">
        <f t="shared" si="57"/>
        <v>1.5465600000000001E-2</v>
      </c>
      <c r="AB68" s="73">
        <f t="shared" si="46"/>
        <v>1.6579558092243957E-2</v>
      </c>
      <c r="AC68" s="73">
        <f t="shared" si="47"/>
        <v>7.0326999576538016E-3</v>
      </c>
      <c r="AD68" s="73">
        <f t="shared" si="48"/>
        <v>8.8963731994141568E-4</v>
      </c>
      <c r="AE68" s="73">
        <f t="shared" si="49"/>
        <v>1.8131212255280723E-3</v>
      </c>
      <c r="AF68" s="182">
        <f t="shared" si="50"/>
        <v>1.3336796820762234E-5</v>
      </c>
      <c r="AG68" s="162">
        <f t="shared" si="51"/>
        <v>4.1793953392188006E-2</v>
      </c>
      <c r="AH68" s="183">
        <f t="shared" si="38"/>
        <v>9.9611252825854528</v>
      </c>
      <c r="AI68" s="183">
        <f t="shared" si="38"/>
        <v>10.678606409498856</v>
      </c>
      <c r="AJ68" s="183">
        <f t="shared" si="38"/>
        <v>4.5296403212951928</v>
      </c>
      <c r="AK68" s="160">
        <f t="shared" si="52"/>
        <v>26.918762013379499</v>
      </c>
      <c r="AL68" s="183">
        <f t="shared" si="53"/>
        <v>1.1678000000000002</v>
      </c>
      <c r="AM68" s="183">
        <f t="shared" si="53"/>
        <v>8.5899999999999987E-3</v>
      </c>
      <c r="AN68" s="160">
        <f t="shared" si="53"/>
        <v>26.918762013379499</v>
      </c>
      <c r="AO68" s="72"/>
      <c r="AP68" s="72"/>
      <c r="AQ68" s="72"/>
      <c r="AR68" s="72"/>
      <c r="AS68" s="72"/>
      <c r="AT68" s="72"/>
      <c r="AU68" s="72"/>
      <c r="AV68" s="72"/>
      <c r="AW68" s="72"/>
      <c r="AX68" s="72"/>
      <c r="AY68" s="72"/>
      <c r="AZ68" s="72"/>
      <c r="BA68" s="72"/>
      <c r="BB68" s="72"/>
    </row>
    <row r="69" spans="2:55">
      <c r="B69" s="165" t="str">
        <f t="shared" si="54"/>
        <v>PLGUM 020</v>
      </c>
      <c r="C69" s="155"/>
      <c r="D69" s="232" t="s">
        <v>109</v>
      </c>
      <c r="E69" s="167"/>
      <c r="F69" s="399">
        <v>0.32116018575090349</v>
      </c>
      <c r="G69" s="169"/>
      <c r="H69" s="169"/>
      <c r="I69" s="169"/>
      <c r="J69" s="171"/>
      <c r="K69" s="650">
        <v>0</v>
      </c>
      <c r="L69" s="215"/>
      <c r="M69" s="173"/>
      <c r="N69" s="173"/>
      <c r="O69" s="184"/>
      <c r="P69" s="208"/>
      <c r="Q69" s="176"/>
      <c r="R69" s="176"/>
      <c r="S69" s="176"/>
      <c r="T69" s="176"/>
      <c r="U69" s="216">
        <v>5.1053040000000001E-2</v>
      </c>
      <c r="V69" s="177">
        <f t="shared" si="55"/>
        <v>5.1053040000000001E-2</v>
      </c>
      <c r="W69" s="179"/>
      <c r="X69" s="179"/>
      <c r="Y69" s="179"/>
      <c r="Z69" s="177">
        <f t="shared" si="56"/>
        <v>0</v>
      </c>
      <c r="AA69" s="180">
        <f t="shared" si="57"/>
        <v>5.1053040000000001E-2</v>
      </c>
      <c r="AB69" s="73">
        <f t="shared" si="46"/>
        <v>3.4295432180354413E-2</v>
      </c>
      <c r="AC69" s="73">
        <f t="shared" si="47"/>
        <v>1.4547401269719462E-2</v>
      </c>
      <c r="AD69" s="73">
        <f t="shared" si="48"/>
        <v>1.840247864352677E-3</v>
      </c>
      <c r="AE69" s="73">
        <f t="shared" si="49"/>
        <v>3.7505086491990513E-3</v>
      </c>
      <c r="AF69" s="182">
        <f t="shared" si="50"/>
        <v>2.7587659956002606E-5</v>
      </c>
      <c r="AG69" s="162">
        <f t="shared" si="51"/>
        <v>0.10551421762358161</v>
      </c>
      <c r="AH69" s="183">
        <f t="shared" si="38"/>
        <v>15.896441173314516</v>
      </c>
      <c r="AI69" s="183">
        <f t="shared" si="38"/>
        <v>10.678606409498856</v>
      </c>
      <c r="AJ69" s="183">
        <f t="shared" si="38"/>
        <v>4.5296403212951928</v>
      </c>
      <c r="AK69" s="160">
        <f t="shared" si="52"/>
        <v>32.854077904108564</v>
      </c>
      <c r="AL69" s="183">
        <f t="shared" si="53"/>
        <v>1.1678000000000002</v>
      </c>
      <c r="AM69" s="183">
        <f t="shared" si="53"/>
        <v>8.5899999999999987E-3</v>
      </c>
      <c r="AN69" s="160">
        <f t="shared" si="53"/>
        <v>32.854077904108564</v>
      </c>
      <c r="AO69" s="72"/>
      <c r="AP69" s="72"/>
      <c r="AQ69" s="72"/>
      <c r="AR69" s="72"/>
      <c r="AS69" s="72"/>
      <c r="AT69" s="72"/>
      <c r="AU69" s="72"/>
      <c r="AV69" s="72"/>
      <c r="AW69" s="72"/>
      <c r="AX69" s="72"/>
      <c r="AY69" s="72"/>
      <c r="AZ69" s="72"/>
      <c r="BA69" s="72"/>
      <c r="BB69" s="72"/>
    </row>
    <row r="70" spans="2:55">
      <c r="B70" s="165" t="str">
        <f t="shared" si="54"/>
        <v>PLGUM 021</v>
      </c>
      <c r="C70" s="155"/>
      <c r="D70" s="232" t="s">
        <v>111</v>
      </c>
      <c r="E70" s="167"/>
      <c r="F70" s="399">
        <v>18.75193777091576</v>
      </c>
      <c r="G70" s="169"/>
      <c r="H70" s="169"/>
      <c r="I70" s="169"/>
      <c r="J70" s="171"/>
      <c r="K70" s="650">
        <v>4275</v>
      </c>
      <c r="L70" s="215"/>
      <c r="M70" s="173"/>
      <c r="N70" s="173"/>
      <c r="O70" s="184"/>
      <c r="P70" s="208"/>
      <c r="Q70" s="176"/>
      <c r="R70" s="176"/>
      <c r="S70" s="176"/>
      <c r="T70" s="176"/>
      <c r="U70" s="216">
        <v>2.4256713599999999</v>
      </c>
      <c r="V70" s="177">
        <f t="shared" si="55"/>
        <v>2.4256713599999999</v>
      </c>
      <c r="W70" s="179"/>
      <c r="X70" s="179"/>
      <c r="Y70" s="179"/>
      <c r="Z70" s="177">
        <f t="shared" si="56"/>
        <v>0</v>
      </c>
      <c r="AA70" s="180">
        <f t="shared" si="57"/>
        <v>2.4256713599999999</v>
      </c>
      <c r="AB70" s="73">
        <f t="shared" si="46"/>
        <v>2.0024456287102472</v>
      </c>
      <c r="AC70" s="73">
        <f t="shared" si="47"/>
        <v>0.84939533429558323</v>
      </c>
      <c r="AD70" s="73">
        <f t="shared" si="48"/>
        <v>0.1074486034273473</v>
      </c>
      <c r="AE70" s="73">
        <f t="shared" si="49"/>
        <v>0.21898512928875424</v>
      </c>
      <c r="AF70" s="182">
        <f t="shared" si="50"/>
        <v>1.6107914545216635E-3</v>
      </c>
      <c r="AG70" s="162">
        <f t="shared" si="51"/>
        <v>5.6055568471764534</v>
      </c>
      <c r="AH70" s="183">
        <f t="shared" si="38"/>
        <v>12.935577056800041</v>
      </c>
      <c r="AI70" s="183">
        <f t="shared" si="38"/>
        <v>10.678606409498856</v>
      </c>
      <c r="AJ70" s="183">
        <f t="shared" si="38"/>
        <v>4.5296403212951928</v>
      </c>
      <c r="AK70" s="160">
        <f t="shared" si="52"/>
        <v>29.893213787594085</v>
      </c>
      <c r="AL70" s="183">
        <f t="shared" si="53"/>
        <v>1.1678000000000002</v>
      </c>
      <c r="AM70" s="183">
        <f t="shared" si="53"/>
        <v>8.5899999999999987E-3</v>
      </c>
      <c r="AN70" s="160">
        <f t="shared" si="53"/>
        <v>29.893213787594085</v>
      </c>
      <c r="AO70" s="72"/>
      <c r="AP70" s="72"/>
      <c r="AQ70" s="72"/>
      <c r="AR70" s="72"/>
      <c r="AS70" s="72"/>
      <c r="AT70" s="72"/>
      <c r="AU70" s="72"/>
      <c r="AV70" s="72"/>
      <c r="AW70" s="72"/>
      <c r="AX70" s="72"/>
      <c r="AY70" s="72"/>
      <c r="AZ70" s="72"/>
      <c r="BA70" s="72"/>
      <c r="BB70" s="72"/>
    </row>
    <row r="71" spans="2:55">
      <c r="B71" s="165" t="str">
        <f t="shared" si="54"/>
        <v>PLGUM 022</v>
      </c>
      <c r="C71" s="155"/>
      <c r="D71" s="232" t="s">
        <v>113</v>
      </c>
      <c r="E71" s="167"/>
      <c r="F71" s="399">
        <v>3.523684757293875</v>
      </c>
      <c r="G71" s="169"/>
      <c r="H71" s="169"/>
      <c r="I71" s="169"/>
      <c r="J71" s="171"/>
      <c r="K71" s="650">
        <v>1380</v>
      </c>
      <c r="L71" s="215"/>
      <c r="M71" s="173"/>
      <c r="N71" s="173"/>
      <c r="O71" s="184"/>
      <c r="P71" s="208"/>
      <c r="Q71" s="176"/>
      <c r="R71" s="176"/>
      <c r="S71" s="176"/>
      <c r="T71" s="176"/>
      <c r="U71" s="216">
        <v>0.54390959999999999</v>
      </c>
      <c r="V71" s="177">
        <f t="shared" si="55"/>
        <v>0.54390959999999999</v>
      </c>
      <c r="W71" s="179"/>
      <c r="X71" s="179"/>
      <c r="Y71" s="179"/>
      <c r="Z71" s="177">
        <f t="shared" si="56"/>
        <v>0</v>
      </c>
      <c r="AA71" s="180">
        <f t="shared" si="57"/>
        <v>0.54390959999999999</v>
      </c>
      <c r="AB71" s="73">
        <f t="shared" si="46"/>
        <v>0.37628042634291792</v>
      </c>
      <c r="AC71" s="73">
        <f t="shared" si="47"/>
        <v>0.15961024556171602</v>
      </c>
      <c r="AD71" s="73">
        <f t="shared" si="48"/>
        <v>2.0190713659293903E-2</v>
      </c>
      <c r="AE71" s="73">
        <f t="shared" si="49"/>
        <v>4.1149590595677875E-2</v>
      </c>
      <c r="AF71" s="182">
        <f t="shared" si="50"/>
        <v>3.026845206515438E-4</v>
      </c>
      <c r="AG71" s="162">
        <f t="shared" si="51"/>
        <v>1.1414432606802571</v>
      </c>
      <c r="AH71" s="183">
        <f t="shared" si="38"/>
        <v>15.43581896405831</v>
      </c>
      <c r="AI71" s="183">
        <f t="shared" si="38"/>
        <v>10.678606409498856</v>
      </c>
      <c r="AJ71" s="183">
        <f t="shared" si="38"/>
        <v>4.5296403212951937</v>
      </c>
      <c r="AK71" s="160">
        <f t="shared" si="52"/>
        <v>32.393455694852356</v>
      </c>
      <c r="AL71" s="183">
        <f t="shared" si="53"/>
        <v>1.1678000000000002</v>
      </c>
      <c r="AM71" s="183">
        <f t="shared" si="53"/>
        <v>8.5899999999999987E-3</v>
      </c>
      <c r="AN71" s="160">
        <f t="shared" si="53"/>
        <v>32.393455694852356</v>
      </c>
      <c r="AO71" s="72"/>
      <c r="AP71" s="72"/>
      <c r="AQ71" s="72"/>
      <c r="AR71" s="72"/>
      <c r="AS71" s="72"/>
      <c r="AT71" s="72"/>
      <c r="AU71" s="72"/>
      <c r="AV71" s="72"/>
      <c r="AW71" s="72"/>
      <c r="AX71" s="72"/>
      <c r="AY71" s="72"/>
      <c r="AZ71" s="72"/>
      <c r="BA71" s="72"/>
      <c r="BB71" s="72"/>
    </row>
    <row r="72" spans="2:55">
      <c r="B72" s="165" t="str">
        <f t="shared" si="54"/>
        <v>PLGUM 023</v>
      </c>
      <c r="C72" s="155"/>
      <c r="D72" s="232" t="s">
        <v>115</v>
      </c>
      <c r="E72" s="167"/>
      <c r="F72" s="399">
        <v>3.570842390819668</v>
      </c>
      <c r="G72" s="169"/>
      <c r="H72" s="169"/>
      <c r="I72" s="169"/>
      <c r="J72" s="171"/>
      <c r="K72" s="650">
        <v>523</v>
      </c>
      <c r="L72" s="215"/>
      <c r="M72" s="173"/>
      <c r="N72" s="173"/>
      <c r="O72" s="184"/>
      <c r="P72" s="208"/>
      <c r="Q72" s="176"/>
      <c r="R72" s="176"/>
      <c r="S72" s="176"/>
      <c r="T72" s="176"/>
      <c r="U72" s="216">
        <v>0.74772828000000002</v>
      </c>
      <c r="V72" s="177">
        <f t="shared" si="55"/>
        <v>0.74772828000000002</v>
      </c>
      <c r="W72" s="179"/>
      <c r="X72" s="179"/>
      <c r="Y72" s="179"/>
      <c r="Z72" s="177">
        <f t="shared" si="56"/>
        <v>0</v>
      </c>
      <c r="AA72" s="180">
        <f t="shared" si="57"/>
        <v>0.74772828000000002</v>
      </c>
      <c r="AB72" s="73">
        <f t="shared" si="46"/>
        <v>0.38131620441917125</v>
      </c>
      <c r="AC72" s="73">
        <f t="shared" si="47"/>
        <v>0.16174631674446896</v>
      </c>
      <c r="AD72" s="73">
        <f t="shared" si="48"/>
        <v>2.0460926899396697E-2</v>
      </c>
      <c r="AE72" s="73">
        <f t="shared" si="49"/>
        <v>4.1700297439992089E-2</v>
      </c>
      <c r="AF72" s="182">
        <f t="shared" si="50"/>
        <v>3.0673536137140945E-4</v>
      </c>
      <c r="AG72" s="162">
        <f t="shared" si="51"/>
        <v>1.3532587608644004</v>
      </c>
      <c r="AH72" s="183">
        <f t="shared" si="38"/>
        <v>20.939828706031545</v>
      </c>
      <c r="AI72" s="183">
        <f t="shared" si="38"/>
        <v>10.678606409498856</v>
      </c>
      <c r="AJ72" s="183">
        <f t="shared" si="38"/>
        <v>4.5296403212951928</v>
      </c>
      <c r="AK72" s="160">
        <f t="shared" si="52"/>
        <v>37.897465436825598</v>
      </c>
      <c r="AL72" s="183">
        <f t="shared" si="53"/>
        <v>1.1678000000000002</v>
      </c>
      <c r="AM72" s="183">
        <f t="shared" si="53"/>
        <v>8.5899999999999987E-3</v>
      </c>
      <c r="AN72" s="160">
        <f t="shared" si="53"/>
        <v>37.897465436825598</v>
      </c>
      <c r="AO72" s="72"/>
      <c r="AP72" s="72"/>
      <c r="AQ72" s="72"/>
      <c r="AR72" s="72"/>
      <c r="AS72" s="72"/>
      <c r="AT72" s="72"/>
      <c r="AU72" s="72"/>
      <c r="AV72" s="72"/>
      <c r="AW72" s="72"/>
      <c r="AX72" s="72"/>
      <c r="AY72" s="72"/>
      <c r="AZ72" s="72"/>
      <c r="BA72" s="72"/>
      <c r="BB72" s="72"/>
    </row>
    <row r="73" spans="2:55">
      <c r="B73" s="165" t="str">
        <f t="shared" si="54"/>
        <v>PLGUM 024</v>
      </c>
      <c r="C73" s="155"/>
      <c r="D73" s="232" t="s">
        <v>117</v>
      </c>
      <c r="E73" s="167"/>
      <c r="F73" s="399">
        <v>6.4252674598644505E-3</v>
      </c>
      <c r="G73" s="169"/>
      <c r="H73" s="169"/>
      <c r="I73" s="169"/>
      <c r="J73" s="171"/>
      <c r="K73" s="400">
        <v>4</v>
      </c>
      <c r="L73" s="215"/>
      <c r="M73" s="173"/>
      <c r="N73" s="173"/>
      <c r="O73" s="184"/>
      <c r="P73" s="208"/>
      <c r="Q73" s="176"/>
      <c r="R73" s="176"/>
      <c r="S73" s="176"/>
      <c r="T73" s="176"/>
      <c r="U73" s="216">
        <v>1.20144E-3</v>
      </c>
      <c r="V73" s="177">
        <f t="shared" si="55"/>
        <v>1.20144E-3</v>
      </c>
      <c r="W73" s="179"/>
      <c r="X73" s="179"/>
      <c r="Y73" s="179"/>
      <c r="Z73" s="177">
        <f t="shared" si="56"/>
        <v>0</v>
      </c>
      <c r="AA73" s="180">
        <f t="shared" si="57"/>
        <v>1.20144E-3</v>
      </c>
      <c r="AB73" s="73">
        <f t="shared" si="46"/>
        <v>6.8612902279652959E-4</v>
      </c>
      <c r="AC73" s="73">
        <f t="shared" si="47"/>
        <v>2.9104150561307953E-4</v>
      </c>
      <c r="AD73" s="73">
        <f t="shared" si="48"/>
        <v>3.6816782545023303E-5</v>
      </c>
      <c r="AE73" s="73">
        <f t="shared" si="49"/>
        <v>7.5034273396297057E-5</v>
      </c>
      <c r="AF73" s="182">
        <f t="shared" si="50"/>
        <v>5.5193047480235627E-7</v>
      </c>
      <c r="AG73" s="162">
        <f t="shared" si="51"/>
        <v>2.2910135148257317E-3</v>
      </c>
      <c r="AH73" s="183">
        <f t="shared" si="38"/>
        <v>18.69867686450123</v>
      </c>
      <c r="AI73" s="183">
        <f t="shared" si="38"/>
        <v>10.678606409498856</v>
      </c>
      <c r="AJ73" s="183">
        <f t="shared" si="38"/>
        <v>4.5296403212951919</v>
      </c>
      <c r="AK73" s="160">
        <f t="shared" si="52"/>
        <v>35.656313595295281</v>
      </c>
      <c r="AL73" s="183">
        <f t="shared" si="53"/>
        <v>1.1678000000000002</v>
      </c>
      <c r="AM73" s="183">
        <f t="shared" si="53"/>
        <v>8.5900000000000004E-3</v>
      </c>
      <c r="AN73" s="160">
        <f t="shared" si="53"/>
        <v>35.656313595295281</v>
      </c>
      <c r="AO73" s="72"/>
      <c r="AP73" s="72"/>
      <c r="AQ73" s="72"/>
      <c r="AR73" s="72"/>
      <c r="AS73" s="72"/>
      <c r="AT73" s="72"/>
      <c r="AU73" s="72"/>
      <c r="AV73" s="72"/>
      <c r="AW73" s="72"/>
      <c r="AX73" s="72"/>
      <c r="AY73" s="72"/>
      <c r="AZ73" s="72"/>
      <c r="BA73" s="72"/>
      <c r="BB73" s="72"/>
    </row>
    <row r="74" spans="2:55">
      <c r="B74" s="165" t="str">
        <f t="shared" si="54"/>
        <v>PLGUM 025</v>
      </c>
      <c r="C74" s="155"/>
      <c r="D74" s="232" t="s">
        <v>121</v>
      </c>
      <c r="E74" s="167"/>
      <c r="F74" s="399">
        <v>4.3319280868726517</v>
      </c>
      <c r="G74" s="169"/>
      <c r="H74" s="169"/>
      <c r="I74" s="169"/>
      <c r="J74" s="171"/>
      <c r="K74" s="650">
        <v>2860</v>
      </c>
      <c r="L74" s="215"/>
      <c r="M74" s="173"/>
      <c r="N74" s="173"/>
      <c r="O74" s="184"/>
      <c r="P74" s="208"/>
      <c r="Q74" s="176"/>
      <c r="R74" s="176"/>
      <c r="S74" s="176"/>
      <c r="T74" s="176"/>
      <c r="U74" s="216">
        <v>0.49931039999999999</v>
      </c>
      <c r="V74" s="177">
        <f t="shared" si="55"/>
        <v>0.49931039999999999</v>
      </c>
      <c r="W74" s="179"/>
      <c r="X74" s="179"/>
      <c r="Y74" s="179"/>
      <c r="Z74" s="177">
        <f t="shared" si="56"/>
        <v>0</v>
      </c>
      <c r="AA74" s="180">
        <f t="shared" si="57"/>
        <v>0.49931039999999999</v>
      </c>
      <c r="AB74" s="73">
        <f t="shared" si="46"/>
        <v>0.46258955033966415</v>
      </c>
      <c r="AC74" s="73">
        <f t="shared" si="47"/>
        <v>0.19622076131249508</v>
      </c>
      <c r="AD74" s="73">
        <f t="shared" si="48"/>
        <v>2.4821947937780295E-2</v>
      </c>
      <c r="AE74" s="73">
        <f t="shared" si="49"/>
        <v>5.0588256198498834E-2</v>
      </c>
      <c r="AF74" s="182">
        <f t="shared" si="50"/>
        <v>3.7211262266236071E-4</v>
      </c>
      <c r="AG74" s="162">
        <f t="shared" si="51"/>
        <v>1.2339030284111008</v>
      </c>
      <c r="AH74" s="183">
        <f t="shared" si="38"/>
        <v>11.526285524293343</v>
      </c>
      <c r="AI74" s="183">
        <f t="shared" si="38"/>
        <v>10.678606409498856</v>
      </c>
      <c r="AJ74" s="183">
        <f t="shared" si="38"/>
        <v>4.5296403212951928</v>
      </c>
      <c r="AK74" s="160">
        <f t="shared" si="52"/>
        <v>28.483922255087389</v>
      </c>
      <c r="AL74" s="183">
        <f t="shared" si="53"/>
        <v>1.1678000000000002</v>
      </c>
      <c r="AM74" s="183">
        <f t="shared" si="53"/>
        <v>8.5899999999999987E-3</v>
      </c>
      <c r="AN74" s="160">
        <f t="shared" si="53"/>
        <v>28.483922255087389</v>
      </c>
      <c r="AO74" s="72"/>
      <c r="AP74" s="72"/>
      <c r="AQ74" s="72"/>
      <c r="AR74" s="72"/>
      <c r="AS74" s="72"/>
      <c r="AT74" s="72"/>
      <c r="AU74" s="72"/>
      <c r="AV74" s="72"/>
      <c r="AW74" s="72"/>
      <c r="AX74" s="72"/>
      <c r="AY74" s="72"/>
      <c r="AZ74" s="72"/>
      <c r="BA74" s="72"/>
      <c r="BB74" s="72"/>
    </row>
    <row r="75" spans="2:55">
      <c r="B75" s="165" t="str">
        <f t="shared" si="54"/>
        <v>PLGUM 026</v>
      </c>
      <c r="C75" s="155"/>
      <c r="D75" s="232" t="s">
        <v>122</v>
      </c>
      <c r="E75" s="167"/>
      <c r="F75" s="399">
        <v>8.216006521504724</v>
      </c>
      <c r="G75" s="169"/>
      <c r="H75" s="169"/>
      <c r="I75" s="169"/>
      <c r="J75" s="171"/>
      <c r="K75" s="650">
        <v>4205</v>
      </c>
      <c r="L75" s="215"/>
      <c r="M75" s="173"/>
      <c r="N75" s="173"/>
      <c r="O75" s="184"/>
      <c r="P75" s="208"/>
      <c r="Q75" s="176"/>
      <c r="R75" s="176"/>
      <c r="S75" s="176"/>
      <c r="T75" s="176"/>
      <c r="U75" s="216">
        <v>0.87545879999999998</v>
      </c>
      <c r="V75" s="177">
        <f>SUM(Q75:U75)</f>
        <v>0.87545879999999998</v>
      </c>
      <c r="W75" s="179"/>
      <c r="X75" s="179"/>
      <c r="Y75" s="179"/>
      <c r="Z75" s="177">
        <f t="shared" si="56"/>
        <v>0</v>
      </c>
      <c r="AA75" s="180">
        <f t="shared" si="57"/>
        <v>0.87545879999999998</v>
      </c>
      <c r="AB75" s="73">
        <f t="shared" si="46"/>
        <v>0.87735499901024749</v>
      </c>
      <c r="AC75" s="73">
        <f t="shared" si="47"/>
        <v>0.37215554419832053</v>
      </c>
      <c r="AD75" s="73">
        <f t="shared" si="48"/>
        <v>4.7077717368222069E-2</v>
      </c>
      <c r="AE75" s="73">
        <f t="shared" si="49"/>
        <v>9.5946524158132179E-2</v>
      </c>
      <c r="AF75" s="182">
        <f t="shared" si="50"/>
        <v>7.0575496019725564E-4</v>
      </c>
      <c r="AG75" s="162">
        <f t="shared" si="51"/>
        <v>2.2686993396951194</v>
      </c>
      <c r="AH75" s="183">
        <f t="shared" si="38"/>
        <v>10.655527082513364</v>
      </c>
      <c r="AI75" s="183">
        <f t="shared" si="38"/>
        <v>10.678606409498856</v>
      </c>
      <c r="AJ75" s="183">
        <f t="shared" si="38"/>
        <v>4.5296403212951928</v>
      </c>
      <c r="AK75" s="160">
        <f t="shared" si="52"/>
        <v>27.613163813307413</v>
      </c>
      <c r="AL75" s="183">
        <f t="shared" si="53"/>
        <v>1.1678000000000002</v>
      </c>
      <c r="AM75" s="183">
        <f t="shared" si="53"/>
        <v>8.5899999999999987E-3</v>
      </c>
      <c r="AN75" s="160">
        <f t="shared" si="53"/>
        <v>27.613163813307413</v>
      </c>
      <c r="AO75" s="72"/>
      <c r="AP75" s="72"/>
      <c r="AQ75" s="72"/>
      <c r="AR75" s="72"/>
      <c r="AS75" s="72"/>
      <c r="AT75" s="72"/>
      <c r="AU75" s="72"/>
      <c r="AV75" s="72"/>
      <c r="AW75" s="72"/>
      <c r="AX75" s="72"/>
      <c r="AY75" s="72"/>
      <c r="AZ75" s="72"/>
      <c r="BA75" s="72"/>
      <c r="BB75" s="72"/>
    </row>
    <row r="76" spans="2:55">
      <c r="B76" s="165" t="str">
        <f t="shared" si="54"/>
        <v>PLGUM 027</v>
      </c>
      <c r="C76" s="155"/>
      <c r="D76" s="232" t="s">
        <v>123</v>
      </c>
      <c r="E76" s="167"/>
      <c r="F76" s="399">
        <v>0.91323900810338299</v>
      </c>
      <c r="G76" s="169"/>
      <c r="H76" s="169"/>
      <c r="I76" s="169"/>
      <c r="J76" s="171"/>
      <c r="K76" s="650">
        <v>500</v>
      </c>
      <c r="L76" s="215"/>
      <c r="M76" s="173"/>
      <c r="N76" s="173"/>
      <c r="O76" s="184"/>
      <c r="P76" s="208"/>
      <c r="Q76" s="176"/>
      <c r="R76" s="176"/>
      <c r="S76" s="176"/>
      <c r="T76" s="176"/>
      <c r="U76" s="216">
        <v>8.7354719999999997E-2</v>
      </c>
      <c r="V76" s="177">
        <f t="shared" si="55"/>
        <v>8.7354719999999997E-2</v>
      </c>
      <c r="W76" s="179"/>
      <c r="X76" s="179"/>
      <c r="Y76" s="179"/>
      <c r="Z76" s="177">
        <f t="shared" si="56"/>
        <v>0</v>
      </c>
      <c r="AA76" s="180">
        <f t="shared" si="57"/>
        <v>8.7354719999999997E-2</v>
      </c>
      <c r="AB76" s="73">
        <f t="shared" si="46"/>
        <v>9.7521199253371632E-2</v>
      </c>
      <c r="AC76" s="73">
        <f t="shared" si="47"/>
        <v>4.1366442340847104E-2</v>
      </c>
      <c r="AD76" s="73">
        <f t="shared" si="48"/>
        <v>5.2328595164323841E-3</v>
      </c>
      <c r="AE76" s="73">
        <f t="shared" si="49"/>
        <v>1.0664805136631308E-2</v>
      </c>
      <c r="AF76" s="182">
        <f t="shared" si="50"/>
        <v>7.8447230796080587E-5</v>
      </c>
      <c r="AG76" s="162">
        <f t="shared" si="51"/>
        <v>0.24221847347807851</v>
      </c>
      <c r="AH76" s="183">
        <f t="shared" si="38"/>
        <v>9.5653732730294223</v>
      </c>
      <c r="AI76" s="183">
        <f t="shared" si="38"/>
        <v>10.678606409498856</v>
      </c>
      <c r="AJ76" s="183">
        <f t="shared" si="38"/>
        <v>4.5296403212951919</v>
      </c>
      <c r="AK76" s="160">
        <f t="shared" si="52"/>
        <v>26.523010003823472</v>
      </c>
      <c r="AL76" s="183">
        <f t="shared" si="53"/>
        <v>1.1678000000000002</v>
      </c>
      <c r="AM76" s="183">
        <f t="shared" si="53"/>
        <v>8.5899999999999987E-3</v>
      </c>
      <c r="AN76" s="160">
        <f t="shared" si="53"/>
        <v>26.523010003823472</v>
      </c>
      <c r="AO76" s="72"/>
      <c r="AP76" s="72"/>
      <c r="AQ76" s="72"/>
      <c r="AR76" s="72"/>
      <c r="AS76" s="72"/>
      <c r="AT76" s="72"/>
      <c r="AU76" s="72"/>
      <c r="AV76" s="72"/>
      <c r="AW76" s="72"/>
      <c r="AX76" s="72"/>
      <c r="AY76" s="72"/>
      <c r="AZ76" s="72"/>
      <c r="BA76" s="72"/>
      <c r="BB76" s="72"/>
    </row>
    <row r="77" spans="2:55">
      <c r="B77" s="165" t="str">
        <f t="shared" si="54"/>
        <v>PLGUM 028</v>
      </c>
      <c r="C77" s="155"/>
      <c r="D77" s="232" t="s">
        <v>124</v>
      </c>
      <c r="E77" s="167"/>
      <c r="F77" s="399">
        <v>0.78066999637353063</v>
      </c>
      <c r="G77" s="169"/>
      <c r="H77" s="169"/>
      <c r="I77" s="169"/>
      <c r="J77" s="171"/>
      <c r="K77" s="650">
        <v>150</v>
      </c>
      <c r="L77" s="215"/>
      <c r="M77" s="173"/>
      <c r="N77" s="173"/>
      <c r="O77" s="184"/>
      <c r="P77" s="208"/>
      <c r="Q77" s="176"/>
      <c r="R77" s="176"/>
      <c r="S77" s="176"/>
      <c r="T77" s="176"/>
      <c r="U77" s="216">
        <v>7.0450559999999995E-2</v>
      </c>
      <c r="V77" s="177">
        <f t="shared" si="55"/>
        <v>7.0450559999999995E-2</v>
      </c>
      <c r="W77" s="179"/>
      <c r="X77" s="179"/>
      <c r="Y77" s="179"/>
      <c r="Z77" s="177">
        <f t="shared" si="56"/>
        <v>0</v>
      </c>
      <c r="AA77" s="180">
        <f t="shared" si="57"/>
        <v>7.0450559999999995E-2</v>
      </c>
      <c r="AB77" s="73">
        <f t="shared" si="46"/>
        <v>8.3364676269778323E-2</v>
      </c>
      <c r="AC77" s="73">
        <f t="shared" si="47"/>
        <v>3.5361542931989162E-2</v>
      </c>
      <c r="AD77" s="73">
        <f t="shared" si="48"/>
        <v>4.4732390792203303E-3</v>
      </c>
      <c r="AE77" s="73">
        <f t="shared" si="49"/>
        <v>9.1166642176500907E-3</v>
      </c>
      <c r="AF77" s="182">
        <f t="shared" si="50"/>
        <v>6.7059552688486268E-5</v>
      </c>
      <c r="AG77" s="162">
        <f t="shared" si="51"/>
        <v>0.2028337420513264</v>
      </c>
      <c r="AH77" s="183">
        <f t="shared" si="38"/>
        <v>9.0243714152287211</v>
      </c>
      <c r="AI77" s="183">
        <f t="shared" si="38"/>
        <v>10.678606409498856</v>
      </c>
      <c r="AJ77" s="183">
        <f t="shared" si="38"/>
        <v>4.5296403212951928</v>
      </c>
      <c r="AK77" s="160">
        <f t="shared" si="52"/>
        <v>25.982008146022771</v>
      </c>
      <c r="AL77" s="183">
        <f t="shared" si="53"/>
        <v>1.1677999999999999</v>
      </c>
      <c r="AM77" s="183">
        <f t="shared" si="53"/>
        <v>8.5899999999999987E-3</v>
      </c>
      <c r="AN77" s="160">
        <f t="shared" si="53"/>
        <v>25.982008146022771</v>
      </c>
      <c r="AO77" s="72"/>
      <c r="AP77" s="72"/>
      <c r="AQ77" s="72"/>
      <c r="AR77" s="72"/>
      <c r="AS77" s="72"/>
      <c r="AT77" s="72"/>
      <c r="AU77" s="72"/>
      <c r="AV77" s="72"/>
      <c r="AW77" s="72"/>
      <c r="AX77" s="72"/>
      <c r="AY77" s="72"/>
      <c r="AZ77" s="72"/>
      <c r="BA77" s="72"/>
      <c r="BB77" s="72"/>
    </row>
    <row r="78" spans="2:55" ht="9" customHeight="1">
      <c r="C78" s="155"/>
      <c r="D78" s="232"/>
      <c r="E78" s="167"/>
      <c r="F78" s="168"/>
      <c r="G78" s="169"/>
      <c r="H78" s="169"/>
      <c r="I78" s="169"/>
      <c r="J78" s="171"/>
      <c r="K78" s="215"/>
      <c r="L78" s="215"/>
      <c r="M78" s="173"/>
      <c r="N78" s="173"/>
      <c r="O78" s="184"/>
      <c r="P78" s="208"/>
      <c r="Q78" s="176"/>
      <c r="R78" s="176"/>
      <c r="S78" s="176"/>
      <c r="T78" s="176"/>
      <c r="U78" s="176"/>
      <c r="V78" s="209"/>
      <c r="W78" s="179"/>
      <c r="X78" s="179"/>
      <c r="Y78" s="179"/>
      <c r="Z78" s="209"/>
      <c r="AA78" s="182"/>
      <c r="AB78" s="73"/>
      <c r="AC78" s="73"/>
      <c r="AD78" s="73"/>
      <c r="AE78" s="73"/>
      <c r="AF78" s="182"/>
      <c r="AG78" s="162"/>
      <c r="AH78" s="183"/>
      <c r="AI78" s="183"/>
      <c r="AJ78" s="183"/>
      <c r="AK78" s="160"/>
      <c r="AL78" s="183"/>
      <c r="AM78" s="183"/>
      <c r="AN78" s="160"/>
      <c r="AO78" s="72"/>
      <c r="AP78" s="72"/>
      <c r="AQ78" s="72"/>
      <c r="AR78" s="72"/>
      <c r="AS78" s="72"/>
      <c r="AT78" s="72"/>
      <c r="AU78" s="72"/>
      <c r="AV78" s="72"/>
      <c r="AW78" s="72"/>
      <c r="AX78" s="72"/>
      <c r="AY78" s="72"/>
      <c r="AZ78" s="72"/>
      <c r="BA78" s="72"/>
      <c r="BB78" s="72"/>
      <c r="BC78" s="72"/>
    </row>
    <row r="79" spans="2:55">
      <c r="C79" s="233" t="s">
        <v>253</v>
      </c>
      <c r="D79" s="234" t="s">
        <v>283</v>
      </c>
      <c r="E79" s="405">
        <v>150.10472659870251</v>
      </c>
      <c r="F79" s="236">
        <f>SUM(F56:F78)</f>
        <v>253.03887463525064</v>
      </c>
      <c r="G79" s="236"/>
      <c r="H79" s="236"/>
      <c r="I79" s="236"/>
      <c r="J79" s="237"/>
      <c r="K79" s="236">
        <f>SUM(K56:K78)</f>
        <v>443922</v>
      </c>
      <c r="L79" s="238"/>
      <c r="M79" s="239"/>
      <c r="N79" s="239"/>
      <c r="O79" s="240"/>
      <c r="P79" s="241"/>
      <c r="Q79" s="242"/>
      <c r="R79" s="242"/>
      <c r="S79" s="242"/>
      <c r="T79" s="242"/>
      <c r="U79" s="243">
        <f>SUM(U56:U78)</f>
        <v>60.695158079999985</v>
      </c>
      <c r="V79" s="244">
        <f>SUM(V56:V78)</f>
        <v>60.695158079999985</v>
      </c>
      <c r="W79" s="243">
        <f t="shared" ref="W79:Z79" si="58">SUM(W56:W78)</f>
        <v>0</v>
      </c>
      <c r="X79" s="243">
        <f t="shared" si="58"/>
        <v>0</v>
      </c>
      <c r="Y79" s="243">
        <f t="shared" si="58"/>
        <v>0</v>
      </c>
      <c r="Z79" s="244">
        <f t="shared" si="58"/>
        <v>0</v>
      </c>
      <c r="AA79" s="245">
        <f>SUM(AA56:AA78)</f>
        <v>60.695158079999985</v>
      </c>
      <c r="AB79" s="246">
        <f t="shared" ref="AB79:AF79" si="59">SUM(AB56:AB78)</f>
        <v>27.021025485323651</v>
      </c>
      <c r="AC79" s="246">
        <f t="shared" si="59"/>
        <v>11.461750894029906</v>
      </c>
      <c r="AD79" s="246">
        <f t="shared" si="59"/>
        <v>1.4499127516599859</v>
      </c>
      <c r="AE79" s="246">
        <f t="shared" si="59"/>
        <v>2.9549879779904575</v>
      </c>
      <c r="AF79" s="247">
        <f t="shared" si="59"/>
        <v>2.1736039331168026E-2</v>
      </c>
      <c r="AG79" s="247">
        <f t="shared" ref="AG79:AG86" si="60">+AF79+AD79+AC79+AB79+AA79+AE79</f>
        <v>103.60457122833516</v>
      </c>
      <c r="AH79" s="248">
        <f t="shared" ref="AH79:AJ79" si="61">+AA79/$F79*100</f>
        <v>23.986495421895381</v>
      </c>
      <c r="AI79" s="248">
        <f t="shared" si="61"/>
        <v>10.678606409498856</v>
      </c>
      <c r="AJ79" s="248">
        <f t="shared" si="61"/>
        <v>4.5296403212951928</v>
      </c>
      <c r="AK79" s="249">
        <f t="shared" ref="AK79" si="62">+AG79/$F79*100</f>
        <v>40.944132152689434</v>
      </c>
      <c r="AL79" s="250">
        <f t="shared" ref="AL79:AN94" si="63">+AE79/$F79*100</f>
        <v>1.1678000000000002</v>
      </c>
      <c r="AM79" s="250">
        <f t="shared" si="63"/>
        <v>8.5899999999999987E-3</v>
      </c>
      <c r="AN79" s="249">
        <f t="shared" si="63"/>
        <v>40.944132152689434</v>
      </c>
      <c r="AO79" s="72"/>
      <c r="AP79" s="72"/>
      <c r="AQ79" s="72"/>
      <c r="AR79" s="72"/>
      <c r="AS79" s="72"/>
      <c r="AT79" s="72"/>
      <c r="AU79" s="72"/>
      <c r="AV79" s="72"/>
      <c r="AW79" s="72"/>
      <c r="AX79" s="72"/>
      <c r="AY79" s="72"/>
      <c r="AZ79" s="72"/>
      <c r="BA79" s="72"/>
      <c r="BB79" s="72"/>
      <c r="BC79" s="72"/>
    </row>
    <row r="80" spans="2:55">
      <c r="B80" s="165" t="str">
        <f>D80</f>
        <v>PLGUM 050</v>
      </c>
      <c r="C80" s="74"/>
      <c r="D80" s="232" t="s">
        <v>128</v>
      </c>
      <c r="E80" s="167"/>
      <c r="F80" s="406">
        <v>2.7456316744884347E-2</v>
      </c>
      <c r="G80" s="169"/>
      <c r="H80" s="169"/>
      <c r="I80" s="169"/>
      <c r="J80" s="171"/>
      <c r="K80" s="402">
        <v>131</v>
      </c>
      <c r="L80" s="171"/>
      <c r="M80" s="173"/>
      <c r="N80" s="173"/>
      <c r="O80" s="171"/>
      <c r="P80" s="208"/>
      <c r="Q80" s="176"/>
      <c r="R80" s="176"/>
      <c r="S80" s="176"/>
      <c r="T80" s="176"/>
      <c r="U80" s="216">
        <v>1.5035999999999999E-2</v>
      </c>
      <c r="V80" s="177">
        <f>SUM(Q80:U80)</f>
        <v>1.5035999999999999E-2</v>
      </c>
      <c r="W80" s="179"/>
      <c r="X80" s="179"/>
      <c r="Y80" s="179"/>
      <c r="Z80" s="177">
        <f t="shared" ref="Z80:Z86" si="64">SUM(W80:Y80)</f>
        <v>0</v>
      </c>
      <c r="AA80" s="251">
        <f>+V80+Z80+P80</f>
        <v>1.5035999999999999E-2</v>
      </c>
      <c r="AB80" s="73">
        <f t="shared" ref="AB80:AB86" si="65">$H$2*F80</f>
        <v>2.9319519997315275E-3</v>
      </c>
      <c r="AC80" s="73">
        <f t="shared" ref="AC80:AC86" si="66">+$H$3*F80</f>
        <v>1.2436723940188051E-3</v>
      </c>
      <c r="AD80" s="73">
        <f t="shared" ref="AD80:AD86" si="67">+$H$4*F80</f>
        <v>1.5732469494818729E-4</v>
      </c>
      <c r="AE80" s="73">
        <f t="shared" ref="AE80:AE86" si="68">+$H$5*F80</f>
        <v>3.2063486694675942E-4</v>
      </c>
      <c r="AF80" s="182">
        <f t="shared" ref="AF80:AF86" si="69">+$H$6*F80</f>
        <v>2.3584976083855649E-6</v>
      </c>
      <c r="AG80" s="162">
        <f t="shared" si="60"/>
        <v>1.9691942453253664E-2</v>
      </c>
      <c r="AH80" s="183">
        <f t="shared" si="38"/>
        <v>54.763354239062323</v>
      </c>
      <c r="AI80" s="183">
        <f t="shared" si="38"/>
        <v>10.678606409498856</v>
      </c>
      <c r="AJ80" s="183">
        <f t="shared" si="38"/>
        <v>4.5296403212951928</v>
      </c>
      <c r="AK80" s="160">
        <f t="shared" si="52"/>
        <v>71.720990969856373</v>
      </c>
      <c r="AL80" s="183">
        <f t="shared" si="63"/>
        <v>1.1678000000000002</v>
      </c>
      <c r="AM80" s="183">
        <f t="shared" si="63"/>
        <v>8.5899999999999987E-3</v>
      </c>
      <c r="AN80" s="160">
        <f t="shared" si="63"/>
        <v>71.720990969856373</v>
      </c>
      <c r="AO80" s="72"/>
      <c r="AP80" s="72"/>
      <c r="AQ80" s="72"/>
      <c r="AR80" s="72"/>
      <c r="AS80" s="72"/>
      <c r="AT80" s="72"/>
      <c r="AU80" s="72"/>
      <c r="AV80" s="72"/>
      <c r="AW80" s="72"/>
      <c r="AX80" s="72"/>
      <c r="AY80" s="72"/>
      <c r="AZ80" s="72"/>
      <c r="BA80" s="72"/>
      <c r="BB80" s="72"/>
    </row>
    <row r="81" spans="2:55">
      <c r="B81" s="165" t="str">
        <f t="shared" ref="B81:B86" si="70">D81</f>
        <v>PLGUM 051</v>
      </c>
      <c r="C81" s="74"/>
      <c r="D81" s="232" t="s">
        <v>129</v>
      </c>
      <c r="E81" s="167"/>
      <c r="F81" s="406">
        <v>5.6284917434011268E-2</v>
      </c>
      <c r="G81" s="169"/>
      <c r="H81" s="169"/>
      <c r="I81" s="169"/>
      <c r="J81" s="171"/>
      <c r="K81" s="402">
        <v>191</v>
      </c>
      <c r="L81" s="171"/>
      <c r="M81" s="173"/>
      <c r="N81" s="173"/>
      <c r="O81" s="171"/>
      <c r="P81" s="208"/>
      <c r="Q81" s="176"/>
      <c r="R81" s="176"/>
      <c r="S81" s="176"/>
      <c r="T81" s="176"/>
      <c r="U81" s="216">
        <v>2.2927200000000002E-2</v>
      </c>
      <c r="V81" s="177">
        <f t="shared" ref="V81:V86" si="71">SUM(Q81:U81)</f>
        <v>2.2927200000000002E-2</v>
      </c>
      <c r="W81" s="179"/>
      <c r="X81" s="179"/>
      <c r="Y81" s="179"/>
      <c r="Z81" s="177">
        <f t="shared" si="64"/>
        <v>0</v>
      </c>
      <c r="AA81" s="180">
        <f t="shared" ref="AA81:AA86" si="72">+V81+Z81+P81</f>
        <v>2.2927200000000002E-2</v>
      </c>
      <c r="AB81" s="73">
        <f t="shared" si="65"/>
        <v>6.0104448006894663E-3</v>
      </c>
      <c r="AC81" s="73">
        <f t="shared" si="66"/>
        <v>2.549504314898682E-3</v>
      </c>
      <c r="AD81" s="73">
        <f t="shared" si="67"/>
        <v>3.2251257689688454E-4</v>
      </c>
      <c r="AE81" s="73">
        <f t="shared" si="68"/>
        <v>6.5729526579438359E-4</v>
      </c>
      <c r="AF81" s="182">
        <f t="shared" si="69"/>
        <v>4.834874407581567E-6</v>
      </c>
      <c r="AG81" s="162">
        <f t="shared" si="60"/>
        <v>3.2471791832686996E-2</v>
      </c>
      <c r="AH81" s="183">
        <f t="shared" si="38"/>
        <v>40.734180745454537</v>
      </c>
      <c r="AI81" s="183">
        <f t="shared" si="38"/>
        <v>10.678606409498856</v>
      </c>
      <c r="AJ81" s="183">
        <f t="shared" si="38"/>
        <v>4.5296403212951928</v>
      </c>
      <c r="AK81" s="160">
        <f t="shared" si="52"/>
        <v>57.691817476248573</v>
      </c>
      <c r="AL81" s="183">
        <f t="shared" si="63"/>
        <v>1.1677999999999999</v>
      </c>
      <c r="AM81" s="183">
        <f t="shared" si="63"/>
        <v>8.5899999999999987E-3</v>
      </c>
      <c r="AN81" s="160">
        <f t="shared" si="63"/>
        <v>57.691817476248573</v>
      </c>
      <c r="AO81" s="72"/>
      <c r="AP81" s="72"/>
      <c r="AQ81" s="72"/>
      <c r="AR81" s="72"/>
      <c r="AS81" s="72"/>
      <c r="AT81" s="72"/>
      <c r="AU81" s="72"/>
      <c r="AV81" s="72"/>
      <c r="AW81" s="72"/>
      <c r="AX81" s="72"/>
      <c r="AY81" s="72"/>
      <c r="AZ81" s="72"/>
      <c r="BA81" s="72"/>
      <c r="BB81" s="72"/>
    </row>
    <row r="82" spans="2:55">
      <c r="B82" s="165" t="str">
        <f t="shared" si="70"/>
        <v>PLGUM 052</v>
      </c>
      <c r="C82" s="74"/>
      <c r="D82" s="232" t="s">
        <v>130</v>
      </c>
      <c r="E82" s="167"/>
      <c r="F82" s="406">
        <v>0.27174413454012808</v>
      </c>
      <c r="G82" s="169"/>
      <c r="H82" s="169"/>
      <c r="I82" s="169"/>
      <c r="J82" s="171"/>
      <c r="K82" s="402">
        <v>655</v>
      </c>
      <c r="L82" s="171"/>
      <c r="M82" s="173"/>
      <c r="N82" s="173"/>
      <c r="O82" s="171"/>
      <c r="P82" s="208"/>
      <c r="Q82" s="176"/>
      <c r="R82" s="176"/>
      <c r="S82" s="176"/>
      <c r="T82" s="176"/>
      <c r="U82" s="216">
        <v>8.8112399999999994E-2</v>
      </c>
      <c r="V82" s="177">
        <f t="shared" si="71"/>
        <v>8.8112399999999994E-2</v>
      </c>
      <c r="W82" s="179"/>
      <c r="X82" s="179"/>
      <c r="Y82" s="179"/>
      <c r="Z82" s="177">
        <f t="shared" si="64"/>
        <v>0</v>
      </c>
      <c r="AA82" s="180">
        <f t="shared" si="72"/>
        <v>8.8112399999999994E-2</v>
      </c>
      <c r="AB82" s="73">
        <f t="shared" si="65"/>
        <v>2.9018486568439313E-2</v>
      </c>
      <c r="AC82" s="73">
        <f t="shared" si="66"/>
        <v>1.2309031888884298E-2</v>
      </c>
      <c r="AD82" s="73">
        <f t="shared" si="67"/>
        <v>1.5570938909149339E-3</v>
      </c>
      <c r="AE82" s="73">
        <f t="shared" si="68"/>
        <v>3.1734280031596161E-3</v>
      </c>
      <c r="AF82" s="182">
        <f t="shared" si="69"/>
        <v>2.3342821156996998E-5</v>
      </c>
      <c r="AG82" s="162">
        <f t="shared" si="60"/>
        <v>0.13419378317255515</v>
      </c>
      <c r="AH82" s="183">
        <f t="shared" si="38"/>
        <v>32.424766094441146</v>
      </c>
      <c r="AI82" s="183">
        <f t="shared" si="38"/>
        <v>10.678606409498856</v>
      </c>
      <c r="AJ82" s="183">
        <f t="shared" si="38"/>
        <v>4.5296403212951928</v>
      </c>
      <c r="AK82" s="160">
        <f t="shared" si="52"/>
        <v>49.382402825235197</v>
      </c>
      <c r="AL82" s="183">
        <f t="shared" si="63"/>
        <v>1.1678000000000002</v>
      </c>
      <c r="AM82" s="183">
        <f t="shared" si="63"/>
        <v>8.5899999999999987E-3</v>
      </c>
      <c r="AN82" s="160">
        <f t="shared" si="63"/>
        <v>49.382402825235197</v>
      </c>
      <c r="AO82" s="72"/>
      <c r="AP82" s="72"/>
      <c r="AQ82" s="72"/>
      <c r="AR82" s="72"/>
      <c r="AS82" s="72"/>
      <c r="AT82" s="72"/>
      <c r="AU82" s="72"/>
      <c r="AV82" s="72"/>
      <c r="AW82" s="72"/>
      <c r="AX82" s="72"/>
      <c r="AY82" s="72"/>
      <c r="AZ82" s="72"/>
      <c r="BA82" s="72"/>
      <c r="BB82" s="72"/>
    </row>
    <row r="83" spans="2:55">
      <c r="B83" s="165" t="str">
        <f t="shared" si="70"/>
        <v>PLGUM 053</v>
      </c>
      <c r="C83" s="74"/>
      <c r="D83" s="232" t="s">
        <v>131</v>
      </c>
      <c r="E83" s="167"/>
      <c r="F83" s="406">
        <v>6.6699382406208776E-3</v>
      </c>
      <c r="G83" s="169"/>
      <c r="H83" s="169"/>
      <c r="I83" s="169"/>
      <c r="J83" s="171"/>
      <c r="K83" s="402">
        <v>11</v>
      </c>
      <c r="L83" s="171"/>
      <c r="M83" s="173"/>
      <c r="N83" s="173"/>
      <c r="O83" s="171"/>
      <c r="P83" s="208"/>
      <c r="Q83" s="176"/>
      <c r="R83" s="176"/>
      <c r="S83" s="176"/>
      <c r="T83" s="176"/>
      <c r="U83" s="216">
        <v>1.8295200000000001E-3</v>
      </c>
      <c r="V83" s="177">
        <f t="shared" si="71"/>
        <v>1.8295200000000001E-3</v>
      </c>
      <c r="W83" s="179"/>
      <c r="X83" s="179"/>
      <c r="Y83" s="179"/>
      <c r="Z83" s="177">
        <f t="shared" si="64"/>
        <v>0</v>
      </c>
      <c r="AA83" s="180">
        <f t="shared" si="72"/>
        <v>1.8295200000000001E-3</v>
      </c>
      <c r="AB83" s="73">
        <f t="shared" si="65"/>
        <v>7.1225645247255625E-4</v>
      </c>
      <c r="AC83" s="73">
        <f t="shared" si="66"/>
        <v>3.0212421195265044E-4</v>
      </c>
      <c r="AD83" s="73">
        <f t="shared" si="67"/>
        <v>3.8218746118757631E-5</v>
      </c>
      <c r="AE83" s="73">
        <f t="shared" si="68"/>
        <v>7.7891538773970618E-5</v>
      </c>
      <c r="AF83" s="182">
        <f t="shared" si="69"/>
        <v>5.7294769486933326E-7</v>
      </c>
      <c r="AG83" s="162">
        <f t="shared" si="60"/>
        <v>2.9605838970128045E-3</v>
      </c>
      <c r="AH83" s="183">
        <f t="shared" si="38"/>
        <v>27.429339433129407</v>
      </c>
      <c r="AI83" s="183">
        <f t="shared" si="38"/>
        <v>10.678606409498856</v>
      </c>
      <c r="AJ83" s="183">
        <f t="shared" si="38"/>
        <v>4.5296403212951928</v>
      </c>
      <c r="AK83" s="160">
        <f t="shared" si="52"/>
        <v>44.38697616392345</v>
      </c>
      <c r="AL83" s="183">
        <f t="shared" si="63"/>
        <v>1.1678000000000002</v>
      </c>
      <c r="AM83" s="183">
        <f t="shared" si="63"/>
        <v>8.5899999999999987E-3</v>
      </c>
      <c r="AN83" s="160">
        <f t="shared" si="63"/>
        <v>44.38697616392345</v>
      </c>
      <c r="AO83" s="72"/>
      <c r="AP83" s="72"/>
      <c r="AQ83" s="72"/>
      <c r="AR83" s="72"/>
      <c r="AS83" s="72"/>
      <c r="AT83" s="72"/>
      <c r="AU83" s="72"/>
      <c r="AV83" s="72"/>
      <c r="AW83" s="72"/>
      <c r="AX83" s="72"/>
      <c r="AY83" s="72"/>
      <c r="AZ83" s="72"/>
      <c r="BA83" s="72"/>
      <c r="BB83" s="72"/>
    </row>
    <row r="84" spans="2:55">
      <c r="B84" s="252" t="s">
        <v>132</v>
      </c>
      <c r="C84" s="74"/>
      <c r="D84" s="232" t="s">
        <v>284</v>
      </c>
      <c r="E84" s="167"/>
      <c r="F84" s="406">
        <v>0.10812320937427529</v>
      </c>
      <c r="G84" s="169"/>
      <c r="H84" s="169"/>
      <c r="I84" s="169"/>
      <c r="J84" s="171"/>
      <c r="K84" s="402">
        <v>120</v>
      </c>
      <c r="L84" s="171"/>
      <c r="M84" s="173"/>
      <c r="N84" s="173"/>
      <c r="O84" s="171"/>
      <c r="P84" s="208"/>
      <c r="Q84" s="176"/>
      <c r="R84" s="176"/>
      <c r="S84" s="176"/>
      <c r="T84" s="176"/>
      <c r="U84" s="216">
        <v>2.0529599999999999E-2</v>
      </c>
      <c r="V84" s="177">
        <f t="shared" si="71"/>
        <v>2.0529599999999999E-2</v>
      </c>
      <c r="W84" s="179"/>
      <c r="X84" s="179"/>
      <c r="Y84" s="179"/>
      <c r="Z84" s="177">
        <f t="shared" si="64"/>
        <v>0</v>
      </c>
      <c r="AA84" s="180">
        <f t="shared" si="72"/>
        <v>2.0529599999999999E-2</v>
      </c>
      <c r="AB84" s="73">
        <f t="shared" si="65"/>
        <v>1.1546051966397229E-2</v>
      </c>
      <c r="AC84" s="73">
        <f t="shared" si="66"/>
        <v>4.8975924884955974E-3</v>
      </c>
      <c r="AD84" s="73">
        <f t="shared" si="67"/>
        <v>6.1954598971459738E-4</v>
      </c>
      <c r="AE84" s="73">
        <f t="shared" si="68"/>
        <v>1.2626628390727868E-3</v>
      </c>
      <c r="AF84" s="182">
        <f t="shared" si="69"/>
        <v>9.2877836852502451E-6</v>
      </c>
      <c r="AG84" s="162">
        <f t="shared" si="60"/>
        <v>3.8864741067365462E-2</v>
      </c>
      <c r="AH84" s="183">
        <f t="shared" si="38"/>
        <v>18.987227736586597</v>
      </c>
      <c r="AI84" s="183">
        <f t="shared" si="38"/>
        <v>10.678606409498856</v>
      </c>
      <c r="AJ84" s="183">
        <f t="shared" si="38"/>
        <v>4.5296403212951928</v>
      </c>
      <c r="AK84" s="160">
        <f t="shared" si="52"/>
        <v>35.944864467380647</v>
      </c>
      <c r="AL84" s="183">
        <f t="shared" si="63"/>
        <v>1.1678000000000002</v>
      </c>
      <c r="AM84" s="183">
        <f t="shared" si="63"/>
        <v>8.5899999999999969E-3</v>
      </c>
      <c r="AN84" s="160">
        <f t="shared" si="63"/>
        <v>35.944864467380647</v>
      </c>
      <c r="AO84" s="72"/>
      <c r="AP84" s="72"/>
      <c r="AQ84" s="72"/>
      <c r="AR84" s="72"/>
      <c r="AS84" s="72"/>
      <c r="AT84" s="72"/>
      <c r="AU84" s="72"/>
      <c r="AV84" s="72"/>
      <c r="AW84" s="72"/>
      <c r="AX84" s="72"/>
      <c r="AY84" s="72"/>
      <c r="AZ84" s="72"/>
      <c r="BA84" s="72"/>
      <c r="BB84" s="72"/>
    </row>
    <row r="85" spans="2:55">
      <c r="B85" s="165" t="str">
        <f t="shared" si="70"/>
        <v>PLGUM 055</v>
      </c>
      <c r="C85" s="74"/>
      <c r="D85" s="232" t="s">
        <v>134</v>
      </c>
      <c r="E85" s="167"/>
      <c r="F85" s="406">
        <v>1.116975303453257E-3</v>
      </c>
      <c r="G85" s="169"/>
      <c r="H85" s="169"/>
      <c r="I85" s="169"/>
      <c r="J85" s="171"/>
      <c r="K85" s="402">
        <v>1</v>
      </c>
      <c r="L85" s="171"/>
      <c r="M85" s="173"/>
      <c r="N85" s="173"/>
      <c r="O85" s="171"/>
      <c r="P85" s="208"/>
      <c r="Q85" s="176"/>
      <c r="R85" s="176"/>
      <c r="S85" s="176"/>
      <c r="T85" s="176"/>
      <c r="U85" s="216">
        <v>1.7184000000000001E-4</v>
      </c>
      <c r="V85" s="177">
        <f t="shared" si="71"/>
        <v>1.7184000000000001E-4</v>
      </c>
      <c r="W85" s="179"/>
      <c r="X85" s="179"/>
      <c r="Y85" s="179"/>
      <c r="Z85" s="177">
        <f t="shared" si="64"/>
        <v>0</v>
      </c>
      <c r="AA85" s="180">
        <f t="shared" si="72"/>
        <v>1.7184000000000001E-4</v>
      </c>
      <c r="AB85" s="73">
        <f t="shared" si="65"/>
        <v>1.1927739634707879E-4</v>
      </c>
      <c r="AC85" s="73">
        <f t="shared" si="66"/>
        <v>5.0594963724128058E-5</v>
      </c>
      <c r="AD85" s="73">
        <f t="shared" si="67"/>
        <v>6.4002684887871625E-6</v>
      </c>
      <c r="AE85" s="73">
        <f t="shared" si="68"/>
        <v>1.3044037593727137E-5</v>
      </c>
      <c r="AF85" s="182">
        <f t="shared" si="69"/>
        <v>9.5948178566634764E-8</v>
      </c>
      <c r="AG85" s="162">
        <f t="shared" si="60"/>
        <v>3.6125261433228784E-4</v>
      </c>
      <c r="AH85" s="183">
        <f t="shared" si="38"/>
        <v>15.384404603104205</v>
      </c>
      <c r="AI85" s="183">
        <f t="shared" si="38"/>
        <v>10.678606409498856</v>
      </c>
      <c r="AJ85" s="183">
        <f t="shared" si="38"/>
        <v>4.5296403212951928</v>
      </c>
      <c r="AK85" s="160">
        <f t="shared" si="52"/>
        <v>32.342041333898258</v>
      </c>
      <c r="AL85" s="183">
        <f t="shared" si="63"/>
        <v>1.1678000000000002</v>
      </c>
      <c r="AM85" s="183">
        <f t="shared" si="63"/>
        <v>8.5899999999999987E-3</v>
      </c>
      <c r="AN85" s="160">
        <f t="shared" si="63"/>
        <v>32.342041333898258</v>
      </c>
      <c r="AO85" s="72"/>
      <c r="AP85" s="72"/>
      <c r="AQ85" s="72"/>
      <c r="AR85" s="72"/>
      <c r="AS85" s="72"/>
      <c r="AT85" s="72"/>
      <c r="AU85" s="72"/>
      <c r="AV85" s="72"/>
      <c r="AW85" s="72"/>
      <c r="AX85" s="72"/>
      <c r="AY85" s="72"/>
      <c r="AZ85" s="72"/>
      <c r="BA85" s="72"/>
      <c r="BB85" s="72"/>
    </row>
    <row r="86" spans="2:55">
      <c r="B86" s="165" t="str">
        <f t="shared" si="70"/>
        <v>PLGUM 056</v>
      </c>
      <c r="C86" s="74"/>
      <c r="D86" s="232" t="s">
        <v>136</v>
      </c>
      <c r="E86" s="167"/>
      <c r="F86" s="406">
        <v>0.85880507831509423</v>
      </c>
      <c r="G86" s="169"/>
      <c r="H86" s="169"/>
      <c r="I86" s="169"/>
      <c r="J86" s="171"/>
      <c r="K86" s="402">
        <v>1182</v>
      </c>
      <c r="L86" s="171"/>
      <c r="M86" s="173"/>
      <c r="N86" s="173"/>
      <c r="O86" s="171"/>
      <c r="P86" s="208"/>
      <c r="Q86" s="176"/>
      <c r="R86" s="176"/>
      <c r="S86" s="176"/>
      <c r="T86" s="176"/>
      <c r="U86" s="216">
        <v>8.8919520000000002E-2</v>
      </c>
      <c r="V86" s="177">
        <f t="shared" si="71"/>
        <v>8.8919520000000002E-2</v>
      </c>
      <c r="W86" s="179"/>
      <c r="X86" s="179"/>
      <c r="Y86" s="179"/>
      <c r="Z86" s="177">
        <f t="shared" si="64"/>
        <v>0</v>
      </c>
      <c r="AA86" s="180">
        <f t="shared" si="72"/>
        <v>8.8919520000000002E-2</v>
      </c>
      <c r="AB86" s="73">
        <f t="shared" si="65"/>
        <v>9.1708414138057318E-2</v>
      </c>
      <c r="AC86" s="73">
        <f t="shared" si="66"/>
        <v>3.8900781108691267E-2</v>
      </c>
      <c r="AD86" s="73">
        <f t="shared" si="67"/>
        <v>4.9209530987454897E-3</v>
      </c>
      <c r="AE86" s="73">
        <f t="shared" si="68"/>
        <v>1.0029125704563671E-2</v>
      </c>
      <c r="AF86" s="182">
        <f t="shared" si="69"/>
        <v>7.3771356227266579E-5</v>
      </c>
      <c r="AG86" s="162">
        <f t="shared" si="60"/>
        <v>0.234552565406285</v>
      </c>
      <c r="AH86" s="183">
        <f t="shared" si="38"/>
        <v>10.353865183756582</v>
      </c>
      <c r="AI86" s="183">
        <f t="shared" si="38"/>
        <v>10.678606409498856</v>
      </c>
      <c r="AJ86" s="183">
        <f t="shared" si="38"/>
        <v>4.5296403212951928</v>
      </c>
      <c r="AK86" s="160">
        <f t="shared" si="52"/>
        <v>27.311501914550629</v>
      </c>
      <c r="AL86" s="183">
        <f t="shared" si="63"/>
        <v>1.1678000000000002</v>
      </c>
      <c r="AM86" s="183">
        <f t="shared" si="63"/>
        <v>8.5899999999999987E-3</v>
      </c>
      <c r="AN86" s="160">
        <f t="shared" si="63"/>
        <v>27.311501914550629</v>
      </c>
      <c r="AO86" s="72"/>
      <c r="AP86" s="72"/>
      <c r="AQ86" s="72"/>
      <c r="AR86" s="72"/>
      <c r="AS86" s="72"/>
      <c r="AT86" s="72"/>
      <c r="AU86" s="72"/>
      <c r="AV86" s="72"/>
      <c r="AW86" s="72"/>
      <c r="AX86" s="72"/>
      <c r="AY86" s="72"/>
      <c r="AZ86" s="72"/>
      <c r="BA86" s="72"/>
      <c r="BB86" s="72"/>
    </row>
    <row r="87" spans="2:55">
      <c r="C87" s="233" t="s">
        <v>253</v>
      </c>
      <c r="D87" s="234" t="s">
        <v>285</v>
      </c>
      <c r="E87" s="235"/>
      <c r="F87" s="236">
        <f>SUM(F80:F86)</f>
        <v>1.3302005699524675</v>
      </c>
      <c r="G87" s="236"/>
      <c r="H87" s="236"/>
      <c r="I87" s="236"/>
      <c r="J87" s="237"/>
      <c r="K87" s="236">
        <f>SUM(K80:K86)</f>
        <v>2291</v>
      </c>
      <c r="L87" s="238"/>
      <c r="M87" s="239"/>
      <c r="N87" s="239"/>
      <c r="O87" s="240"/>
      <c r="P87" s="241"/>
      <c r="Q87" s="242"/>
      <c r="R87" s="242"/>
      <c r="S87" s="242"/>
      <c r="T87" s="242"/>
      <c r="U87" s="243">
        <f>SUM(U80:U86)</f>
        <v>0.23752608000000003</v>
      </c>
      <c r="V87" s="244">
        <f>SUM(V80:V86)</f>
        <v>0.23752608000000003</v>
      </c>
      <c r="W87" s="253">
        <f t="shared" ref="W87:Z87" si="73">SUM(W80:W86)</f>
        <v>0</v>
      </c>
      <c r="X87" s="243">
        <f t="shared" si="73"/>
        <v>0</v>
      </c>
      <c r="Y87" s="243">
        <f t="shared" si="73"/>
        <v>0</v>
      </c>
      <c r="Z87" s="244">
        <f t="shared" si="73"/>
        <v>0</v>
      </c>
      <c r="AA87" s="245">
        <f>SUM(AA80:AA86)</f>
        <v>0.23752608000000003</v>
      </c>
      <c r="AB87" s="246">
        <f>SUM(AB80:AB86)</f>
        <v>0.1420468833221345</v>
      </c>
      <c r="AC87" s="246">
        <f>SUM(AC80:AC86)</f>
        <v>6.0253301370665424E-2</v>
      </c>
      <c r="AD87" s="246">
        <f t="shared" ref="AD87:AF87" si="74">SUM(AD80:AD86)</f>
        <v>7.6220492658276382E-3</v>
      </c>
      <c r="AE87" s="246">
        <f t="shared" si="74"/>
        <v>1.5534082255904915E-2</v>
      </c>
      <c r="AF87" s="247">
        <f t="shared" si="74"/>
        <v>1.1426422895891692E-4</v>
      </c>
      <c r="AG87" s="247">
        <f>SUM(AG80:AG86)</f>
        <v>0.4630966604434914</v>
      </c>
      <c r="AH87" s="248">
        <f t="shared" si="38"/>
        <v>17.856410932712773</v>
      </c>
      <c r="AI87" s="248">
        <f t="shared" si="38"/>
        <v>10.678606409498856</v>
      </c>
      <c r="AJ87" s="248">
        <f t="shared" si="38"/>
        <v>4.5296403212951919</v>
      </c>
      <c r="AK87" s="249">
        <f t="shared" si="52"/>
        <v>34.81404766350682</v>
      </c>
      <c r="AL87" s="250">
        <f t="shared" si="63"/>
        <v>1.1677999999999999</v>
      </c>
      <c r="AM87" s="250">
        <f t="shared" si="63"/>
        <v>8.5899999999999969E-3</v>
      </c>
      <c r="AN87" s="249">
        <f t="shared" si="63"/>
        <v>34.81404766350682</v>
      </c>
      <c r="AO87" s="72"/>
      <c r="AP87" s="72"/>
      <c r="AQ87" s="72"/>
      <c r="AR87" s="72"/>
      <c r="AS87" s="72"/>
      <c r="AT87" s="72"/>
      <c r="AU87" s="72"/>
      <c r="AV87" s="72"/>
      <c r="AW87" s="72"/>
      <c r="AX87" s="72"/>
      <c r="AY87" s="72"/>
      <c r="AZ87" s="72"/>
      <c r="BA87" s="72"/>
      <c r="BB87" s="72"/>
      <c r="BC87" s="72"/>
    </row>
    <row r="88" spans="2:55">
      <c r="B88" s="165" t="s">
        <v>142</v>
      </c>
      <c r="C88" s="74" t="s">
        <v>253</v>
      </c>
      <c r="D88" s="166" t="s">
        <v>142</v>
      </c>
      <c r="E88" s="398">
        <v>1</v>
      </c>
      <c r="F88" s="406">
        <v>3.3564790118043593E-2</v>
      </c>
      <c r="G88" s="169"/>
      <c r="H88" s="169"/>
      <c r="I88" s="169"/>
      <c r="J88" s="171"/>
      <c r="K88" s="402">
        <v>26</v>
      </c>
      <c r="L88" s="171"/>
      <c r="M88" s="173"/>
      <c r="N88" s="173"/>
      <c r="O88" s="171"/>
      <c r="P88" s="208"/>
      <c r="Q88" s="176"/>
      <c r="R88" s="176"/>
      <c r="S88" s="176"/>
      <c r="T88" s="176"/>
      <c r="U88" s="216">
        <v>2.3431199999999998E-3</v>
      </c>
      <c r="V88" s="177">
        <f>SUM(Q88:U88)</f>
        <v>2.3431199999999998E-3</v>
      </c>
      <c r="W88" s="179"/>
      <c r="X88" s="179"/>
      <c r="Y88" s="179"/>
      <c r="Z88" s="177">
        <f>SUM(W88:Y88)</f>
        <v>0</v>
      </c>
      <c r="AA88" s="180">
        <f>+V88+Z88+P88</f>
        <v>2.3431199999999998E-3</v>
      </c>
      <c r="AB88" s="73">
        <f t="shared" ref="AB88:AB94" si="75">$H$2*F88</f>
        <v>3.5842518288802419E-3</v>
      </c>
      <c r="AC88" s="73">
        <f t="shared" ref="AC88:AC94" si="76">+$H$3*F88</f>
        <v>1.5203642669450069E-3</v>
      </c>
      <c r="AD88" s="73">
        <f t="shared" ref="AD88:AD94" si="77">+$H$4*F88</f>
        <v>1.9232624737638979E-4</v>
      </c>
      <c r="AE88" s="73">
        <f t="shared" ref="AE88:AE94" si="78">+$H$5*F88</f>
        <v>3.9196961899851313E-4</v>
      </c>
      <c r="AF88" s="182">
        <f t="shared" ref="AF88:AF94" si="79">+$H$6*F88</f>
        <v>2.8832154711399443E-6</v>
      </c>
      <c r="AG88" s="162">
        <f t="shared" ref="AG88:AG95" si="80">+AF88+AD88+AC88+AB88+AA88+AE88</f>
        <v>8.034915177671291E-3</v>
      </c>
      <c r="AH88" s="183">
        <f t="shared" si="38"/>
        <v>6.9808867916632584</v>
      </c>
      <c r="AI88" s="183">
        <f t="shared" si="38"/>
        <v>10.678606409498856</v>
      </c>
      <c r="AJ88" s="183">
        <f t="shared" si="38"/>
        <v>4.5296403212951928</v>
      </c>
      <c r="AK88" s="160">
        <f t="shared" si="52"/>
        <v>23.938523522457306</v>
      </c>
      <c r="AL88" s="183">
        <f t="shared" si="63"/>
        <v>1.1678000000000002</v>
      </c>
      <c r="AM88" s="183">
        <f t="shared" si="63"/>
        <v>8.5899999999999987E-3</v>
      </c>
      <c r="AN88" s="160"/>
      <c r="AO88" s="72"/>
      <c r="AP88" s="72"/>
      <c r="AQ88" s="72"/>
      <c r="AR88" s="72"/>
      <c r="AS88" s="72"/>
      <c r="AT88" s="72"/>
      <c r="AU88" s="72"/>
      <c r="AV88" s="72"/>
      <c r="AW88" s="72"/>
      <c r="AX88" s="72"/>
      <c r="AY88" s="72"/>
      <c r="AZ88" s="72"/>
      <c r="BA88" s="72"/>
      <c r="BB88" s="72"/>
    </row>
    <row r="89" spans="2:55">
      <c r="B89" s="165" t="s">
        <v>143</v>
      </c>
      <c r="C89" s="74" t="s">
        <v>253</v>
      </c>
      <c r="D89" s="166" t="s">
        <v>143</v>
      </c>
      <c r="E89" s="398">
        <v>2</v>
      </c>
      <c r="F89" s="406">
        <v>3.1435268588529325E-2</v>
      </c>
      <c r="G89" s="169"/>
      <c r="H89" s="169"/>
      <c r="I89" s="169"/>
      <c r="J89" s="171"/>
      <c r="K89" s="402">
        <v>37</v>
      </c>
      <c r="L89" s="171"/>
      <c r="M89" s="173"/>
      <c r="N89" s="173"/>
      <c r="O89" s="171"/>
      <c r="P89" s="208"/>
      <c r="Q89" s="176"/>
      <c r="R89" s="176"/>
      <c r="S89" s="176"/>
      <c r="T89" s="176"/>
      <c r="U89" s="216">
        <v>8.8800000000000001E-4</v>
      </c>
      <c r="V89" s="177">
        <f t="shared" ref="V89:V94" si="81">SUM(Q89:U89)</f>
        <v>8.8800000000000001E-4</v>
      </c>
      <c r="W89" s="179"/>
      <c r="X89" s="179"/>
      <c r="Y89" s="179"/>
      <c r="Z89" s="177">
        <f t="shared" ref="Z89:Z94" si="82">SUM(W89:Y89)</f>
        <v>0</v>
      </c>
      <c r="AA89" s="180">
        <f t="shared" ref="AA89:AA94" si="83">+V89+Z89+P89</f>
        <v>8.8800000000000001E-4</v>
      </c>
      <c r="AB89" s="73">
        <f t="shared" si="75"/>
        <v>3.3568486063378731E-3</v>
      </c>
      <c r="AC89" s="73">
        <f t="shared" si="76"/>
        <v>1.4239046010934664E-3</v>
      </c>
      <c r="AD89" s="73">
        <f t="shared" si="77"/>
        <v>1.8012408901227301E-4</v>
      </c>
      <c r="AE89" s="73">
        <f t="shared" si="78"/>
        <v>3.6710106657684548E-4</v>
      </c>
      <c r="AF89" s="182">
        <f t="shared" si="79"/>
        <v>2.7002895717546684E-6</v>
      </c>
      <c r="AG89" s="162">
        <f t="shared" si="80"/>
        <v>6.2186786525922121E-3</v>
      </c>
      <c r="AH89" s="183">
        <f t="shared" si="38"/>
        <v>2.8248525935103022</v>
      </c>
      <c r="AI89" s="183">
        <f t="shared" si="38"/>
        <v>10.678606409498856</v>
      </c>
      <c r="AJ89" s="183">
        <f t="shared" si="38"/>
        <v>4.5296403212951928</v>
      </c>
      <c r="AK89" s="160">
        <f t="shared" si="52"/>
        <v>19.78248932430435</v>
      </c>
      <c r="AL89" s="183">
        <f t="shared" si="63"/>
        <v>1.1678000000000002</v>
      </c>
      <c r="AM89" s="183">
        <f t="shared" si="63"/>
        <v>8.5899999999999987E-3</v>
      </c>
      <c r="AN89" s="160">
        <f t="shared" si="63"/>
        <v>19.78248932430435</v>
      </c>
      <c r="AO89" s="72"/>
      <c r="AP89" s="72"/>
      <c r="AQ89" s="72"/>
      <c r="AR89" s="72"/>
      <c r="AS89" s="72"/>
      <c r="AT89" s="72"/>
      <c r="AU89" s="72"/>
      <c r="AV89" s="72"/>
      <c r="AW89" s="72"/>
      <c r="AX89" s="72"/>
      <c r="AY89" s="72"/>
      <c r="AZ89" s="72"/>
      <c r="BA89" s="72"/>
      <c r="BB89" s="72"/>
    </row>
    <row r="90" spans="2:55">
      <c r="B90" s="165" t="s">
        <v>47</v>
      </c>
      <c r="C90" s="74" t="s">
        <v>269</v>
      </c>
      <c r="D90" s="213" t="s">
        <v>47</v>
      </c>
      <c r="E90" s="398">
        <v>23</v>
      </c>
      <c r="F90" s="205">
        <v>3.1091575656600652</v>
      </c>
      <c r="G90" s="169">
        <v>1.9812000000000001</v>
      </c>
      <c r="H90" s="169">
        <v>1.1279575656600649</v>
      </c>
      <c r="I90" s="169"/>
      <c r="J90" s="171"/>
      <c r="K90" s="171"/>
      <c r="L90" s="412">
        <v>21696</v>
      </c>
      <c r="M90" s="173"/>
      <c r="N90" s="173"/>
      <c r="O90" s="171"/>
      <c r="P90" s="208"/>
      <c r="Q90" s="175">
        <v>0.30855693312511695</v>
      </c>
      <c r="R90" s="175">
        <v>0</v>
      </c>
      <c r="S90" s="176"/>
      <c r="T90" s="176"/>
      <c r="U90" s="176"/>
      <c r="V90" s="177">
        <f t="shared" si="81"/>
        <v>0.30855693312511695</v>
      </c>
      <c r="W90" s="179"/>
      <c r="X90" s="179"/>
      <c r="Y90" s="179"/>
      <c r="Z90" s="177">
        <f t="shared" si="82"/>
        <v>0</v>
      </c>
      <c r="AA90" s="180">
        <f t="shared" si="83"/>
        <v>0.30855693312511695</v>
      </c>
      <c r="AB90" s="73">
        <f t="shared" si="75"/>
        <v>0.3320146990879943</v>
      </c>
      <c r="AC90" s="73">
        <f t="shared" si="76"/>
        <v>0.14083365474673837</v>
      </c>
      <c r="AD90" s="73">
        <f t="shared" si="77"/>
        <v>1.7815472851232174E-2</v>
      </c>
      <c r="AE90" s="73">
        <f t="shared" si="78"/>
        <v>3.6308742051778246E-2</v>
      </c>
      <c r="AF90" s="182">
        <f t="shared" si="79"/>
        <v>2.6707663489019954E-4</v>
      </c>
      <c r="AG90" s="162">
        <f t="shared" si="80"/>
        <v>0.83579657849775024</v>
      </c>
      <c r="AH90" s="183">
        <f t="shared" si="38"/>
        <v>9.9241330363265519</v>
      </c>
      <c r="AI90" s="183">
        <f t="shared" si="38"/>
        <v>10.678606409498856</v>
      </c>
      <c r="AJ90" s="183">
        <f t="shared" si="38"/>
        <v>4.5296403212951928</v>
      </c>
      <c r="AK90" s="160">
        <f t="shared" si="52"/>
        <v>26.881769767120602</v>
      </c>
      <c r="AL90" s="183">
        <f t="shared" si="63"/>
        <v>1.1678000000000002</v>
      </c>
      <c r="AM90" s="183">
        <f t="shared" si="63"/>
        <v>8.5899999999999969E-3</v>
      </c>
      <c r="AN90" s="160">
        <f t="shared" si="63"/>
        <v>26.881769767120602</v>
      </c>
      <c r="AO90" s="72"/>
      <c r="AP90" s="72"/>
      <c r="AQ90" s="72"/>
      <c r="AR90" s="72"/>
      <c r="AS90" s="72"/>
      <c r="AT90" s="72"/>
      <c r="AU90" s="72"/>
      <c r="AV90" s="72"/>
      <c r="AW90" s="72"/>
      <c r="AX90" s="72"/>
      <c r="AY90" s="72"/>
      <c r="AZ90" s="72"/>
      <c r="BA90" s="72"/>
      <c r="BB90" s="72"/>
    </row>
    <row r="91" spans="2:55">
      <c r="B91" s="165" t="s">
        <v>125</v>
      </c>
      <c r="C91" s="74" t="s">
        <v>253</v>
      </c>
      <c r="D91" s="213" t="s">
        <v>125</v>
      </c>
      <c r="E91" s="398">
        <v>225</v>
      </c>
      <c r="F91" s="205">
        <v>2.7</v>
      </c>
      <c r="G91" s="169"/>
      <c r="H91" s="169"/>
      <c r="I91" s="169"/>
      <c r="J91" s="171"/>
      <c r="K91" s="171"/>
      <c r="L91" s="171"/>
      <c r="M91" s="173"/>
      <c r="N91" s="173"/>
      <c r="O91" s="171"/>
      <c r="P91" s="174">
        <v>1.206E-2</v>
      </c>
      <c r="Q91" s="176"/>
      <c r="R91" s="176"/>
      <c r="S91" s="176"/>
      <c r="T91" s="176"/>
      <c r="U91" s="175">
        <v>0.19164660216564494</v>
      </c>
      <c r="V91" s="177">
        <f t="shared" si="81"/>
        <v>0.19164660216564494</v>
      </c>
      <c r="W91" s="179"/>
      <c r="X91" s="179"/>
      <c r="Y91" s="179"/>
      <c r="Z91" s="177">
        <f t="shared" si="82"/>
        <v>0</v>
      </c>
      <c r="AA91" s="180">
        <f t="shared" si="83"/>
        <v>0.20370660216564493</v>
      </c>
      <c r="AB91" s="73">
        <f t="shared" si="75"/>
        <v>0.28832237305646913</v>
      </c>
      <c r="AC91" s="73">
        <f t="shared" si="76"/>
        <v>0.12230028867497021</v>
      </c>
      <c r="AD91" s="73">
        <f t="shared" si="77"/>
        <v>1.5471E-2</v>
      </c>
      <c r="AE91" s="73">
        <f t="shared" si="78"/>
        <v>3.1530600000000006E-2</v>
      </c>
      <c r="AF91" s="182">
        <f t="shared" si="79"/>
        <v>2.3192999999999998E-4</v>
      </c>
      <c r="AG91" s="162">
        <f t="shared" si="80"/>
        <v>0.66156279389708428</v>
      </c>
      <c r="AH91" s="183">
        <f t="shared" si="38"/>
        <v>7.5446889690979599</v>
      </c>
      <c r="AI91" s="183">
        <f t="shared" si="38"/>
        <v>10.678606409498856</v>
      </c>
      <c r="AJ91" s="183">
        <f t="shared" si="38"/>
        <v>4.5296403212951928</v>
      </c>
      <c r="AK91" s="160">
        <f t="shared" si="52"/>
        <v>24.502325699892008</v>
      </c>
      <c r="AL91" s="183">
        <f t="shared" si="63"/>
        <v>1.1678000000000002</v>
      </c>
      <c r="AM91" s="183">
        <f t="shared" si="63"/>
        <v>8.5899999999999987E-3</v>
      </c>
      <c r="AN91" s="160">
        <f t="shared" si="63"/>
        <v>24.502325699892008</v>
      </c>
      <c r="AO91" s="72"/>
      <c r="AP91" s="72"/>
      <c r="AQ91" s="72"/>
      <c r="AR91" s="72"/>
      <c r="AS91" s="72"/>
      <c r="AT91" s="72"/>
      <c r="AU91" s="72"/>
      <c r="AV91" s="72"/>
      <c r="AW91" s="72"/>
      <c r="AX91" s="72"/>
      <c r="AY91" s="72"/>
      <c r="AZ91" s="72"/>
      <c r="BA91" s="72"/>
      <c r="BB91" s="72"/>
    </row>
    <row r="92" spans="2:55">
      <c r="B92" s="165" t="s">
        <v>138</v>
      </c>
      <c r="C92" s="74" t="s">
        <v>253</v>
      </c>
      <c r="D92" s="213" t="s">
        <v>286</v>
      </c>
      <c r="E92" s="398">
        <v>80</v>
      </c>
      <c r="F92" s="214">
        <v>0.7</v>
      </c>
      <c r="G92" s="169"/>
      <c r="H92" s="169"/>
      <c r="I92" s="169"/>
      <c r="J92" s="171"/>
      <c r="K92" s="171"/>
      <c r="L92" s="171"/>
      <c r="M92" s="173"/>
      <c r="N92" s="173"/>
      <c r="O92" s="171"/>
      <c r="P92" s="174">
        <v>4.8599999999999997E-3</v>
      </c>
      <c r="Q92" s="176"/>
      <c r="R92" s="176"/>
      <c r="S92" s="176"/>
      <c r="T92" s="176"/>
      <c r="U92" s="175">
        <v>4.818005435019572E-2</v>
      </c>
      <c r="V92" s="177">
        <f t="shared" si="81"/>
        <v>4.818005435019572E-2</v>
      </c>
      <c r="W92" s="179"/>
      <c r="X92" s="179"/>
      <c r="Y92" s="179"/>
      <c r="Z92" s="177">
        <f t="shared" si="82"/>
        <v>0</v>
      </c>
      <c r="AA92" s="180">
        <f t="shared" si="83"/>
        <v>5.3040054350195723E-2</v>
      </c>
      <c r="AB92" s="73">
        <f t="shared" si="75"/>
        <v>7.4750244866491983E-2</v>
      </c>
      <c r="AC92" s="73">
        <f t="shared" si="76"/>
        <v>3.1707482249066346E-2</v>
      </c>
      <c r="AD92" s="73">
        <f t="shared" si="77"/>
        <v>4.0109999999999998E-3</v>
      </c>
      <c r="AE92" s="73">
        <f t="shared" si="78"/>
        <v>8.1746000000000006E-3</v>
      </c>
      <c r="AF92" s="182">
        <f t="shared" si="79"/>
        <v>6.0129999999999988E-5</v>
      </c>
      <c r="AG92" s="162">
        <f t="shared" si="80"/>
        <v>0.17174351146575403</v>
      </c>
      <c r="AH92" s="183">
        <f t="shared" si="38"/>
        <v>7.577150621456533</v>
      </c>
      <c r="AI92" s="183">
        <f t="shared" si="38"/>
        <v>10.678606409498856</v>
      </c>
      <c r="AJ92" s="183">
        <f t="shared" si="38"/>
        <v>4.5296403212951928</v>
      </c>
      <c r="AK92" s="160">
        <f t="shared" si="52"/>
        <v>24.534787352250579</v>
      </c>
      <c r="AL92" s="183">
        <f t="shared" si="63"/>
        <v>1.1678000000000002</v>
      </c>
      <c r="AM92" s="183">
        <f t="shared" si="63"/>
        <v>8.5899999999999987E-3</v>
      </c>
      <c r="AN92" s="160">
        <f t="shared" si="63"/>
        <v>24.534787352250579</v>
      </c>
      <c r="AO92" s="72"/>
      <c r="AP92" s="72"/>
      <c r="AQ92" s="72"/>
      <c r="AR92" s="72"/>
      <c r="AS92" s="72"/>
      <c r="AT92" s="72"/>
      <c r="AU92" s="72"/>
      <c r="AV92" s="72"/>
      <c r="AW92" s="72"/>
      <c r="AX92" s="72"/>
      <c r="AY92" s="72"/>
      <c r="AZ92" s="72"/>
      <c r="BA92" s="72"/>
      <c r="BB92" s="72"/>
    </row>
    <row r="93" spans="2:55">
      <c r="B93" s="165" t="s">
        <v>139</v>
      </c>
      <c r="C93" s="74" t="s">
        <v>253</v>
      </c>
      <c r="D93" s="213" t="s">
        <v>287</v>
      </c>
      <c r="E93" s="398">
        <v>685</v>
      </c>
      <c r="F93" s="205">
        <v>1.4</v>
      </c>
      <c r="G93" s="169"/>
      <c r="H93" s="169"/>
      <c r="I93" s="169"/>
      <c r="J93" s="171"/>
      <c r="K93" s="171"/>
      <c r="L93" s="171"/>
      <c r="M93" s="173"/>
      <c r="N93" s="173"/>
      <c r="O93" s="171"/>
      <c r="P93" s="208"/>
      <c r="Q93" s="176"/>
      <c r="R93" s="176"/>
      <c r="S93" s="176"/>
      <c r="T93" s="176"/>
      <c r="U93" s="175">
        <v>7.1241229236892703E-2</v>
      </c>
      <c r="V93" s="177">
        <f t="shared" si="81"/>
        <v>7.1241229236892703E-2</v>
      </c>
      <c r="W93" s="179"/>
      <c r="X93" s="179"/>
      <c r="Y93" s="179"/>
      <c r="Z93" s="177">
        <f t="shared" si="82"/>
        <v>0</v>
      </c>
      <c r="AA93" s="180">
        <f t="shared" si="83"/>
        <v>7.1241229236892703E-2</v>
      </c>
      <c r="AB93" s="73">
        <f t="shared" si="75"/>
        <v>0.14950048973298397</v>
      </c>
      <c r="AC93" s="73">
        <f t="shared" si="76"/>
        <v>6.3414964498132692E-2</v>
      </c>
      <c r="AD93" s="73">
        <f t="shared" si="77"/>
        <v>8.0219999999999996E-3</v>
      </c>
      <c r="AE93" s="73">
        <f t="shared" si="78"/>
        <v>1.6349200000000001E-2</v>
      </c>
      <c r="AF93" s="182">
        <f t="shared" si="79"/>
        <v>1.2025999999999998E-4</v>
      </c>
      <c r="AG93" s="162">
        <f t="shared" si="80"/>
        <v>0.30864814346800934</v>
      </c>
      <c r="AH93" s="183">
        <f t="shared" si="38"/>
        <v>5.0886592312066226</v>
      </c>
      <c r="AI93" s="183">
        <f t="shared" si="38"/>
        <v>10.678606409498856</v>
      </c>
      <c r="AJ93" s="183">
        <f t="shared" si="38"/>
        <v>4.5296403212951928</v>
      </c>
      <c r="AK93" s="160">
        <f t="shared" si="52"/>
        <v>22.04629596200067</v>
      </c>
      <c r="AL93" s="183">
        <f t="shared" si="63"/>
        <v>1.1678000000000002</v>
      </c>
      <c r="AM93" s="183">
        <f t="shared" si="63"/>
        <v>8.5899999999999987E-3</v>
      </c>
      <c r="AN93" s="160">
        <f t="shared" si="63"/>
        <v>22.04629596200067</v>
      </c>
      <c r="AO93" s="72"/>
      <c r="AP93" s="72"/>
      <c r="AQ93" s="72"/>
      <c r="AR93" s="72"/>
      <c r="AS93" s="72"/>
      <c r="AT93" s="72"/>
      <c r="AU93" s="72"/>
      <c r="AV93" s="72"/>
      <c r="AW93" s="72"/>
      <c r="AX93" s="72"/>
      <c r="AY93" s="72"/>
      <c r="AZ93" s="72"/>
      <c r="BA93" s="72"/>
      <c r="BB93" s="72"/>
    </row>
    <row r="94" spans="2:55">
      <c r="B94" s="165" t="s">
        <v>140</v>
      </c>
      <c r="C94" s="74" t="s">
        <v>253</v>
      </c>
      <c r="D94" s="213" t="s">
        <v>140</v>
      </c>
      <c r="E94" s="407">
        <v>1034.9166666666667</v>
      </c>
      <c r="F94" s="205">
        <v>13</v>
      </c>
      <c r="G94" s="219"/>
      <c r="H94" s="219"/>
      <c r="I94" s="219"/>
      <c r="J94" s="230"/>
      <c r="K94" s="230"/>
      <c r="L94" s="230"/>
      <c r="M94" s="254"/>
      <c r="N94" s="254"/>
      <c r="O94" s="230"/>
      <c r="P94" s="174">
        <v>6.1800000000000001E-2</v>
      </c>
      <c r="Q94" s="222"/>
      <c r="R94" s="222"/>
      <c r="S94" s="222"/>
      <c r="T94" s="222"/>
      <c r="U94" s="175">
        <v>0.3951391848937581</v>
      </c>
      <c r="V94" s="177">
        <f t="shared" si="81"/>
        <v>0.3951391848937581</v>
      </c>
      <c r="W94" s="179"/>
      <c r="X94" s="179"/>
      <c r="Y94" s="179"/>
      <c r="Z94" s="177">
        <f t="shared" si="82"/>
        <v>0</v>
      </c>
      <c r="AA94" s="180">
        <f t="shared" si="83"/>
        <v>0.45693918489375812</v>
      </c>
      <c r="AB94" s="73">
        <f t="shared" si="75"/>
        <v>1.3882188332348513</v>
      </c>
      <c r="AC94" s="73">
        <f t="shared" si="76"/>
        <v>0.58885324176837506</v>
      </c>
      <c r="AD94" s="73">
        <f t="shared" si="77"/>
        <v>7.4490000000000001E-2</v>
      </c>
      <c r="AE94" s="73">
        <f t="shared" si="78"/>
        <v>0.151814</v>
      </c>
      <c r="AF94" s="182">
        <f t="shared" si="79"/>
        <v>1.1166999999999998E-3</v>
      </c>
      <c r="AG94" s="162">
        <f t="shared" si="80"/>
        <v>2.6614319598969844</v>
      </c>
      <c r="AH94" s="183">
        <f t="shared" si="38"/>
        <v>3.5149168068750622</v>
      </c>
      <c r="AI94" s="183">
        <f t="shared" si="38"/>
        <v>10.678606409498856</v>
      </c>
      <c r="AJ94" s="183">
        <f t="shared" si="38"/>
        <v>4.5296403212951928</v>
      </c>
      <c r="AK94" s="160">
        <f t="shared" si="52"/>
        <v>20.472553537669111</v>
      </c>
      <c r="AL94" s="183">
        <f t="shared" si="63"/>
        <v>1.1678000000000002</v>
      </c>
      <c r="AM94" s="183">
        <f t="shared" si="63"/>
        <v>8.5899999999999987E-3</v>
      </c>
      <c r="AN94" s="160">
        <f t="shared" si="63"/>
        <v>20.472553537669111</v>
      </c>
      <c r="AO94" s="72"/>
      <c r="AP94" s="72"/>
      <c r="AQ94" s="72"/>
      <c r="AR94" s="72"/>
      <c r="AS94" s="72"/>
      <c r="AT94" s="72"/>
      <c r="AU94" s="72"/>
      <c r="AV94" s="72"/>
      <c r="AW94" s="72"/>
      <c r="AX94" s="72"/>
      <c r="AY94" s="72"/>
      <c r="AZ94" s="72"/>
      <c r="BA94" s="72"/>
      <c r="BB94" s="72"/>
    </row>
    <row r="95" spans="2:55">
      <c r="C95" s="187"/>
      <c r="D95" s="187" t="s">
        <v>222</v>
      </c>
      <c r="E95" s="188">
        <f>SUM(E79:E94)</f>
        <v>2201.0213932653696</v>
      </c>
      <c r="F95" s="190">
        <f>+F79+F87+F88+F89+F90+F91+F92+F93+F94</f>
        <v>275.34323282956967</v>
      </c>
      <c r="G95" s="190">
        <f t="shared" ref="G95:AF95" si="84">+G79+G87+G88+G89+G90+G91+G92+G93+G94</f>
        <v>1.9812000000000001</v>
      </c>
      <c r="H95" s="190">
        <f t="shared" si="84"/>
        <v>1.1279575656600649</v>
      </c>
      <c r="I95" s="190">
        <f t="shared" si="84"/>
        <v>0</v>
      </c>
      <c r="J95" s="191">
        <f t="shared" si="84"/>
        <v>0</v>
      </c>
      <c r="K95" s="191">
        <f t="shared" si="84"/>
        <v>446276</v>
      </c>
      <c r="L95" s="191"/>
      <c r="M95" s="192">
        <f t="shared" si="84"/>
        <v>0</v>
      </c>
      <c r="N95" s="192">
        <f t="shared" si="84"/>
        <v>0</v>
      </c>
      <c r="O95" s="193">
        <f t="shared" si="84"/>
        <v>0</v>
      </c>
      <c r="P95" s="194">
        <f>+P79+P87+P88+P89+P90+P91+P92+P93+P94</f>
        <v>7.8719999999999998E-2</v>
      </c>
      <c r="Q95" s="255">
        <f>+Q79+Q87+Q88+Q89+Q90+Q91+Q92+Q93+Q94</f>
        <v>0.30855693312511695</v>
      </c>
      <c r="R95" s="231">
        <f t="shared" ref="R95:T95" si="85">+R79+R87+R88+R89+R90+R91+R92+R93+R94</f>
        <v>0</v>
      </c>
      <c r="S95" s="231">
        <f t="shared" si="85"/>
        <v>0</v>
      </c>
      <c r="T95" s="231">
        <f t="shared" si="85"/>
        <v>0</v>
      </c>
      <c r="U95" s="231">
        <f>+U79+U87+U88+U89+U90+U91+U92+U93+U94</f>
        <v>61.642122350646481</v>
      </c>
      <c r="V95" s="256">
        <f>+V79+V87+V88+V89+V90+V91+V92+V93+V94</f>
        <v>61.950679283771599</v>
      </c>
      <c r="W95" s="257">
        <f>+W79+W87+W88+W89+W90+W91+W92+W93+W94</f>
        <v>0</v>
      </c>
      <c r="X95" s="231">
        <f>+X79+X87+X88+X89+X90+X91+X92+X93+X94</f>
        <v>0</v>
      </c>
      <c r="Y95" s="231">
        <f t="shared" ref="Y95" si="86">+Y79+Y87+Y88+Y89+Y90+Y91+Y92+Y93+Y94</f>
        <v>0</v>
      </c>
      <c r="Z95" s="256">
        <f>+Z79+Z87+Z88+Z89+Z90+Z91+Z92+Z93+Z94</f>
        <v>0</v>
      </c>
      <c r="AA95" s="194">
        <f>+AA79+AA87+AA88+AA89+AA90+AA91+AA92+AA93+AA94</f>
        <v>62.029399283771596</v>
      </c>
      <c r="AB95" s="198">
        <f t="shared" si="84"/>
        <v>29.402820109059796</v>
      </c>
      <c r="AC95" s="198">
        <f t="shared" si="84"/>
        <v>12.47205809620589</v>
      </c>
      <c r="AD95" s="198">
        <f t="shared" si="84"/>
        <v>1.5777167241134342</v>
      </c>
      <c r="AE95" s="198">
        <f t="shared" si="84"/>
        <v>3.2154582729837156</v>
      </c>
      <c r="AF95" s="258">
        <f t="shared" si="84"/>
        <v>2.3651983700060036E-2</v>
      </c>
      <c r="AG95" s="259">
        <f t="shared" si="80"/>
        <v>108.72110446983449</v>
      </c>
      <c r="AH95" s="259">
        <f t="shared" ref="AH95:AJ95" si="87">+AA95/$F95*100</f>
        <v>22.528027526344253</v>
      </c>
      <c r="AI95" s="259">
        <f t="shared" si="87"/>
        <v>10.67860640949886</v>
      </c>
      <c r="AJ95" s="259">
        <f t="shared" si="87"/>
        <v>4.5296403212951928</v>
      </c>
      <c r="AK95" s="202">
        <f t="shared" si="52"/>
        <v>39.485664257138303</v>
      </c>
      <c r="AL95" s="201">
        <f t="shared" ref="AL95:AN95" si="88">+AE95/$F95*100</f>
        <v>1.1678000000000002</v>
      </c>
      <c r="AM95" s="201">
        <f t="shared" si="88"/>
        <v>8.5900000000000004E-3</v>
      </c>
      <c r="AN95" s="202">
        <f t="shared" si="88"/>
        <v>39.485664257138303</v>
      </c>
      <c r="AO95" s="72"/>
      <c r="AP95" s="72"/>
      <c r="AQ95" s="72"/>
      <c r="AR95" s="72"/>
      <c r="AS95" s="72"/>
      <c r="AT95" s="72"/>
      <c r="AU95" s="72"/>
      <c r="AV95" s="72"/>
      <c r="AW95" s="72"/>
      <c r="AX95" s="72"/>
      <c r="AY95" s="72"/>
      <c r="AZ95" s="72"/>
      <c r="BA95" s="72"/>
      <c r="BB95" s="72"/>
      <c r="BC95" s="72"/>
    </row>
    <row r="96" spans="2:55" ht="21.75" customHeight="1">
      <c r="C96" s="155" t="s">
        <v>288</v>
      </c>
      <c r="D96" s="72"/>
      <c r="E96" s="167"/>
      <c r="F96" s="168"/>
      <c r="G96" s="169"/>
      <c r="H96" s="169"/>
      <c r="I96" s="169"/>
      <c r="J96" s="171"/>
      <c r="K96" s="171"/>
      <c r="L96" s="171"/>
      <c r="M96" s="173"/>
      <c r="N96" s="173"/>
      <c r="O96" s="184"/>
      <c r="P96" s="208"/>
      <c r="Q96" s="179"/>
      <c r="R96" s="179"/>
      <c r="S96" s="179"/>
      <c r="T96" s="179"/>
      <c r="U96" s="179"/>
      <c r="V96" s="209"/>
      <c r="W96" s="179"/>
      <c r="X96" s="179"/>
      <c r="Y96" s="179"/>
      <c r="Z96" s="209"/>
      <c r="AA96" s="182"/>
      <c r="AB96" s="260"/>
      <c r="AC96" s="260"/>
      <c r="AD96" s="260"/>
      <c r="AE96" s="260"/>
      <c r="AF96" s="209"/>
      <c r="AG96" s="162"/>
      <c r="AH96" s="183"/>
      <c r="AI96" s="212"/>
      <c r="AJ96" s="183"/>
      <c r="AK96" s="160"/>
      <c r="AL96" s="183"/>
      <c r="AM96" s="183"/>
      <c r="AN96" s="160"/>
      <c r="AO96" s="72"/>
      <c r="AP96" s="72"/>
      <c r="AQ96" s="72"/>
      <c r="AR96" s="72"/>
      <c r="AS96" s="72"/>
      <c r="AT96" s="72"/>
      <c r="AU96" s="72"/>
      <c r="AV96" s="72"/>
      <c r="AW96" s="72"/>
      <c r="AX96" s="72"/>
      <c r="AY96" s="72"/>
      <c r="AZ96" s="72"/>
      <c r="BA96" s="72"/>
      <c r="BB96" s="72"/>
    </row>
    <row r="97" spans="2:54">
      <c r="B97" s="165" t="s">
        <v>13</v>
      </c>
      <c r="C97" s="261" t="s">
        <v>271</v>
      </c>
      <c r="D97" s="262" t="s">
        <v>289</v>
      </c>
      <c r="E97" s="407">
        <v>2</v>
      </c>
      <c r="F97" s="263">
        <v>38.398512167671228</v>
      </c>
      <c r="G97" s="219">
        <v>22.384799999999998</v>
      </c>
      <c r="H97" s="219">
        <v>16.01371216767123</v>
      </c>
      <c r="I97" s="219"/>
      <c r="J97" s="230"/>
      <c r="K97" s="230"/>
      <c r="L97" s="403">
        <v>74616</v>
      </c>
      <c r="M97" s="408">
        <v>76284</v>
      </c>
      <c r="N97" s="254"/>
      <c r="O97" s="264"/>
      <c r="P97" s="265">
        <v>1.0800000000000001E-2</v>
      </c>
      <c r="Q97" s="266">
        <v>0.72413488800000003</v>
      </c>
      <c r="R97" s="266">
        <v>0.5302680862796606</v>
      </c>
      <c r="S97" s="222"/>
      <c r="T97" s="222"/>
      <c r="U97" s="222"/>
      <c r="V97" s="267">
        <f>SUM(Q97:U97)</f>
        <v>1.2544029742796607</v>
      </c>
      <c r="W97" s="268">
        <v>0.54783959999999998</v>
      </c>
      <c r="X97" s="222"/>
      <c r="Y97" s="222"/>
      <c r="Z97" s="267">
        <f>SUM(W97:Y97)</f>
        <v>0.54783959999999998</v>
      </c>
      <c r="AA97" s="269">
        <f>+V97+Z97+P97</f>
        <v>1.8130425742796608</v>
      </c>
      <c r="AB97" s="270">
        <f>$H$2*F97</f>
        <v>4.1004259814891375</v>
      </c>
      <c r="AC97" s="270">
        <f>+$H$3*F97</f>
        <v>1.7393144899242767</v>
      </c>
      <c r="AD97" s="270">
        <f>+$H$4*F97</f>
        <v>0.22002347472075612</v>
      </c>
      <c r="AE97" s="270">
        <f>+$H$5*F97</f>
        <v>0.44841782509406464</v>
      </c>
      <c r="AF97" s="271">
        <f>+$H$6*F97</f>
        <v>3.298432195202958E-3</v>
      </c>
      <c r="AG97" s="271">
        <f>+AF97+AD97+AC97+AB97+AA97+AE97</f>
        <v>8.3245227777030983</v>
      </c>
      <c r="AH97" s="272">
        <f>+AA97/$F97*100</f>
        <v>4.7216479804290739</v>
      </c>
      <c r="AI97" s="272">
        <f>+AB97/$F97*100</f>
        <v>10.678606409498855</v>
      </c>
      <c r="AJ97" s="272">
        <f>+AC97/$F97*100</f>
        <v>4.5296403212951928</v>
      </c>
      <c r="AK97" s="272">
        <f>+AG97/$F97*100</f>
        <v>21.679284711223122</v>
      </c>
      <c r="AL97" s="272">
        <f t="shared" ref="AL97:AN98" si="89">+AE97/$F97*100</f>
        <v>1.1678000000000002</v>
      </c>
      <c r="AM97" s="272">
        <f t="shared" si="89"/>
        <v>8.5899999999999987E-3</v>
      </c>
      <c r="AN97" s="273">
        <f t="shared" si="89"/>
        <v>21.679284711223122</v>
      </c>
      <c r="AO97" s="72"/>
      <c r="AP97" s="203"/>
      <c r="AQ97" s="72"/>
      <c r="AR97" s="72"/>
      <c r="AS97" s="72"/>
      <c r="AT97" s="72"/>
      <c r="AU97" s="72"/>
      <c r="AV97" s="72"/>
      <c r="AW97" s="72"/>
      <c r="AX97" s="72"/>
      <c r="AY97" s="72"/>
      <c r="AZ97" s="72"/>
      <c r="BA97" s="72"/>
      <c r="BB97" s="72"/>
    </row>
    <row r="98" spans="2:54">
      <c r="C98" s="187"/>
      <c r="D98" s="187" t="s">
        <v>222</v>
      </c>
      <c r="E98" s="188">
        <f t="shared" ref="E98:K98" si="90">SUM(E97:E97)</f>
        <v>2</v>
      </c>
      <c r="F98" s="190">
        <f t="shared" si="90"/>
        <v>38.398512167671228</v>
      </c>
      <c r="G98" s="190">
        <f t="shared" si="90"/>
        <v>22.384799999999998</v>
      </c>
      <c r="H98" s="190">
        <f t="shared" si="90"/>
        <v>16.01371216767123</v>
      </c>
      <c r="I98" s="190">
        <f t="shared" si="90"/>
        <v>0</v>
      </c>
      <c r="J98" s="191">
        <f t="shared" si="90"/>
        <v>0</v>
      </c>
      <c r="K98" s="191">
        <f t="shared" si="90"/>
        <v>0</v>
      </c>
      <c r="L98" s="191"/>
      <c r="M98" s="192">
        <f t="shared" ref="M98:AF98" si="91">SUM(M97:M97)</f>
        <v>76284</v>
      </c>
      <c r="N98" s="192">
        <f t="shared" si="91"/>
        <v>0</v>
      </c>
      <c r="O98" s="193">
        <f t="shared" si="91"/>
        <v>0</v>
      </c>
      <c r="P98" s="194">
        <f>SUM(P97:P97)</f>
        <v>1.0800000000000001E-2</v>
      </c>
      <c r="Q98" s="195">
        <f>SUM(Q97:Q97)</f>
        <v>0.72413488800000003</v>
      </c>
      <c r="R98" s="195">
        <f t="shared" ref="R98:AA98" si="92">SUM(R97:R97)</f>
        <v>0.5302680862796606</v>
      </c>
      <c r="S98" s="195">
        <f t="shared" si="92"/>
        <v>0</v>
      </c>
      <c r="T98" s="195">
        <f t="shared" si="92"/>
        <v>0</v>
      </c>
      <c r="U98" s="195">
        <f t="shared" si="92"/>
        <v>0</v>
      </c>
      <c r="V98" s="196">
        <f t="shared" si="92"/>
        <v>1.2544029742796607</v>
      </c>
      <c r="W98" s="195">
        <f t="shared" si="92"/>
        <v>0.54783959999999998</v>
      </c>
      <c r="X98" s="195">
        <f t="shared" si="92"/>
        <v>0</v>
      </c>
      <c r="Y98" s="195">
        <f t="shared" si="92"/>
        <v>0</v>
      </c>
      <c r="Z98" s="195">
        <f t="shared" si="92"/>
        <v>0.54783959999999998</v>
      </c>
      <c r="AA98" s="274">
        <f t="shared" si="92"/>
        <v>1.8130425742796608</v>
      </c>
      <c r="AB98" s="198">
        <f t="shared" si="91"/>
        <v>4.1004259814891375</v>
      </c>
      <c r="AC98" s="198">
        <f t="shared" si="91"/>
        <v>1.7393144899242767</v>
      </c>
      <c r="AD98" s="198">
        <f t="shared" si="91"/>
        <v>0.22002347472075612</v>
      </c>
      <c r="AE98" s="198">
        <f t="shared" si="91"/>
        <v>0.44841782509406464</v>
      </c>
      <c r="AF98" s="258">
        <f t="shared" si="91"/>
        <v>3.298432195202958E-3</v>
      </c>
      <c r="AG98" s="259">
        <f t="shared" ref="AG98" si="93">+AF98+AD98+AC98+AB98+AA98+AE98</f>
        <v>8.3245227777030983</v>
      </c>
      <c r="AH98" s="259">
        <f t="shared" ref="AH98:AJ98" si="94">+AA98/$F98*100</f>
        <v>4.7216479804290739</v>
      </c>
      <c r="AI98" s="259">
        <f t="shared" si="94"/>
        <v>10.678606409498855</v>
      </c>
      <c r="AJ98" s="259">
        <f t="shared" si="94"/>
        <v>4.5296403212951928</v>
      </c>
      <c r="AK98" s="259">
        <f>+AG98/$F98*100</f>
        <v>21.679284711223122</v>
      </c>
      <c r="AL98" s="201">
        <f t="shared" si="89"/>
        <v>1.1678000000000002</v>
      </c>
      <c r="AM98" s="201">
        <f t="shared" si="89"/>
        <v>8.5899999999999987E-3</v>
      </c>
      <c r="AN98" s="202">
        <f>+AG98/$F98*100</f>
        <v>21.679284711223122</v>
      </c>
      <c r="AO98" s="72"/>
      <c r="AP98" s="203"/>
      <c r="AQ98" s="72"/>
      <c r="AR98" s="72"/>
      <c r="AS98" s="72"/>
      <c r="AT98" s="72"/>
      <c r="AU98" s="72"/>
      <c r="AV98" s="72"/>
      <c r="AW98" s="72"/>
      <c r="AX98" s="72"/>
      <c r="AY98" s="72"/>
      <c r="AZ98" s="72"/>
      <c r="BA98" s="72"/>
      <c r="BB98" s="72"/>
    </row>
    <row r="99" spans="2:54" ht="25.5" customHeight="1">
      <c r="C99" s="155" t="s">
        <v>290</v>
      </c>
      <c r="D99" s="72"/>
      <c r="E99" s="167"/>
      <c r="F99" s="168"/>
      <c r="G99" s="169"/>
      <c r="H99" s="169"/>
      <c r="I99" s="169"/>
      <c r="J99" s="171"/>
      <c r="K99" s="171"/>
      <c r="L99" s="171"/>
      <c r="M99" s="173"/>
      <c r="N99" s="173"/>
      <c r="O99" s="184"/>
      <c r="P99" s="208"/>
      <c r="Q99" s="179"/>
      <c r="R99" s="179"/>
      <c r="S99" s="179"/>
      <c r="T99" s="179"/>
      <c r="U99" s="179"/>
      <c r="V99" s="209"/>
      <c r="W99" s="179"/>
      <c r="X99" s="179"/>
      <c r="Y99" s="179"/>
      <c r="Z99" s="209"/>
      <c r="AA99" s="182"/>
      <c r="AB99" s="260"/>
      <c r="AC99" s="260"/>
      <c r="AD99" s="260"/>
      <c r="AE99" s="260"/>
      <c r="AF99" s="209"/>
      <c r="AG99" s="162"/>
      <c r="AH99" s="183"/>
      <c r="AI99" s="183"/>
      <c r="AJ99" s="183"/>
      <c r="AK99" s="160"/>
      <c r="AL99" s="183"/>
      <c r="AM99" s="183"/>
      <c r="AN99" s="275"/>
      <c r="AO99" s="72"/>
      <c r="AP99" s="72"/>
      <c r="AQ99" s="72"/>
      <c r="AR99" s="72"/>
      <c r="AS99" s="72"/>
      <c r="AT99" s="72"/>
      <c r="AU99" s="72"/>
      <c r="AV99" s="72"/>
      <c r="AW99" s="72"/>
      <c r="AX99" s="72"/>
      <c r="AY99" s="72"/>
      <c r="AZ99" s="72"/>
      <c r="BA99" s="72"/>
      <c r="BB99" s="72"/>
    </row>
    <row r="100" spans="2:54">
      <c r="B100" s="165" t="s">
        <v>19</v>
      </c>
      <c r="C100" s="261" t="s">
        <v>253</v>
      </c>
      <c r="D100" s="262" t="s">
        <v>291</v>
      </c>
      <c r="E100" s="167">
        <v>1082</v>
      </c>
      <c r="F100" s="263">
        <v>23.157846738615795</v>
      </c>
      <c r="G100" s="219"/>
      <c r="H100" s="219"/>
      <c r="I100" s="219"/>
      <c r="J100" s="230"/>
      <c r="K100" s="230"/>
      <c r="L100" s="230"/>
      <c r="M100" s="254"/>
      <c r="N100" s="254"/>
      <c r="O100" s="264"/>
      <c r="P100" s="265">
        <v>0.13236000000000001</v>
      </c>
      <c r="Q100" s="222"/>
      <c r="R100" s="222"/>
      <c r="S100" s="222"/>
      <c r="T100" s="222"/>
      <c r="U100" s="175">
        <v>1.2058546745066152</v>
      </c>
      <c r="V100" s="267">
        <f>SUM(Q100:U100)</f>
        <v>1.2058546745066152</v>
      </c>
      <c r="W100" s="222"/>
      <c r="X100" s="222"/>
      <c r="Y100" s="222"/>
      <c r="Z100" s="267">
        <f>SUM(W100:Y100)</f>
        <v>0</v>
      </c>
      <c r="AA100" s="269">
        <f>+V100+Z100+P100</f>
        <v>1.3382146745066152</v>
      </c>
      <c r="AB100" s="270">
        <f>$H$2*F100</f>
        <v>2.4729353061317481</v>
      </c>
      <c r="AC100" s="270">
        <f>+$H$3*F100</f>
        <v>1.0489671634160849</v>
      </c>
      <c r="AD100" s="270">
        <f>+$H$4*F100</f>
        <v>0.13269446181226852</v>
      </c>
      <c r="AE100" s="260">
        <f t="shared" ref="AE100" si="95">+$H$5*F100</f>
        <v>0.27043733421355526</v>
      </c>
      <c r="AF100" s="182">
        <f t="shared" ref="AF100" si="96">+$H$6*F100</f>
        <v>1.9892590348470967E-3</v>
      </c>
      <c r="AG100" s="162">
        <f t="shared" ref="AG100:AG101" si="97">+AF100+AD100+AC100+AB100+AA100+AE100</f>
        <v>5.2652381991151183</v>
      </c>
      <c r="AH100" s="183">
        <f t="shared" ref="AH100:AJ101" si="98">+AA100/$F100*100</f>
        <v>5.7786662534351141</v>
      </c>
      <c r="AI100" s="183">
        <f t="shared" si="98"/>
        <v>10.678606409498856</v>
      </c>
      <c r="AJ100" s="183">
        <f t="shared" si="98"/>
        <v>4.5296403212951928</v>
      </c>
      <c r="AK100" s="160">
        <f>+AG100/$F100*100</f>
        <v>22.736302984229159</v>
      </c>
      <c r="AL100" s="183">
        <f t="shared" ref="AL100:AM102" si="99">+AE100/$F100*100</f>
        <v>1.1677999999999999</v>
      </c>
      <c r="AM100" s="183">
        <f t="shared" si="99"/>
        <v>8.5900000000000004E-3</v>
      </c>
      <c r="AN100" s="160">
        <f>+AG100/$F100*100</f>
        <v>22.736302984229159</v>
      </c>
      <c r="AO100" s="72"/>
      <c r="AP100" s="72"/>
      <c r="AQ100" s="72"/>
      <c r="AR100" s="72"/>
      <c r="AS100" s="72"/>
      <c r="AT100" s="72"/>
      <c r="AU100" s="72"/>
      <c r="AV100" s="72"/>
      <c r="AW100" s="72"/>
      <c r="AX100" s="72"/>
      <c r="AY100" s="72"/>
      <c r="AZ100" s="72"/>
      <c r="BA100" s="72"/>
      <c r="BB100" s="72"/>
    </row>
    <row r="101" spans="2:54">
      <c r="C101" s="187"/>
      <c r="D101" s="187" t="s">
        <v>222</v>
      </c>
      <c r="E101" s="188">
        <f t="shared" ref="E101:K101" si="100">SUM(E100:E100)</f>
        <v>1082</v>
      </c>
      <c r="F101" s="190">
        <f t="shared" si="100"/>
        <v>23.157846738615795</v>
      </c>
      <c r="G101" s="190">
        <f t="shared" si="100"/>
        <v>0</v>
      </c>
      <c r="H101" s="190">
        <f t="shared" si="100"/>
        <v>0</v>
      </c>
      <c r="I101" s="190">
        <f t="shared" si="100"/>
        <v>0</v>
      </c>
      <c r="J101" s="191">
        <f t="shared" si="100"/>
        <v>0</v>
      </c>
      <c r="K101" s="191">
        <f t="shared" si="100"/>
        <v>0</v>
      </c>
      <c r="L101" s="191"/>
      <c r="M101" s="192">
        <f t="shared" ref="M101:AF101" si="101">SUM(M100:M100)</f>
        <v>0</v>
      </c>
      <c r="N101" s="192">
        <f t="shared" si="101"/>
        <v>0</v>
      </c>
      <c r="O101" s="193">
        <f t="shared" si="101"/>
        <v>0</v>
      </c>
      <c r="P101" s="194">
        <f>SUM(P100:P100)</f>
        <v>0.13236000000000001</v>
      </c>
      <c r="Q101" s="195">
        <f t="shared" si="101"/>
        <v>0</v>
      </c>
      <c r="R101" s="195">
        <f t="shared" si="101"/>
        <v>0</v>
      </c>
      <c r="S101" s="195">
        <f t="shared" si="101"/>
        <v>0</v>
      </c>
      <c r="T101" s="195">
        <f t="shared" si="101"/>
        <v>0</v>
      </c>
      <c r="U101" s="195">
        <f t="shared" si="101"/>
        <v>1.2058546745066152</v>
      </c>
      <c r="V101" s="196">
        <f t="shared" si="101"/>
        <v>1.2058546745066152</v>
      </c>
      <c r="W101" s="195">
        <f t="shared" si="101"/>
        <v>0</v>
      </c>
      <c r="X101" s="195">
        <f t="shared" si="101"/>
        <v>0</v>
      </c>
      <c r="Y101" s="195">
        <f t="shared" si="101"/>
        <v>0</v>
      </c>
      <c r="Z101" s="196">
        <f t="shared" si="101"/>
        <v>0</v>
      </c>
      <c r="AA101" s="197">
        <f t="shared" si="101"/>
        <v>1.3382146745066152</v>
      </c>
      <c r="AB101" s="198">
        <f t="shared" si="101"/>
        <v>2.4729353061317481</v>
      </c>
      <c r="AC101" s="198">
        <f t="shared" si="101"/>
        <v>1.0489671634160849</v>
      </c>
      <c r="AD101" s="198">
        <f t="shared" si="101"/>
        <v>0.13269446181226852</v>
      </c>
      <c r="AE101" s="198">
        <f t="shared" si="101"/>
        <v>0.27043733421355526</v>
      </c>
      <c r="AF101" s="258">
        <f t="shared" si="101"/>
        <v>1.9892590348470967E-3</v>
      </c>
      <c r="AG101" s="259">
        <f t="shared" si="97"/>
        <v>5.2652381991151183</v>
      </c>
      <c r="AH101" s="259">
        <f t="shared" si="98"/>
        <v>5.7786662534351141</v>
      </c>
      <c r="AI101" s="259">
        <f t="shared" si="98"/>
        <v>10.678606409498856</v>
      </c>
      <c r="AJ101" s="259">
        <f t="shared" si="98"/>
        <v>4.5296403212951928</v>
      </c>
      <c r="AK101" s="259">
        <f>+AG101/$F101*100</f>
        <v>22.736302984229159</v>
      </c>
      <c r="AL101" s="201">
        <f t="shared" si="99"/>
        <v>1.1677999999999999</v>
      </c>
      <c r="AM101" s="201">
        <f t="shared" si="99"/>
        <v>8.5900000000000004E-3</v>
      </c>
      <c r="AN101" s="202">
        <f>+AG101/$F101*100</f>
        <v>22.736302984229159</v>
      </c>
      <c r="AO101" s="72"/>
      <c r="AP101" s="203"/>
      <c r="AQ101" s="72"/>
      <c r="AR101" s="72"/>
      <c r="AS101" s="72"/>
      <c r="AT101" s="72"/>
      <c r="AU101" s="72"/>
      <c r="AV101" s="72"/>
      <c r="AW101" s="72"/>
      <c r="AX101" s="72"/>
      <c r="AY101" s="72"/>
      <c r="AZ101" s="72"/>
      <c r="BA101" s="72"/>
      <c r="BB101" s="72"/>
    </row>
    <row r="102" spans="2:54" ht="24" customHeight="1" thickBot="1">
      <c r="C102" s="276"/>
      <c r="D102" s="276" t="s">
        <v>222</v>
      </c>
      <c r="E102" s="277">
        <f t="shared" ref="E102:K102" si="102">+E101+E97+E95+E54+E45+E34</f>
        <v>1520083.0213932653</v>
      </c>
      <c r="F102" s="278">
        <f t="shared" si="102"/>
        <v>15197.613506153513</v>
      </c>
      <c r="G102" s="279">
        <f t="shared" si="102"/>
        <v>9761.1073872465931</v>
      </c>
      <c r="H102" s="279">
        <f t="shared" si="102"/>
        <v>2584.7635222712734</v>
      </c>
      <c r="I102" s="279">
        <f t="shared" si="102"/>
        <v>109.50833958771858</v>
      </c>
      <c r="J102" s="280">
        <f t="shared" si="102"/>
        <v>178.0760872774178</v>
      </c>
      <c r="K102" s="280">
        <f t="shared" si="102"/>
        <v>446276</v>
      </c>
      <c r="L102" s="280"/>
      <c r="M102" s="281">
        <f>+M101+M97+M95+M54+M45+M34</f>
        <v>21609000</v>
      </c>
      <c r="N102" s="281">
        <f>+N101+N97+N95+N54+N45+N34</f>
        <v>976344</v>
      </c>
      <c r="O102" s="282">
        <f>+O101+O97+O95+O54+O45+O34</f>
        <v>973680</v>
      </c>
      <c r="P102" s="283">
        <f>+P101+P98+P95+P54+P45+P34</f>
        <v>96.411145919999996</v>
      </c>
      <c r="Q102" s="284">
        <f>+Q101+Q98+Q95+Q54+Q45+Q34</f>
        <v>487.13301451410223</v>
      </c>
      <c r="R102" s="285">
        <f t="shared" ref="R102:V102" si="103">+R101+R98+R95+R54+R45+R34</f>
        <v>32.264380049887365</v>
      </c>
      <c r="S102" s="285">
        <f t="shared" si="103"/>
        <v>8.3080048073046893</v>
      </c>
      <c r="T102" s="285">
        <f t="shared" si="103"/>
        <v>5.0666950005874103</v>
      </c>
      <c r="U102" s="285">
        <f t="shared" si="103"/>
        <v>253.60415414356743</v>
      </c>
      <c r="V102" s="286">
        <f t="shared" si="103"/>
        <v>786.37624851544911</v>
      </c>
      <c r="W102" s="284">
        <f>+W101+W98+W95+W54+W45+W34</f>
        <v>172.18715331600001</v>
      </c>
      <c r="X102" s="285">
        <f>+X101+X98+X95+X54+X45+X34</f>
        <v>0.83276899999999998</v>
      </c>
      <c r="Y102" s="285">
        <f t="shared" ref="Y102:AA102" si="104">+Y101+Y98+Y95+Y54+Y45+Y34</f>
        <v>0.10777435</v>
      </c>
      <c r="Z102" s="286">
        <f t="shared" si="104"/>
        <v>173.12769666599999</v>
      </c>
      <c r="AA102" s="287">
        <f t="shared" si="104"/>
        <v>1055.915091101449</v>
      </c>
      <c r="AB102" s="288">
        <f t="shared" ref="AB102:AF102" si="105">(AB34+AB45+AB54+AB95+AB97+AB101)</f>
        <v>1622.893329958973</v>
      </c>
      <c r="AC102" s="288">
        <f t="shared" si="105"/>
        <v>688.39722924933358</v>
      </c>
      <c r="AD102" s="288">
        <f t="shared" si="105"/>
        <v>87.082325390259641</v>
      </c>
      <c r="AE102" s="288">
        <f t="shared" si="105"/>
        <v>177.47773052486076</v>
      </c>
      <c r="AF102" s="289">
        <f t="shared" si="105"/>
        <v>1.3054750001785866</v>
      </c>
      <c r="AG102" s="290">
        <f>(AG34+AG45+AG54+AG95+AG97+AG100)</f>
        <v>3633.0711812250543</v>
      </c>
      <c r="AH102" s="291">
        <v>6</v>
      </c>
      <c r="AI102" s="291">
        <f>+AB102/$F102*100</f>
        <v>10.678606409498856</v>
      </c>
      <c r="AJ102" s="291">
        <f>+AC102/$F102*100</f>
        <v>4.5296403212951928</v>
      </c>
      <c r="AK102" s="292">
        <f>+AG102/$F102*100</f>
        <v>23.905537403974801</v>
      </c>
      <c r="AL102" s="291">
        <f t="shared" si="99"/>
        <v>1.1678000000000002</v>
      </c>
      <c r="AM102" s="291">
        <f t="shared" si="99"/>
        <v>8.5899999999999987E-3</v>
      </c>
      <c r="AN102" s="292">
        <f>+AG102/$F102*100</f>
        <v>23.905537403974801</v>
      </c>
      <c r="AO102" s="72"/>
      <c r="AP102" s="203"/>
      <c r="AQ102" s="72"/>
      <c r="AR102" s="72"/>
      <c r="AS102" s="72"/>
      <c r="AT102" s="72"/>
      <c r="AU102" s="72"/>
      <c r="AV102" s="72"/>
      <c r="AW102" s="72"/>
      <c r="AX102" s="72"/>
      <c r="AY102" s="72"/>
      <c r="AZ102" s="72"/>
      <c r="BA102" s="72"/>
      <c r="BB102" s="72"/>
    </row>
    <row r="103" spans="2:54">
      <c r="C103" s="74"/>
      <c r="F103" s="98"/>
      <c r="H103" s="100"/>
      <c r="I103" s="100"/>
      <c r="J103" s="100"/>
      <c r="K103" s="100"/>
      <c r="L103" s="100"/>
      <c r="M103" s="100"/>
      <c r="N103" s="100"/>
      <c r="Q103" s="108"/>
      <c r="R103" s="108"/>
      <c r="S103" s="108"/>
      <c r="T103" s="108"/>
      <c r="V103" s="108"/>
      <c r="W103" s="108"/>
      <c r="X103" s="108"/>
      <c r="Y103" s="108"/>
      <c r="Z103" s="108"/>
      <c r="AA103" s="108"/>
      <c r="AB103" s="73"/>
      <c r="AC103" s="73"/>
      <c r="AD103" s="73"/>
      <c r="AE103" s="73"/>
      <c r="AF103" s="72"/>
      <c r="AG103" s="72"/>
      <c r="AH103" s="72"/>
      <c r="AI103" s="293"/>
      <c r="AJ103" s="72"/>
      <c r="AK103" s="72"/>
      <c r="AL103" s="72"/>
      <c r="AM103" s="72"/>
      <c r="AN103" s="72"/>
      <c r="AO103" s="72"/>
      <c r="AP103" s="72"/>
      <c r="AQ103" s="72"/>
      <c r="AR103" s="72"/>
      <c r="AS103" s="72"/>
      <c r="AT103" s="72"/>
      <c r="AU103" s="72"/>
      <c r="AV103" s="72"/>
      <c r="AW103" s="72"/>
      <c r="AX103" s="72"/>
      <c r="AY103" s="72"/>
      <c r="AZ103" s="72"/>
      <c r="BA103" s="72"/>
      <c r="BB103" s="72"/>
    </row>
    <row r="104" spans="2:54">
      <c r="E104" s="294"/>
      <c r="F104" s="100">
        <f>F95-E12</f>
        <v>40.028506193742629</v>
      </c>
      <c r="P104" s="295">
        <v>-6.0246840000000077</v>
      </c>
      <c r="Q104" s="295">
        <v>-24.188412931402581</v>
      </c>
      <c r="R104" s="295">
        <v>-0.83294874224739601</v>
      </c>
      <c r="S104" s="295">
        <v>0</v>
      </c>
      <c r="T104" s="295">
        <v>0</v>
      </c>
      <c r="U104" s="295">
        <v>-4.7859700221948742E-2</v>
      </c>
      <c r="V104" s="295">
        <v>-25.069221373871983</v>
      </c>
      <c r="W104" s="295">
        <v>0</v>
      </c>
      <c r="X104" s="295">
        <v>3.0660606899999943E-2</v>
      </c>
      <c r="Y104" s="295">
        <v>0</v>
      </c>
      <c r="Z104" s="295">
        <v>3.0660606899999721E-2</v>
      </c>
      <c r="AA104" s="295">
        <v>-31.06324476697182</v>
      </c>
      <c r="AB104" s="73"/>
      <c r="AC104" s="73"/>
      <c r="AD104" s="73"/>
      <c r="AE104" s="73">
        <f>SUM(AE102:AF102)</f>
        <v>178.78320552503934</v>
      </c>
      <c r="AF104" s="73"/>
      <c r="AG104" s="72"/>
      <c r="AH104" s="72"/>
      <c r="AI104" s="296">
        <f>AI102/100*E15</f>
        <v>1558.0064639476768</v>
      </c>
      <c r="AJ104" s="72"/>
      <c r="AK104" s="72"/>
      <c r="AL104" s="72"/>
      <c r="AM104" s="72"/>
      <c r="AN104" s="72"/>
      <c r="AO104" s="72"/>
      <c r="AP104" s="72"/>
      <c r="AQ104" s="72"/>
      <c r="AR104" s="72"/>
      <c r="AS104" s="72"/>
      <c r="AT104" s="72"/>
      <c r="AU104" s="72"/>
      <c r="AV104" s="72"/>
      <c r="AW104" s="72"/>
      <c r="AX104" s="72"/>
      <c r="AY104" s="72"/>
      <c r="AZ104" s="72"/>
      <c r="BA104" s="72"/>
      <c r="BB104" s="72"/>
    </row>
    <row r="105" spans="2:54">
      <c r="E105" s="314" t="s">
        <v>292</v>
      </c>
      <c r="F105" s="315">
        <f>SUM(F95,F36)</f>
        <v>275.34341282956967</v>
      </c>
      <c r="U105" s="297"/>
      <c r="AB105" s="73"/>
      <c r="AC105" s="73"/>
      <c r="AD105" s="73"/>
      <c r="AE105" s="73"/>
      <c r="AF105" s="73"/>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row>
    <row r="106" spans="2:54">
      <c r="E106" s="314" t="s">
        <v>9</v>
      </c>
      <c r="F106" s="315">
        <f>SUM(F27:F29)</f>
        <v>248.09430651735804</v>
      </c>
      <c r="U106" s="297"/>
      <c r="AB106" s="73"/>
      <c r="AC106" s="73"/>
      <c r="AD106" s="73"/>
      <c r="AE106" s="73"/>
      <c r="AF106" s="73"/>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row>
    <row r="107" spans="2:54">
      <c r="C107" s="74"/>
      <c r="E107" s="314" t="s">
        <v>293</v>
      </c>
      <c r="F107" s="316">
        <f>F102-SUM(F105:F106)</f>
        <v>14674.175786806585</v>
      </c>
      <c r="H107" s="100"/>
      <c r="I107" s="100"/>
      <c r="J107" s="100"/>
      <c r="K107" s="100"/>
      <c r="L107" s="100"/>
      <c r="M107" s="100"/>
      <c r="N107" s="100"/>
      <c r="Q107" s="108"/>
      <c r="R107" s="108"/>
      <c r="S107" s="108"/>
      <c r="T107" s="108"/>
      <c r="V107" s="108"/>
      <c r="W107" s="108"/>
      <c r="X107" s="108"/>
      <c r="Y107" s="108"/>
      <c r="Z107" s="108"/>
      <c r="AA107" s="108"/>
      <c r="AB107" s="73"/>
      <c r="AC107" s="73"/>
      <c r="AD107" s="73"/>
      <c r="AE107" s="73"/>
      <c r="AF107" s="73"/>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row>
    <row r="108" spans="2:54">
      <c r="C108" s="74"/>
      <c r="H108" s="100"/>
      <c r="I108" s="100"/>
      <c r="J108" s="100"/>
      <c r="K108" s="100"/>
      <c r="L108" s="100"/>
      <c r="M108" s="100"/>
      <c r="N108" s="100"/>
      <c r="Q108" s="108"/>
      <c r="R108" s="108"/>
      <c r="S108" s="108"/>
      <c r="T108" s="108"/>
      <c r="V108" s="108"/>
      <c r="W108" s="108"/>
      <c r="X108" s="108"/>
      <c r="Y108" s="108"/>
      <c r="Z108" s="108"/>
      <c r="AA108" s="108"/>
      <c r="AB108" s="73"/>
      <c r="AC108" s="73"/>
      <c r="AD108" s="73"/>
      <c r="AE108" s="73"/>
      <c r="AF108" s="72"/>
      <c r="AG108" s="72"/>
      <c r="AH108" s="72"/>
      <c r="AJ108" s="72"/>
      <c r="AK108" s="72"/>
      <c r="AL108" s="72"/>
      <c r="AM108" s="72"/>
      <c r="AN108" s="72"/>
      <c r="AO108" s="72"/>
      <c r="AP108" s="72"/>
      <c r="AQ108" s="72"/>
      <c r="AR108" s="72"/>
      <c r="AS108" s="72"/>
      <c r="AT108" s="72"/>
      <c r="AU108" s="72"/>
      <c r="AV108" s="72"/>
      <c r="AW108" s="72"/>
      <c r="AX108" s="72"/>
      <c r="AY108" s="72"/>
      <c r="AZ108" s="72"/>
      <c r="BA108" s="72"/>
      <c r="BB108" s="72"/>
    </row>
    <row r="109" spans="2:54">
      <c r="C109" s="74"/>
      <c r="Q109" s="108"/>
      <c r="R109" s="108"/>
      <c r="S109" s="108"/>
      <c r="T109" s="108"/>
      <c r="U109" s="108"/>
      <c r="V109" s="108"/>
      <c r="W109" s="108"/>
      <c r="X109" s="108"/>
      <c r="Y109" s="108"/>
      <c r="Z109" s="108"/>
      <c r="AA109" s="108"/>
      <c r="AB109" s="73"/>
      <c r="AC109" s="73"/>
      <c r="AD109" s="73"/>
      <c r="AE109" s="73"/>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row>
    <row r="110" spans="2:54">
      <c r="C110" s="74"/>
      <c r="Q110" s="108"/>
      <c r="R110" s="108"/>
      <c r="S110" s="108"/>
      <c r="T110" s="108"/>
      <c r="U110" s="108"/>
      <c r="V110" s="108"/>
      <c r="W110" s="108"/>
      <c r="X110" s="108"/>
      <c r="Y110" s="108"/>
      <c r="Z110" s="108"/>
      <c r="AA110" s="108"/>
      <c r="AB110" s="73"/>
      <c r="AC110" s="73"/>
      <c r="AD110" s="73"/>
      <c r="AE110" s="44"/>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row>
    <row r="111" spans="2:54">
      <c r="C111" s="74"/>
      <c r="Q111" s="72"/>
      <c r="R111" s="72"/>
      <c r="S111" s="72"/>
      <c r="T111" s="72"/>
      <c r="U111" s="72"/>
      <c r="V111" s="72"/>
      <c r="W111" s="108"/>
      <c r="X111" s="72"/>
      <c r="Y111" s="72"/>
      <c r="Z111" s="72"/>
      <c r="AA111" s="108"/>
      <c r="AB111" s="73"/>
      <c r="AC111" s="73"/>
      <c r="AD111" s="73"/>
      <c r="AE111" s="73"/>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row>
    <row r="112" spans="2:54">
      <c r="C112" s="74"/>
      <c r="Q112" s="72"/>
      <c r="R112" s="72"/>
      <c r="S112" s="72"/>
      <c r="T112" s="72"/>
      <c r="U112" s="72"/>
      <c r="V112" s="72"/>
      <c r="W112" s="108"/>
      <c r="X112" s="72"/>
      <c r="Y112" s="72"/>
      <c r="Z112" s="72"/>
      <c r="AA112" s="108"/>
      <c r="AB112" s="73"/>
      <c r="AC112" s="73"/>
      <c r="AD112" s="73"/>
      <c r="AE112" s="73"/>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row>
    <row r="113" spans="3:54" ht="15.6">
      <c r="C113" s="74"/>
      <c r="D113" s="305" t="s">
        <v>294</v>
      </c>
      <c r="Q113" s="72"/>
      <c r="R113" s="72"/>
      <c r="S113" s="72"/>
      <c r="T113" s="72"/>
      <c r="U113" s="72"/>
      <c r="V113" s="72"/>
      <c r="W113" s="108"/>
      <c r="X113" s="72"/>
      <c r="Y113" s="72"/>
      <c r="Z113" s="72"/>
      <c r="AA113" s="108"/>
      <c r="AB113" s="73"/>
      <c r="AC113" s="73"/>
      <c r="AD113" s="73"/>
      <c r="AE113" s="73"/>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row>
    <row r="114" spans="3:54">
      <c r="C114" s="74"/>
      <c r="Q114" s="72"/>
      <c r="R114" s="72"/>
      <c r="S114" s="72"/>
      <c r="T114" s="72"/>
      <c r="U114" s="72"/>
      <c r="V114" s="72"/>
      <c r="X114" s="72"/>
      <c r="Y114" s="72"/>
      <c r="Z114" s="72"/>
      <c r="AB114" s="73"/>
      <c r="AC114" s="73"/>
      <c r="AD114" s="73"/>
      <c r="AE114" s="73"/>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row>
    <row r="115" spans="3:54">
      <c r="C115" s="74"/>
      <c r="Q115" s="72"/>
      <c r="R115" s="72"/>
      <c r="S115" s="72"/>
      <c r="T115" s="72"/>
      <c r="U115" s="72"/>
      <c r="V115" s="72"/>
      <c r="X115" s="72"/>
      <c r="Y115" s="72"/>
      <c r="Z115" s="72"/>
      <c r="AB115" s="73"/>
      <c r="AC115" s="73"/>
      <c r="AD115" s="73"/>
      <c r="AE115" s="73"/>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row>
    <row r="116" spans="3:54" ht="15.6">
      <c r="C116" s="74"/>
      <c r="D116" s="305" t="s">
        <v>295</v>
      </c>
      <c r="E116" s="306">
        <v>1072.2429613474512</v>
      </c>
      <c r="Q116" s="72"/>
      <c r="R116" s="72"/>
      <c r="S116" s="72"/>
      <c r="T116" s="72"/>
      <c r="U116" s="72"/>
      <c r="V116" s="72"/>
      <c r="X116" s="72"/>
      <c r="Y116" s="72"/>
      <c r="Z116" s="72"/>
      <c r="AB116" s="73"/>
      <c r="AC116" s="73"/>
      <c r="AD116" s="73"/>
      <c r="AE116" s="73"/>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row>
    <row r="117" spans="3:54">
      <c r="C117" s="74"/>
      <c r="E117" s="44">
        <f>-1</f>
        <v>-1</v>
      </c>
      <c r="F117" s="44" t="s">
        <v>296</v>
      </c>
      <c r="Q117" s="72"/>
      <c r="R117" s="72"/>
      <c r="S117" s="72"/>
      <c r="T117" s="72"/>
      <c r="U117" s="72"/>
      <c r="V117" s="72"/>
      <c r="X117" s="72"/>
      <c r="Y117" s="72"/>
      <c r="Z117" s="72"/>
      <c r="AB117" s="73"/>
      <c r="AC117" s="73"/>
      <c r="AD117" s="73"/>
      <c r="AE117" s="73"/>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row>
    <row r="118" spans="3:54">
      <c r="C118" s="74"/>
      <c r="F118" s="44" t="s">
        <v>297</v>
      </c>
      <c r="Q118" s="72"/>
      <c r="R118" s="72"/>
      <c r="S118" s="72"/>
      <c r="T118" s="72"/>
      <c r="U118" s="72"/>
      <c r="V118" s="72"/>
      <c r="X118" s="72"/>
      <c r="Y118" s="72"/>
      <c r="Z118" s="72"/>
      <c r="AB118" s="73"/>
      <c r="AC118" s="73"/>
      <c r="AD118" s="73"/>
      <c r="AE118" s="73"/>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row>
    <row r="119" spans="3:54">
      <c r="C119" s="74"/>
      <c r="F119" s="44" t="s">
        <v>297</v>
      </c>
      <c r="AB119" s="73"/>
      <c r="AC119" s="73"/>
      <c r="AD119" s="73"/>
      <c r="AE119" s="73"/>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row>
    <row r="120" spans="3:54">
      <c r="C120" s="74"/>
      <c r="F120" s="44" t="s">
        <v>297</v>
      </c>
      <c r="Q120" s="72"/>
      <c r="R120" s="72"/>
      <c r="S120" s="72"/>
      <c r="T120" s="72"/>
      <c r="U120" s="72"/>
      <c r="V120" s="72"/>
      <c r="X120" s="72"/>
      <c r="Y120" s="72"/>
      <c r="Z120" s="72"/>
      <c r="AB120" s="73"/>
      <c r="AC120" s="73"/>
      <c r="AD120" s="73"/>
      <c r="AE120" s="73"/>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row>
    <row r="121" spans="3:54">
      <c r="C121" s="74"/>
      <c r="F121" s="44" t="s">
        <v>297</v>
      </c>
      <c r="Q121" s="72"/>
      <c r="R121" s="72"/>
      <c r="S121" s="72"/>
      <c r="T121" s="72"/>
      <c r="U121" s="72"/>
      <c r="V121" s="72"/>
      <c r="X121" s="72"/>
      <c r="Y121" s="72"/>
      <c r="Z121" s="72"/>
      <c r="AB121" s="73"/>
      <c r="AC121" s="73"/>
      <c r="AD121" s="73"/>
      <c r="AE121" s="73"/>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row>
    <row r="122" spans="3:54">
      <c r="C122" s="74"/>
      <c r="F122" s="44" t="s">
        <v>297</v>
      </c>
      <c r="Q122" s="72"/>
      <c r="R122" s="72"/>
      <c r="S122" s="72"/>
      <c r="T122" s="72"/>
      <c r="U122" s="72"/>
      <c r="V122" s="72"/>
      <c r="X122" s="72"/>
      <c r="Y122" s="72"/>
      <c r="Z122" s="72"/>
      <c r="AB122" s="73"/>
      <c r="AC122" s="73"/>
      <c r="AD122" s="73"/>
      <c r="AE122" s="73"/>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row>
    <row r="123" spans="3:54">
      <c r="C123" s="74"/>
      <c r="F123" s="44" t="s">
        <v>297</v>
      </c>
      <c r="Q123" s="72"/>
      <c r="R123" s="72"/>
      <c r="S123" s="72"/>
      <c r="T123" s="72"/>
      <c r="U123" s="72"/>
      <c r="V123" s="72"/>
      <c r="X123" s="72"/>
      <c r="Y123" s="72"/>
      <c r="Z123" s="72"/>
      <c r="AB123" s="73"/>
      <c r="AC123" s="73"/>
      <c r="AD123" s="73"/>
      <c r="AE123" s="73"/>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row>
    <row r="124" spans="3:54">
      <c r="C124" s="74"/>
      <c r="F124" s="44" t="s">
        <v>298</v>
      </c>
      <c r="Q124" s="72"/>
      <c r="R124" s="72"/>
      <c r="S124" s="72"/>
      <c r="T124" s="72"/>
      <c r="U124" s="72"/>
      <c r="V124" s="72"/>
      <c r="X124" s="72"/>
      <c r="Y124" s="72"/>
      <c r="Z124" s="72"/>
      <c r="AB124" s="73"/>
      <c r="AC124" s="73"/>
      <c r="AD124" s="73"/>
      <c r="AE124" s="73"/>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row>
    <row r="125" spans="3:54">
      <c r="C125" s="74"/>
      <c r="F125" s="44" t="s">
        <v>298</v>
      </c>
      <c r="Q125" s="72"/>
      <c r="R125" s="72"/>
      <c r="S125" s="72"/>
      <c r="T125" s="72"/>
      <c r="U125" s="72"/>
      <c r="V125" s="72"/>
      <c r="X125" s="72"/>
      <c r="Y125" s="72"/>
      <c r="Z125" s="72"/>
      <c r="AB125" s="73"/>
      <c r="AC125" s="73"/>
      <c r="AD125" s="73"/>
      <c r="AE125" s="73"/>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row>
    <row r="126" spans="3:54">
      <c r="C126" s="74"/>
      <c r="F126" s="44" t="s">
        <v>298</v>
      </c>
      <c r="Q126" s="72"/>
      <c r="R126" s="72"/>
      <c r="S126" s="72"/>
      <c r="T126" s="72"/>
      <c r="U126" s="72"/>
      <c r="V126" s="72"/>
      <c r="X126" s="72"/>
      <c r="Y126" s="72"/>
      <c r="Z126" s="72"/>
      <c r="AB126" s="73"/>
      <c r="AC126" s="73"/>
      <c r="AD126" s="73"/>
      <c r="AE126" s="73"/>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row>
    <row r="127" spans="3:54">
      <c r="F127" s="44" t="s">
        <v>298</v>
      </c>
      <c r="Q127" s="72"/>
      <c r="R127" s="72"/>
      <c r="S127" s="72"/>
      <c r="T127" s="72"/>
      <c r="U127" s="72"/>
      <c r="V127" s="72"/>
      <c r="X127" s="72"/>
      <c r="Y127" s="72"/>
      <c r="Z127" s="72"/>
      <c r="AB127" s="73"/>
      <c r="AC127" s="73"/>
      <c r="AD127" s="73"/>
      <c r="AE127" s="73"/>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row>
    <row r="128" spans="3:54">
      <c r="C128" s="74"/>
      <c r="F128" s="44" t="s">
        <v>298</v>
      </c>
      <c r="Q128" s="72"/>
      <c r="R128" s="72"/>
      <c r="S128" s="72"/>
      <c r="T128" s="72"/>
      <c r="U128" s="72"/>
      <c r="V128" s="72"/>
      <c r="X128" s="72"/>
      <c r="Y128" s="72"/>
      <c r="Z128" s="72"/>
      <c r="AB128" s="73"/>
      <c r="AC128" s="73"/>
      <c r="AD128" s="73"/>
      <c r="AE128" s="73"/>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row>
    <row r="129" spans="3:54">
      <c r="C129" s="74"/>
      <c r="F129" s="44" t="s">
        <v>298</v>
      </c>
      <c r="Q129" s="72"/>
      <c r="R129" s="72"/>
      <c r="S129" s="72"/>
      <c r="T129" s="72"/>
      <c r="U129" s="72"/>
      <c r="V129" s="72"/>
      <c r="X129" s="72"/>
      <c r="Y129" s="72"/>
      <c r="Z129" s="72"/>
      <c r="AB129" s="73"/>
      <c r="AC129" s="73"/>
      <c r="AD129" s="73"/>
      <c r="AE129" s="73"/>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row>
    <row r="130" spans="3:54">
      <c r="C130" s="74"/>
      <c r="F130" s="44" t="s">
        <v>298</v>
      </c>
      <c r="Q130" s="72"/>
      <c r="R130" s="72"/>
      <c r="S130" s="72"/>
      <c r="T130" s="72"/>
      <c r="U130" s="72"/>
      <c r="V130" s="72"/>
      <c r="X130" s="72"/>
      <c r="Y130" s="72"/>
      <c r="Z130" s="72"/>
      <c r="AB130" s="73"/>
      <c r="AC130" s="73"/>
      <c r="AD130" s="73"/>
      <c r="AE130" s="73"/>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row>
    <row r="131" spans="3:54">
      <c r="C131" s="74"/>
      <c r="E131" s="303"/>
      <c r="F131" s="44" t="s">
        <v>298</v>
      </c>
      <c r="Q131" s="72"/>
      <c r="R131" s="72"/>
      <c r="S131" s="72"/>
      <c r="T131" s="72"/>
      <c r="U131" s="72"/>
      <c r="V131" s="72"/>
      <c r="X131" s="72"/>
      <c r="Y131" s="72"/>
      <c r="Z131" s="72"/>
      <c r="AB131" s="73"/>
      <c r="AC131" s="73"/>
      <c r="AD131" s="73"/>
      <c r="AE131" s="73"/>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row>
    <row r="132" spans="3:54" ht="15.6">
      <c r="C132" s="74"/>
      <c r="D132" s="305" t="s">
        <v>299</v>
      </c>
      <c r="E132" s="304">
        <f>SUM(E116:E131)</f>
        <v>1071.2429613474512</v>
      </c>
      <c r="Q132" s="72"/>
      <c r="R132" s="72"/>
      <c r="S132" s="72"/>
      <c r="T132" s="72"/>
      <c r="U132" s="72"/>
      <c r="V132" s="72"/>
      <c r="X132" s="72"/>
      <c r="Y132" s="72"/>
      <c r="Z132" s="72"/>
      <c r="AB132" s="73"/>
      <c r="AC132" s="73"/>
      <c r="AD132" s="73"/>
      <c r="AE132" s="73"/>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row>
    <row r="133" spans="3:54">
      <c r="C133" s="74"/>
      <c r="Q133" s="72"/>
      <c r="R133" s="72"/>
      <c r="S133" s="72"/>
      <c r="T133" s="72"/>
      <c r="U133" s="72"/>
      <c r="V133" s="72"/>
      <c r="X133" s="72"/>
      <c r="Y133" s="72"/>
      <c r="Z133" s="72"/>
      <c r="AB133" s="73"/>
      <c r="AC133" s="73"/>
      <c r="AD133" s="73"/>
      <c r="AE133" s="73"/>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row>
    <row r="134" spans="3:54">
      <c r="C134" s="74"/>
      <c r="AB134" s="73"/>
      <c r="AC134" s="73"/>
      <c r="AD134" s="73"/>
      <c r="AE134" s="73"/>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row>
    <row r="135" spans="3:54" ht="15.6">
      <c r="C135" s="74"/>
      <c r="D135" s="305" t="s">
        <v>300</v>
      </c>
      <c r="E135" s="306">
        <v>1041.9075906619378</v>
      </c>
      <c r="Q135" s="72"/>
      <c r="R135" s="72"/>
      <c r="S135" s="72"/>
      <c r="T135" s="72"/>
      <c r="U135" s="72"/>
      <c r="V135" s="72"/>
      <c r="X135" s="72"/>
      <c r="Y135" s="72"/>
      <c r="Z135" s="72"/>
      <c r="AB135" s="73"/>
      <c r="AC135" s="73"/>
      <c r="AD135" s="73"/>
      <c r="AE135" s="73"/>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row>
    <row r="136" spans="3:54">
      <c r="C136" s="74"/>
      <c r="E136" s="302">
        <v>-1.2095759999999998</v>
      </c>
      <c r="F136" s="44" t="s">
        <v>301</v>
      </c>
      <c r="Q136" s="72"/>
      <c r="R136" s="72"/>
      <c r="S136" s="72"/>
      <c r="T136" s="72"/>
      <c r="U136" s="72"/>
      <c r="V136" s="72"/>
      <c r="X136" s="72"/>
      <c r="Y136" s="72"/>
      <c r="Z136" s="72"/>
      <c r="AB136" s="73"/>
      <c r="AC136" s="73"/>
      <c r="AD136" s="73"/>
      <c r="AE136" s="73"/>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row>
    <row r="137" spans="3:54">
      <c r="C137" s="74"/>
      <c r="E137" s="302">
        <v>-21.938400000000001</v>
      </c>
      <c r="F137" s="44" t="s">
        <v>302</v>
      </c>
      <c r="Q137" s="72"/>
      <c r="R137" s="72"/>
      <c r="S137" s="72"/>
      <c r="T137" s="72"/>
      <c r="U137" s="72"/>
      <c r="V137" s="72"/>
      <c r="X137" s="72"/>
      <c r="Y137" s="72"/>
      <c r="Z137" s="72"/>
      <c r="AB137" s="73"/>
      <c r="AC137" s="73"/>
      <c r="AD137" s="73"/>
      <c r="AE137" s="73"/>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row>
    <row r="138" spans="3:54">
      <c r="C138" s="74"/>
      <c r="Q138" s="72"/>
      <c r="R138" s="72"/>
      <c r="S138" s="72"/>
      <c r="T138" s="72"/>
      <c r="U138" s="72"/>
      <c r="V138" s="72"/>
      <c r="X138" s="72"/>
      <c r="Y138" s="72"/>
      <c r="Z138" s="72"/>
      <c r="AB138" s="73"/>
      <c r="AC138" s="73"/>
      <c r="AD138" s="73"/>
      <c r="AE138" s="73"/>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row>
    <row r="139" spans="3:54">
      <c r="C139" s="74"/>
      <c r="Q139" s="72"/>
      <c r="R139" s="72"/>
      <c r="S139" s="72"/>
      <c r="T139" s="72"/>
      <c r="U139" s="72"/>
      <c r="V139" s="72"/>
      <c r="X139" s="72"/>
      <c r="Y139" s="72"/>
      <c r="Z139" s="72"/>
      <c r="AB139" s="73"/>
      <c r="AC139" s="73"/>
      <c r="AD139" s="73"/>
      <c r="AE139" s="73"/>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row>
    <row r="140" spans="3:54" ht="15.6">
      <c r="D140" s="305" t="s">
        <v>303</v>
      </c>
      <c r="E140" s="304">
        <f>E132-E135</f>
        <v>29.335370685513453</v>
      </c>
      <c r="Q140" s="72"/>
      <c r="R140" s="72"/>
      <c r="S140" s="72"/>
      <c r="T140" s="72"/>
      <c r="U140" s="72"/>
      <c r="V140" s="72"/>
      <c r="X140" s="72"/>
      <c r="Y140" s="72"/>
      <c r="Z140" s="72"/>
      <c r="AB140" s="73"/>
      <c r="AC140" s="73"/>
      <c r="AD140" s="73"/>
      <c r="AE140" s="73"/>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row>
    <row r="141" spans="3:54">
      <c r="C141" s="74"/>
      <c r="Q141" s="72"/>
      <c r="R141" s="72"/>
      <c r="S141" s="72"/>
      <c r="T141" s="72"/>
      <c r="U141" s="72"/>
      <c r="V141" s="72"/>
      <c r="X141" s="72"/>
      <c r="Y141" s="72"/>
      <c r="Z141" s="72"/>
      <c r="AB141" s="73"/>
      <c r="AC141" s="73"/>
      <c r="AD141" s="73"/>
      <c r="AE141" s="73"/>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row>
    <row r="142" spans="3:54">
      <c r="C142" s="74"/>
      <c r="Q142" s="72"/>
      <c r="R142" s="72"/>
      <c r="S142" s="72"/>
      <c r="T142" s="72"/>
      <c r="U142" s="72"/>
      <c r="V142" s="72"/>
      <c r="X142" s="72"/>
      <c r="Y142" s="72"/>
      <c r="Z142" s="72"/>
      <c r="AB142" s="73"/>
      <c r="AC142" s="73"/>
      <c r="AD142" s="73"/>
      <c r="AE142" s="73"/>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row>
    <row r="143" spans="3:54">
      <c r="C143" s="74"/>
      <c r="Q143" s="72"/>
      <c r="R143" s="72"/>
      <c r="S143" s="72"/>
      <c r="T143" s="72"/>
      <c r="U143" s="72"/>
      <c r="V143" s="72"/>
      <c r="X143" s="72"/>
      <c r="Y143" s="72"/>
      <c r="Z143" s="72"/>
      <c r="AB143" s="73"/>
      <c r="AC143" s="73"/>
      <c r="AD143" s="73"/>
      <c r="AE143" s="73"/>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row>
    <row r="144" spans="3:54">
      <c r="C144" s="74"/>
      <c r="Q144" s="72"/>
      <c r="R144" s="72"/>
      <c r="S144" s="72"/>
      <c r="T144" s="72"/>
      <c r="U144" s="72"/>
      <c r="V144" s="72"/>
      <c r="X144" s="72"/>
      <c r="Y144" s="72"/>
      <c r="Z144" s="72"/>
      <c r="AB144" s="73"/>
      <c r="AC144" s="73"/>
      <c r="AD144" s="73"/>
      <c r="AE144" s="73"/>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row>
    <row r="145" spans="3:54">
      <c r="C145" s="74"/>
      <c r="Q145" s="72"/>
      <c r="R145" s="72"/>
      <c r="S145" s="72"/>
      <c r="T145" s="72"/>
      <c r="U145" s="72"/>
      <c r="V145" s="72"/>
      <c r="X145" s="72"/>
      <c r="Y145" s="72"/>
      <c r="Z145" s="72"/>
      <c r="AB145" s="73"/>
      <c r="AC145" s="73"/>
      <c r="AD145" s="73"/>
      <c r="AE145" s="73"/>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row>
    <row r="146" spans="3:54">
      <c r="C146" s="74"/>
      <c r="Q146" s="72"/>
      <c r="R146" s="72"/>
      <c r="S146" s="72"/>
      <c r="T146" s="72"/>
      <c r="U146" s="72"/>
      <c r="V146" s="72"/>
      <c r="X146" s="72"/>
      <c r="Y146" s="72"/>
      <c r="Z146" s="72"/>
      <c r="AB146" s="73"/>
      <c r="AC146" s="73"/>
      <c r="AD146" s="73"/>
      <c r="AE146" s="73"/>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row>
    <row r="147" spans="3:54">
      <c r="C147" s="74"/>
      <c r="Q147" s="72"/>
      <c r="R147" s="72"/>
      <c r="S147" s="72"/>
      <c r="T147" s="72"/>
      <c r="U147" s="72"/>
      <c r="V147" s="72"/>
      <c r="X147" s="72"/>
      <c r="Y147" s="72"/>
      <c r="Z147" s="72"/>
      <c r="AB147" s="73"/>
      <c r="AC147" s="73"/>
      <c r="AD147" s="73"/>
      <c r="AE147" s="73"/>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row>
    <row r="148" spans="3:54">
      <c r="C148" s="74"/>
      <c r="Q148" s="72"/>
      <c r="R148" s="72"/>
      <c r="S148" s="72"/>
      <c r="T148" s="72"/>
      <c r="U148" s="72"/>
      <c r="V148" s="72"/>
      <c r="X148" s="72"/>
      <c r="Y148" s="72"/>
      <c r="Z148" s="72"/>
      <c r="AB148" s="73"/>
      <c r="AC148" s="73"/>
      <c r="AD148" s="73"/>
      <c r="AE148" s="73"/>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row>
    <row r="149" spans="3:54">
      <c r="C149" s="74"/>
      <c r="Q149" s="72"/>
      <c r="R149" s="72"/>
      <c r="S149" s="72"/>
      <c r="T149" s="72"/>
      <c r="U149" s="72"/>
      <c r="V149" s="72"/>
      <c r="X149" s="72"/>
      <c r="Y149" s="72"/>
      <c r="Z149" s="72"/>
      <c r="AB149" s="73"/>
      <c r="AC149" s="73"/>
      <c r="AD149" s="73"/>
      <c r="AE149" s="73"/>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row>
    <row r="150" spans="3:54">
      <c r="C150" s="74"/>
      <c r="Q150" s="72"/>
      <c r="R150" s="72"/>
      <c r="S150" s="72"/>
      <c r="T150" s="72"/>
      <c r="U150" s="72"/>
      <c r="V150" s="72"/>
      <c r="X150" s="72"/>
      <c r="Y150" s="72"/>
      <c r="Z150" s="72"/>
      <c r="AB150" s="73"/>
      <c r="AC150" s="73"/>
      <c r="AD150" s="73"/>
      <c r="AE150" s="73"/>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row>
    <row r="151" spans="3:54">
      <c r="C151" s="74"/>
      <c r="Q151" s="72"/>
      <c r="R151" s="72"/>
      <c r="S151" s="72"/>
      <c r="T151" s="72"/>
      <c r="U151" s="72"/>
      <c r="V151" s="72"/>
      <c r="X151" s="72"/>
      <c r="Y151" s="72"/>
      <c r="Z151" s="72"/>
      <c r="AB151" s="73"/>
      <c r="AC151" s="73"/>
      <c r="AD151" s="73"/>
      <c r="AE151" s="73"/>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row>
    <row r="152" spans="3:54">
      <c r="C152" s="74"/>
      <c r="Q152" s="72"/>
      <c r="R152" s="72"/>
      <c r="S152" s="72"/>
      <c r="T152" s="72"/>
      <c r="U152" s="72"/>
      <c r="V152" s="72"/>
      <c r="X152" s="72"/>
      <c r="Y152" s="72"/>
      <c r="Z152" s="72"/>
      <c r="AB152" s="73"/>
      <c r="AC152" s="73"/>
      <c r="AD152" s="73"/>
      <c r="AE152" s="73"/>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row>
    <row r="153" spans="3:54">
      <c r="C153" s="74"/>
      <c r="Q153" s="72"/>
      <c r="R153" s="72"/>
      <c r="S153" s="72"/>
      <c r="T153" s="72"/>
      <c r="U153" s="72"/>
      <c r="V153" s="72"/>
      <c r="X153" s="72"/>
      <c r="Y153" s="72"/>
      <c r="Z153" s="72"/>
      <c r="AB153" s="73"/>
      <c r="AC153" s="73"/>
      <c r="AD153" s="73"/>
      <c r="AE153" s="73"/>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row>
    <row r="154" spans="3:54">
      <c r="C154" s="74"/>
      <c r="Q154" s="72"/>
      <c r="R154" s="72"/>
      <c r="S154" s="72"/>
      <c r="T154" s="72"/>
      <c r="U154" s="72"/>
      <c r="V154" s="72"/>
      <c r="X154" s="72"/>
      <c r="Y154" s="72"/>
      <c r="Z154" s="72"/>
      <c r="AB154" s="73"/>
      <c r="AC154" s="73"/>
      <c r="AD154" s="73"/>
      <c r="AE154" s="73"/>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row>
    <row r="155" spans="3:54">
      <c r="C155" s="74"/>
      <c r="Q155" s="72"/>
      <c r="R155" s="72"/>
      <c r="S155" s="72"/>
      <c r="T155" s="72"/>
      <c r="U155" s="72"/>
      <c r="V155" s="72"/>
      <c r="X155" s="72"/>
      <c r="Y155" s="72"/>
      <c r="Z155" s="72"/>
      <c r="AB155" s="73"/>
      <c r="AC155" s="73"/>
      <c r="AD155" s="73"/>
      <c r="AE155" s="73"/>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row>
    <row r="156" spans="3:54">
      <c r="C156" s="74"/>
      <c r="Q156" s="72"/>
      <c r="R156" s="72"/>
      <c r="S156" s="72"/>
      <c r="T156" s="72"/>
      <c r="U156" s="72"/>
      <c r="V156" s="72"/>
      <c r="X156" s="72"/>
      <c r="Y156" s="72"/>
      <c r="Z156" s="72"/>
      <c r="AB156" s="73"/>
      <c r="AC156" s="73"/>
      <c r="AD156" s="73"/>
      <c r="AE156" s="73"/>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row>
    <row r="157" spans="3:54">
      <c r="C157" s="74"/>
      <c r="Q157" s="72"/>
      <c r="R157" s="72"/>
      <c r="S157" s="72"/>
      <c r="T157" s="72"/>
      <c r="U157" s="72"/>
      <c r="V157" s="72"/>
      <c r="X157" s="72"/>
      <c r="Y157" s="72"/>
      <c r="Z157" s="72"/>
      <c r="AB157" s="73"/>
      <c r="AC157" s="73"/>
      <c r="AD157" s="73"/>
      <c r="AE157" s="73"/>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row>
    <row r="158" spans="3:54">
      <c r="C158" s="74"/>
      <c r="AB158" s="73"/>
      <c r="AC158" s="73"/>
      <c r="AD158" s="73"/>
      <c r="AE158" s="73"/>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row>
    <row r="159" spans="3:54">
      <c r="C159" s="74"/>
      <c r="AB159" s="73"/>
      <c r="AC159" s="73"/>
      <c r="AD159" s="73"/>
      <c r="AE159" s="73"/>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row>
    <row r="160" spans="3:54">
      <c r="C160" s="74"/>
      <c r="Q160" s="72"/>
      <c r="R160" s="72"/>
      <c r="S160" s="72"/>
      <c r="T160" s="72"/>
      <c r="U160" s="72"/>
      <c r="V160" s="72"/>
      <c r="W160" s="72"/>
      <c r="X160" s="72"/>
      <c r="Y160" s="72"/>
      <c r="Z160" s="72"/>
      <c r="AA160" s="72"/>
      <c r="AB160" s="73"/>
      <c r="AC160" s="73"/>
      <c r="AD160" s="73"/>
      <c r="AE160" s="73"/>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row>
    <row r="161" spans="3:54">
      <c r="C161" s="74"/>
      <c r="Q161" s="72"/>
      <c r="R161" s="72"/>
      <c r="S161" s="72"/>
      <c r="T161" s="72"/>
      <c r="U161" s="72"/>
      <c r="V161" s="72"/>
      <c r="W161" s="72"/>
      <c r="X161" s="72"/>
      <c r="Y161" s="72"/>
      <c r="Z161" s="72"/>
      <c r="AA161" s="72"/>
      <c r="AB161" s="73"/>
      <c r="AC161" s="73"/>
      <c r="AD161" s="73"/>
      <c r="AE161" s="73"/>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row>
    <row r="162" spans="3:54">
      <c r="C162" s="74"/>
      <c r="Q162" s="72"/>
      <c r="R162" s="72"/>
      <c r="S162" s="72"/>
      <c r="T162" s="72"/>
      <c r="U162" s="72"/>
      <c r="V162" s="72"/>
      <c r="W162" s="72"/>
      <c r="X162" s="72"/>
      <c r="Y162" s="72"/>
      <c r="Z162" s="72"/>
      <c r="AA162" s="72"/>
      <c r="AB162" s="73"/>
      <c r="AC162" s="73"/>
      <c r="AD162" s="73"/>
      <c r="AE162" s="73"/>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row>
    <row r="163" spans="3:54">
      <c r="C163" s="74"/>
      <c r="Q163" s="72"/>
      <c r="R163" s="72"/>
      <c r="S163" s="72"/>
      <c r="T163" s="72"/>
      <c r="U163" s="72"/>
      <c r="V163" s="72"/>
      <c r="W163" s="72"/>
      <c r="X163" s="72"/>
      <c r="Y163" s="72"/>
      <c r="Z163" s="72"/>
      <c r="AA163" s="72"/>
      <c r="AB163" s="73"/>
      <c r="AC163" s="73"/>
      <c r="AD163" s="73"/>
      <c r="AE163" s="73"/>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row>
    <row r="164" spans="3:54">
      <c r="C164" s="74"/>
      <c r="Q164" s="72"/>
      <c r="R164" s="72"/>
      <c r="S164" s="72"/>
      <c r="T164" s="72"/>
      <c r="U164" s="72"/>
      <c r="V164" s="72"/>
      <c r="W164" s="72"/>
      <c r="X164" s="72"/>
      <c r="Y164" s="72"/>
      <c r="Z164" s="72"/>
      <c r="AA164" s="72"/>
      <c r="AB164" s="73"/>
      <c r="AC164" s="73"/>
      <c r="AD164" s="73"/>
      <c r="AE164" s="73"/>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row>
    <row r="165" spans="3:54">
      <c r="C165" s="74"/>
      <c r="Q165" s="72"/>
      <c r="R165" s="72"/>
      <c r="S165" s="72"/>
      <c r="T165" s="72"/>
      <c r="U165" s="72"/>
      <c r="V165" s="72"/>
      <c r="X165" s="72"/>
      <c r="Y165" s="72"/>
      <c r="Z165" s="72"/>
      <c r="AB165" s="73"/>
      <c r="AC165" s="73"/>
      <c r="AD165" s="73"/>
      <c r="AE165" s="73"/>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row>
    <row r="166" spans="3:54">
      <c r="C166" s="74"/>
      <c r="Q166" s="72"/>
      <c r="R166" s="72"/>
      <c r="S166" s="72"/>
      <c r="T166" s="72"/>
      <c r="U166" s="72"/>
      <c r="V166" s="72"/>
      <c r="X166" s="72"/>
      <c r="Y166" s="72"/>
      <c r="Z166" s="72"/>
      <c r="AB166" s="73"/>
      <c r="AC166" s="73"/>
      <c r="AD166" s="73"/>
      <c r="AE166" s="73"/>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row>
    <row r="167" spans="3:54">
      <c r="C167" s="74"/>
      <c r="AB167" s="73"/>
      <c r="AC167" s="73"/>
      <c r="AD167" s="73"/>
      <c r="AE167" s="73"/>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row>
    <row r="168" spans="3:54">
      <c r="C168" s="74"/>
      <c r="D168" s="298"/>
      <c r="AB168" s="73"/>
      <c r="AC168" s="73"/>
      <c r="AD168" s="73"/>
      <c r="AE168" s="73"/>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row>
    <row r="169" spans="3:54">
      <c r="C169" s="74"/>
      <c r="D169" s="298"/>
      <c r="AB169" s="73"/>
      <c r="AC169" s="73"/>
      <c r="AD169" s="73"/>
      <c r="AE169" s="73"/>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row>
    <row r="170" spans="3:54">
      <c r="C170" s="74"/>
      <c r="D170" s="298"/>
      <c r="Q170" s="72"/>
      <c r="R170" s="72"/>
      <c r="S170" s="72"/>
      <c r="T170" s="72"/>
      <c r="U170" s="72"/>
      <c r="V170" s="72"/>
      <c r="W170" s="72"/>
      <c r="X170" s="72"/>
      <c r="Y170" s="72"/>
      <c r="Z170" s="72"/>
      <c r="AA170" s="72"/>
      <c r="AB170" s="73"/>
      <c r="AC170" s="73"/>
      <c r="AD170" s="73"/>
      <c r="AE170" s="73"/>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row>
    <row r="171" spans="3:54">
      <c r="C171" s="74"/>
      <c r="D171" s="298"/>
      <c r="Q171" s="72"/>
      <c r="R171" s="72"/>
      <c r="S171" s="72"/>
      <c r="T171" s="72"/>
      <c r="U171" s="72"/>
      <c r="V171" s="72"/>
      <c r="W171" s="72"/>
      <c r="X171" s="72"/>
      <c r="Y171" s="72"/>
      <c r="Z171" s="72"/>
      <c r="AA171" s="72"/>
      <c r="AB171" s="73"/>
      <c r="AC171" s="73"/>
      <c r="AD171" s="73"/>
      <c r="AE171" s="73"/>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row>
    <row r="172" spans="3:54">
      <c r="C172" s="74"/>
      <c r="D172" s="298"/>
      <c r="Q172" s="72"/>
      <c r="R172" s="72"/>
      <c r="S172" s="72"/>
      <c r="T172" s="72"/>
      <c r="U172" s="72"/>
      <c r="V172" s="72"/>
      <c r="W172" s="72"/>
      <c r="X172" s="72"/>
      <c r="Y172" s="72"/>
      <c r="Z172" s="72"/>
      <c r="AA172" s="72"/>
      <c r="AB172" s="73"/>
      <c r="AC172" s="73"/>
      <c r="AD172" s="73"/>
      <c r="AE172" s="73"/>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row>
    <row r="173" spans="3:54">
      <c r="C173" s="74"/>
      <c r="Q173" s="72"/>
      <c r="R173" s="72"/>
      <c r="S173" s="72"/>
      <c r="T173" s="72"/>
      <c r="U173" s="72"/>
      <c r="V173" s="72"/>
      <c r="W173" s="72"/>
      <c r="X173" s="72"/>
      <c r="Y173" s="72"/>
      <c r="Z173" s="72"/>
      <c r="AA173" s="72"/>
      <c r="AB173" s="73"/>
      <c r="AC173" s="73"/>
      <c r="AD173" s="73"/>
      <c r="AE173" s="73"/>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row>
    <row r="174" spans="3:54">
      <c r="C174" s="74"/>
      <c r="Q174" s="72"/>
      <c r="R174" s="72"/>
      <c r="S174" s="72"/>
      <c r="T174" s="72"/>
      <c r="U174" s="72"/>
      <c r="V174" s="72"/>
      <c r="W174" s="72"/>
      <c r="X174" s="72"/>
      <c r="Y174" s="72"/>
      <c r="Z174" s="72"/>
      <c r="AA174" s="72"/>
      <c r="AB174" s="73"/>
      <c r="AC174" s="73"/>
      <c r="AD174" s="73"/>
      <c r="AE174" s="73"/>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row>
    <row r="175" spans="3:54">
      <c r="C175" s="74"/>
      <c r="Q175" s="72"/>
      <c r="R175" s="72"/>
      <c r="S175" s="72"/>
      <c r="T175" s="72"/>
      <c r="U175" s="72"/>
      <c r="V175" s="72"/>
      <c r="W175" s="72"/>
      <c r="X175" s="72"/>
      <c r="Y175" s="72"/>
      <c r="Z175" s="72"/>
      <c r="AA175" s="72"/>
      <c r="AB175" s="73"/>
      <c r="AC175" s="73"/>
      <c r="AD175" s="73"/>
      <c r="AE175" s="73"/>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row>
    <row r="176" spans="3:54">
      <c r="C176" s="74"/>
      <c r="Q176" s="72"/>
      <c r="R176" s="72"/>
      <c r="S176" s="72"/>
      <c r="T176" s="72"/>
      <c r="U176" s="72"/>
      <c r="V176" s="72"/>
      <c r="W176" s="72"/>
      <c r="X176" s="72"/>
      <c r="Y176" s="72"/>
      <c r="Z176" s="72"/>
      <c r="AB176" s="73"/>
      <c r="AC176" s="73"/>
      <c r="AD176" s="73"/>
      <c r="AE176" s="73"/>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row>
    <row r="177" spans="3:54">
      <c r="C177" s="74"/>
      <c r="Q177" s="72"/>
      <c r="R177" s="72"/>
      <c r="S177" s="72"/>
      <c r="T177" s="72"/>
      <c r="U177" s="72"/>
      <c r="V177" s="72"/>
      <c r="W177" s="72"/>
      <c r="X177" s="72"/>
      <c r="Y177" s="72"/>
      <c r="Z177" s="72"/>
      <c r="AA177" s="72"/>
      <c r="AB177" s="73"/>
      <c r="AC177" s="73"/>
      <c r="AD177" s="73"/>
      <c r="AE177" s="73"/>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row>
    <row r="178" spans="3:54">
      <c r="C178" s="74"/>
      <c r="Q178" s="72"/>
      <c r="R178" s="72"/>
      <c r="S178" s="72"/>
      <c r="T178" s="72"/>
      <c r="U178" s="72"/>
      <c r="V178" s="72"/>
      <c r="W178" s="72"/>
      <c r="X178" s="72"/>
      <c r="Y178" s="72"/>
      <c r="Z178" s="72"/>
      <c r="AA178" s="72"/>
      <c r="AB178" s="73"/>
      <c r="AC178" s="73"/>
      <c r="AD178" s="73"/>
      <c r="AE178" s="73"/>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row>
    <row r="179" spans="3:54">
      <c r="C179" s="74"/>
      <c r="Q179" s="72"/>
      <c r="R179" s="72"/>
      <c r="S179" s="72"/>
      <c r="T179" s="72"/>
      <c r="U179" s="72"/>
      <c r="V179" s="72"/>
      <c r="W179" s="72"/>
      <c r="X179" s="72"/>
      <c r="Y179" s="72"/>
      <c r="Z179" s="72"/>
      <c r="AA179" s="72"/>
      <c r="AB179" s="73"/>
      <c r="AC179" s="73"/>
      <c r="AD179" s="73"/>
      <c r="AE179" s="73"/>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row>
    <row r="180" spans="3:54">
      <c r="C180" s="74"/>
      <c r="Q180" s="72"/>
      <c r="R180" s="72"/>
      <c r="S180" s="72"/>
      <c r="T180" s="72"/>
      <c r="U180" s="72"/>
      <c r="V180" s="72"/>
      <c r="W180" s="72"/>
      <c r="X180" s="72"/>
      <c r="Y180" s="72"/>
      <c r="Z180" s="72"/>
      <c r="AA180" s="72"/>
      <c r="AB180" s="73"/>
      <c r="AC180" s="73"/>
      <c r="AD180" s="73"/>
      <c r="AE180" s="73"/>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row>
    <row r="181" spans="3:54">
      <c r="C181" s="74"/>
      <c r="Q181" s="72"/>
      <c r="R181" s="72"/>
      <c r="S181" s="72"/>
      <c r="T181" s="72"/>
      <c r="U181" s="72"/>
      <c r="V181" s="72"/>
      <c r="W181" s="72"/>
      <c r="X181" s="72"/>
      <c r="Y181" s="72"/>
      <c r="Z181" s="72"/>
      <c r="AA181" s="72"/>
      <c r="AB181" s="73"/>
      <c r="AC181" s="73"/>
      <c r="AD181" s="73"/>
      <c r="AE181" s="73"/>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row>
    <row r="182" spans="3:54">
      <c r="C182" s="74"/>
      <c r="Q182" s="72"/>
      <c r="R182" s="72"/>
      <c r="S182" s="72"/>
      <c r="T182" s="72"/>
      <c r="U182" s="72"/>
      <c r="V182" s="72"/>
      <c r="W182" s="72"/>
      <c r="X182" s="72"/>
      <c r="Y182" s="72"/>
      <c r="Z182" s="72"/>
      <c r="AA182" s="72"/>
      <c r="AB182" s="73"/>
      <c r="AC182" s="73"/>
      <c r="AD182" s="73"/>
      <c r="AE182" s="73"/>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row>
    <row r="183" spans="3:54">
      <c r="C183" s="74"/>
      <c r="Q183" s="72"/>
      <c r="R183" s="72"/>
      <c r="S183" s="72"/>
      <c r="T183" s="72"/>
      <c r="U183" s="72"/>
      <c r="V183" s="72"/>
      <c r="W183" s="72"/>
      <c r="X183" s="72"/>
      <c r="Y183" s="72"/>
      <c r="Z183" s="72"/>
      <c r="AA183" s="72"/>
      <c r="AB183" s="73"/>
      <c r="AC183" s="73"/>
      <c r="AD183" s="73"/>
      <c r="AE183" s="73"/>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row>
    <row r="184" spans="3:54">
      <c r="C184" s="74"/>
      <c r="Q184" s="72"/>
      <c r="R184" s="72"/>
      <c r="S184" s="72"/>
      <c r="T184" s="72"/>
      <c r="U184" s="72"/>
      <c r="V184" s="72"/>
      <c r="W184" s="72"/>
      <c r="X184" s="72"/>
      <c r="Y184" s="72"/>
      <c r="Z184" s="72"/>
      <c r="AA184" s="72"/>
      <c r="AB184" s="73"/>
      <c r="AC184" s="73"/>
      <c r="AD184" s="73"/>
      <c r="AE184" s="73"/>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row>
    <row r="185" spans="3:54">
      <c r="C185" s="74"/>
      <c r="Q185" s="72"/>
      <c r="R185" s="72"/>
      <c r="S185" s="72"/>
      <c r="T185" s="72"/>
      <c r="U185" s="72"/>
      <c r="V185" s="72"/>
      <c r="W185" s="72"/>
      <c r="X185" s="72"/>
      <c r="Y185" s="72"/>
      <c r="Z185" s="72"/>
      <c r="AA185" s="72"/>
      <c r="AB185" s="73"/>
      <c r="AC185" s="73"/>
      <c r="AD185" s="73"/>
      <c r="AE185" s="73"/>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row>
    <row r="186" spans="3:54">
      <c r="C186" s="74"/>
      <c r="Q186" s="72"/>
      <c r="R186" s="72"/>
      <c r="S186" s="72"/>
      <c r="T186" s="72"/>
      <c r="U186" s="72"/>
      <c r="V186" s="72"/>
      <c r="W186" s="72"/>
      <c r="X186" s="72"/>
      <c r="Y186" s="72"/>
      <c r="Z186" s="72"/>
      <c r="AA186" s="72"/>
      <c r="AB186" s="73"/>
      <c r="AC186" s="73"/>
      <c r="AD186" s="73"/>
      <c r="AE186" s="73"/>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row>
    <row r="187" spans="3:54">
      <c r="C187" s="74"/>
      <c r="Q187" s="72"/>
      <c r="R187" s="72"/>
      <c r="S187" s="72"/>
      <c r="T187" s="72"/>
      <c r="U187" s="72"/>
      <c r="V187" s="72"/>
      <c r="W187" s="72"/>
      <c r="X187" s="72"/>
      <c r="Y187" s="72"/>
      <c r="Z187" s="72"/>
      <c r="AA187" s="72"/>
      <c r="AB187" s="73"/>
      <c r="AC187" s="73"/>
      <c r="AD187" s="73"/>
      <c r="AE187" s="73"/>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row>
    <row r="188" spans="3:54">
      <c r="C188" s="74"/>
      <c r="Q188" s="72"/>
      <c r="R188" s="72"/>
      <c r="S188" s="72"/>
      <c r="T188" s="72"/>
      <c r="U188" s="72"/>
      <c r="V188" s="72"/>
      <c r="W188" s="72"/>
      <c r="X188" s="72"/>
      <c r="Y188" s="72"/>
      <c r="Z188" s="72"/>
      <c r="AA188" s="72"/>
      <c r="AB188" s="73"/>
      <c r="AC188" s="73"/>
      <c r="AD188" s="73"/>
      <c r="AE188" s="73"/>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row>
    <row r="189" spans="3:54">
      <c r="C189" s="74"/>
      <c r="Q189" s="72"/>
      <c r="R189" s="72"/>
      <c r="S189" s="72"/>
      <c r="T189" s="72"/>
      <c r="U189" s="72"/>
      <c r="V189" s="72"/>
      <c r="W189" s="72"/>
      <c r="X189" s="72"/>
      <c r="Y189" s="72"/>
      <c r="Z189" s="72"/>
      <c r="AA189" s="72"/>
      <c r="AB189" s="73"/>
      <c r="AC189" s="73"/>
      <c r="AD189" s="73"/>
      <c r="AE189" s="73"/>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row>
    <row r="190" spans="3:54">
      <c r="C190" s="74"/>
      <c r="Q190" s="72"/>
      <c r="R190" s="72"/>
      <c r="S190" s="72"/>
      <c r="T190" s="72"/>
      <c r="U190" s="72"/>
      <c r="V190" s="72"/>
      <c r="W190" s="72"/>
      <c r="X190" s="72"/>
      <c r="Y190" s="72"/>
      <c r="Z190" s="72"/>
      <c r="AA190" s="72"/>
      <c r="AB190" s="73"/>
      <c r="AC190" s="73"/>
      <c r="AD190" s="73"/>
      <c r="AE190" s="73"/>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row>
    <row r="191" spans="3:54">
      <c r="C191" s="74"/>
      <c r="Q191" s="72"/>
      <c r="R191" s="72"/>
      <c r="S191" s="72"/>
      <c r="T191" s="72"/>
      <c r="U191" s="72"/>
      <c r="V191" s="72"/>
      <c r="W191" s="72"/>
      <c r="X191" s="72"/>
      <c r="Y191" s="72"/>
      <c r="Z191" s="72"/>
      <c r="AA191" s="72"/>
      <c r="AB191" s="73"/>
      <c r="AC191" s="73"/>
      <c r="AD191" s="73"/>
      <c r="AE191" s="73"/>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row>
    <row r="192" spans="3:54">
      <c r="C192" s="74"/>
      <c r="Q192" s="72"/>
      <c r="R192" s="72"/>
      <c r="S192" s="72"/>
      <c r="T192" s="72"/>
      <c r="U192" s="72"/>
      <c r="V192" s="72"/>
      <c r="W192" s="72"/>
      <c r="X192" s="72"/>
      <c r="Y192" s="72"/>
      <c r="Z192" s="72"/>
      <c r="AA192" s="72"/>
      <c r="AB192" s="73"/>
      <c r="AC192" s="73"/>
      <c r="AD192" s="73"/>
      <c r="AE192" s="73"/>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row>
    <row r="193" spans="3:54">
      <c r="C193" s="74"/>
      <c r="Q193" s="72"/>
      <c r="R193" s="72"/>
      <c r="S193" s="72"/>
      <c r="T193" s="72"/>
      <c r="U193" s="72"/>
      <c r="V193" s="72"/>
      <c r="W193" s="72"/>
      <c r="X193" s="72"/>
      <c r="Y193" s="72"/>
      <c r="Z193" s="72"/>
      <c r="AA193" s="72"/>
      <c r="AB193" s="73"/>
      <c r="AC193" s="73"/>
      <c r="AD193" s="73"/>
      <c r="AE193" s="73"/>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row>
    <row r="194" spans="3:54">
      <c r="C194" s="74"/>
      <c r="Q194" s="72"/>
      <c r="R194" s="72"/>
      <c r="S194" s="72"/>
      <c r="T194" s="72"/>
      <c r="U194" s="72"/>
      <c r="V194" s="72"/>
      <c r="W194" s="72"/>
      <c r="X194" s="72"/>
      <c r="Y194" s="72"/>
      <c r="Z194" s="72"/>
      <c r="AA194" s="72"/>
      <c r="AB194" s="73"/>
      <c r="AC194" s="73"/>
      <c r="AD194" s="73"/>
      <c r="AE194" s="73"/>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row>
    <row r="195" spans="3:54">
      <c r="C195" s="74"/>
      <c r="Q195" s="72"/>
      <c r="R195" s="72"/>
      <c r="S195" s="72"/>
      <c r="T195" s="72"/>
      <c r="U195" s="72"/>
      <c r="V195" s="72"/>
      <c r="W195" s="72"/>
      <c r="X195" s="72"/>
      <c r="Y195" s="72"/>
      <c r="Z195" s="72"/>
      <c r="AA195" s="72"/>
      <c r="AB195" s="73"/>
      <c r="AC195" s="73"/>
      <c r="AD195" s="73"/>
      <c r="AE195" s="73"/>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row>
    <row r="196" spans="3:54">
      <c r="C196" s="74"/>
      <c r="Q196" s="72"/>
      <c r="R196" s="72"/>
      <c r="S196" s="72"/>
      <c r="T196" s="72"/>
      <c r="U196" s="72"/>
      <c r="V196" s="72"/>
      <c r="W196" s="72"/>
      <c r="X196" s="72"/>
      <c r="Y196" s="72"/>
      <c r="Z196" s="72"/>
      <c r="AA196" s="72"/>
      <c r="AB196" s="73"/>
      <c r="AC196" s="73"/>
      <c r="AD196" s="73"/>
      <c r="AE196" s="73"/>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row>
    <row r="197" spans="3:54">
      <c r="C197" s="74"/>
      <c r="Q197" s="72"/>
      <c r="R197" s="72"/>
      <c r="S197" s="72"/>
      <c r="T197" s="72"/>
      <c r="U197" s="72"/>
      <c r="V197" s="72"/>
      <c r="W197" s="72"/>
      <c r="X197" s="72"/>
      <c r="Y197" s="72"/>
      <c r="Z197" s="72"/>
      <c r="AA197" s="72"/>
      <c r="AB197" s="73"/>
      <c r="AC197" s="73"/>
      <c r="AD197" s="73"/>
      <c r="AE197" s="73"/>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row>
    <row r="198" spans="3:54">
      <c r="C198" s="74"/>
      <c r="Q198" s="72"/>
      <c r="R198" s="72"/>
      <c r="S198" s="72"/>
      <c r="T198" s="72"/>
      <c r="U198" s="72"/>
      <c r="V198" s="72"/>
      <c r="W198" s="72"/>
      <c r="X198" s="72"/>
      <c r="Y198" s="72"/>
      <c r="Z198" s="72"/>
      <c r="AA198" s="72"/>
      <c r="AB198" s="73"/>
      <c r="AC198" s="73"/>
      <c r="AD198" s="73"/>
      <c r="AE198" s="73"/>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row>
    <row r="199" spans="3:54">
      <c r="C199" s="74"/>
      <c r="Q199" s="72"/>
      <c r="R199" s="72"/>
      <c r="S199" s="72"/>
      <c r="T199" s="72"/>
      <c r="U199" s="72"/>
      <c r="V199" s="72"/>
      <c r="W199" s="72"/>
      <c r="X199" s="72"/>
      <c r="Y199" s="72"/>
      <c r="Z199" s="72"/>
      <c r="AA199" s="72"/>
      <c r="AB199" s="73"/>
      <c r="AC199" s="73"/>
      <c r="AD199" s="73"/>
      <c r="AE199" s="73"/>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row>
    <row r="200" spans="3:54">
      <c r="C200" s="74"/>
      <c r="Q200" s="72"/>
      <c r="R200" s="72"/>
      <c r="S200" s="72"/>
      <c r="T200" s="72"/>
      <c r="U200" s="72"/>
      <c r="V200" s="72"/>
      <c r="W200" s="72"/>
      <c r="X200" s="72"/>
      <c r="Y200" s="72"/>
      <c r="Z200" s="72"/>
      <c r="AA200" s="72"/>
      <c r="AB200" s="73"/>
      <c r="AC200" s="73"/>
      <c r="AD200" s="73"/>
      <c r="AE200" s="73"/>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row>
    <row r="201" spans="3:54">
      <c r="C201" s="74"/>
      <c r="Q201" s="72"/>
      <c r="R201" s="72"/>
      <c r="S201" s="72"/>
      <c r="T201" s="72"/>
      <c r="U201" s="72"/>
      <c r="V201" s="72"/>
      <c r="W201" s="72"/>
      <c r="X201" s="72"/>
      <c r="Y201" s="72"/>
      <c r="Z201" s="72"/>
      <c r="AA201" s="72"/>
      <c r="AB201" s="73"/>
      <c r="AC201" s="73"/>
      <c r="AD201" s="73"/>
      <c r="AE201" s="73"/>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row>
    <row r="202" spans="3:54">
      <c r="C202" s="74"/>
      <c r="Q202" s="72"/>
      <c r="R202" s="72"/>
      <c r="S202" s="72"/>
      <c r="T202" s="72"/>
      <c r="U202" s="72"/>
      <c r="V202" s="72"/>
      <c r="W202" s="72"/>
      <c r="X202" s="72"/>
      <c r="Y202" s="72"/>
      <c r="Z202" s="72"/>
      <c r="AA202" s="72"/>
      <c r="AB202" s="73"/>
      <c r="AC202" s="73"/>
      <c r="AD202" s="73"/>
      <c r="AE202" s="73"/>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row>
    <row r="203" spans="3:54">
      <c r="C203" s="74"/>
      <c r="Q203" s="72"/>
      <c r="R203" s="72"/>
      <c r="S203" s="72"/>
      <c r="T203" s="72"/>
      <c r="U203" s="72"/>
      <c r="V203" s="72"/>
      <c r="W203" s="72"/>
      <c r="X203" s="72"/>
      <c r="Y203" s="72"/>
      <c r="Z203" s="72"/>
      <c r="AA203" s="72"/>
      <c r="AB203" s="73"/>
      <c r="AC203" s="73"/>
      <c r="AD203" s="73"/>
      <c r="AE203" s="73"/>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row>
    <row r="204" spans="3:54">
      <c r="C204" s="74"/>
      <c r="Q204" s="72"/>
      <c r="R204" s="72"/>
      <c r="S204" s="72"/>
      <c r="T204" s="72"/>
      <c r="U204" s="72"/>
      <c r="V204" s="72"/>
      <c r="W204" s="72"/>
      <c r="X204" s="72"/>
      <c r="Y204" s="72"/>
      <c r="Z204" s="72"/>
      <c r="AA204" s="72"/>
      <c r="AB204" s="73"/>
      <c r="AC204" s="73"/>
      <c r="AD204" s="73"/>
      <c r="AE204" s="73"/>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row>
    <row r="205" spans="3:54">
      <c r="C205" s="74"/>
      <c r="Q205" s="72"/>
      <c r="R205" s="72"/>
      <c r="S205" s="72"/>
      <c r="T205" s="72"/>
      <c r="U205" s="72"/>
      <c r="V205" s="72"/>
      <c r="W205" s="72"/>
      <c r="X205" s="72"/>
      <c r="Y205" s="72"/>
      <c r="Z205" s="72"/>
      <c r="AA205" s="72"/>
      <c r="AB205" s="73"/>
      <c r="AC205" s="73"/>
      <c r="AD205" s="73"/>
      <c r="AE205" s="73"/>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row>
    <row r="206" spans="3:54">
      <c r="C206" s="74"/>
      <c r="Q206" s="72"/>
      <c r="R206" s="72"/>
      <c r="S206" s="72"/>
      <c r="T206" s="72"/>
      <c r="U206" s="72"/>
      <c r="V206" s="72"/>
      <c r="W206" s="72"/>
      <c r="X206" s="72"/>
      <c r="Y206" s="72"/>
      <c r="Z206" s="72"/>
      <c r="AA206" s="72"/>
      <c r="AB206" s="73"/>
      <c r="AC206" s="73"/>
      <c r="AD206" s="73"/>
      <c r="AE206" s="73"/>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row>
    <row r="207" spans="3:54">
      <c r="C207" s="74"/>
      <c r="Q207" s="72"/>
      <c r="R207" s="72"/>
      <c r="S207" s="72"/>
      <c r="T207" s="72"/>
      <c r="U207" s="72"/>
      <c r="V207" s="72"/>
      <c r="W207" s="72"/>
      <c r="X207" s="72"/>
      <c r="Y207" s="72"/>
      <c r="Z207" s="72"/>
      <c r="AA207" s="72"/>
      <c r="AB207" s="73"/>
      <c r="AC207" s="73"/>
      <c r="AD207" s="73"/>
      <c r="AE207" s="73"/>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row>
    <row r="208" spans="3:54">
      <c r="C208" s="74"/>
      <c r="Q208" s="72"/>
      <c r="R208" s="72"/>
      <c r="S208" s="72"/>
      <c r="T208" s="72"/>
      <c r="U208" s="72"/>
      <c r="V208" s="72"/>
      <c r="W208" s="72"/>
      <c r="X208" s="72"/>
      <c r="Y208" s="72"/>
      <c r="Z208" s="72"/>
      <c r="AA208" s="72"/>
      <c r="AB208" s="73"/>
      <c r="AC208" s="73"/>
      <c r="AD208" s="73"/>
      <c r="AE208" s="73"/>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row>
    <row r="209" spans="3:54">
      <c r="C209" s="74"/>
      <c r="Q209" s="72"/>
      <c r="R209" s="72"/>
      <c r="S209" s="72"/>
      <c r="T209" s="72"/>
      <c r="U209" s="72"/>
      <c r="V209" s="72"/>
      <c r="W209" s="72"/>
      <c r="X209" s="72"/>
      <c r="Y209" s="72"/>
      <c r="Z209" s="72"/>
      <c r="AA209" s="72"/>
      <c r="AB209" s="73"/>
      <c r="AC209" s="73"/>
      <c r="AD209" s="73"/>
      <c r="AE209" s="73"/>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row>
    <row r="210" spans="3:54">
      <c r="C210" s="74"/>
      <c r="Q210" s="72"/>
      <c r="R210" s="72"/>
      <c r="S210" s="72"/>
      <c r="T210" s="72"/>
      <c r="U210" s="72"/>
      <c r="V210" s="72"/>
      <c r="W210" s="72"/>
      <c r="X210" s="72"/>
      <c r="Y210" s="72"/>
      <c r="Z210" s="72"/>
      <c r="AA210" s="72"/>
      <c r="AB210" s="73"/>
      <c r="AC210" s="73"/>
      <c r="AD210" s="73"/>
      <c r="AE210" s="73"/>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row>
    <row r="211" spans="3:54">
      <c r="C211" s="74"/>
      <c r="Q211" s="72"/>
      <c r="R211" s="72"/>
      <c r="S211" s="72"/>
      <c r="T211" s="72"/>
      <c r="U211" s="72"/>
      <c r="V211" s="72"/>
      <c r="W211" s="72"/>
      <c r="X211" s="72"/>
      <c r="Y211" s="72"/>
      <c r="Z211" s="72"/>
      <c r="AA211" s="72"/>
      <c r="AB211" s="73"/>
      <c r="AC211" s="73"/>
      <c r="AD211" s="73"/>
      <c r="AE211" s="73"/>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row>
    <row r="212" spans="3:54">
      <c r="C212" s="74"/>
      <c r="Q212" s="72"/>
      <c r="R212" s="72"/>
      <c r="S212" s="72"/>
      <c r="T212" s="72"/>
      <c r="U212" s="72"/>
      <c r="V212" s="72"/>
      <c r="W212" s="72"/>
      <c r="X212" s="72"/>
      <c r="Y212" s="72"/>
      <c r="Z212" s="72"/>
      <c r="AA212" s="72"/>
      <c r="AB212" s="73"/>
      <c r="AC212" s="73"/>
      <c r="AD212" s="73"/>
      <c r="AE212" s="73"/>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row>
    <row r="213" spans="3:54">
      <c r="C213" s="74"/>
      <c r="Q213" s="72"/>
      <c r="R213" s="72"/>
      <c r="S213" s="72"/>
      <c r="T213" s="72"/>
      <c r="U213" s="72"/>
      <c r="V213" s="72"/>
      <c r="W213" s="72"/>
      <c r="X213" s="72"/>
      <c r="Y213" s="72"/>
      <c r="Z213" s="72"/>
      <c r="AA213" s="72"/>
      <c r="AB213" s="73"/>
      <c r="AC213" s="73"/>
      <c r="AD213" s="73"/>
      <c r="AE213" s="73"/>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row>
    <row r="214" spans="3:54">
      <c r="C214" s="74"/>
      <c r="Q214" s="72"/>
      <c r="R214" s="72"/>
      <c r="S214" s="72"/>
      <c r="T214" s="72"/>
      <c r="U214" s="72"/>
      <c r="V214" s="72"/>
      <c r="W214" s="72"/>
      <c r="X214" s="72"/>
      <c r="Y214" s="72"/>
      <c r="Z214" s="72"/>
      <c r="AA214" s="72"/>
      <c r="AB214" s="73"/>
      <c r="AC214" s="73"/>
      <c r="AD214" s="73"/>
      <c r="AE214" s="73"/>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row>
    <row r="215" spans="3:54">
      <c r="C215" s="74"/>
      <c r="Q215" s="72"/>
      <c r="R215" s="72"/>
      <c r="S215" s="72"/>
      <c r="T215" s="72"/>
      <c r="U215" s="72"/>
      <c r="V215" s="72"/>
      <c r="W215" s="72"/>
      <c r="X215" s="72"/>
      <c r="Y215" s="72"/>
      <c r="Z215" s="72"/>
      <c r="AA215" s="72"/>
      <c r="AB215" s="73"/>
      <c r="AC215" s="73"/>
      <c r="AD215" s="73"/>
      <c r="AE215" s="73"/>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row>
    <row r="216" spans="3:54">
      <c r="C216" s="74"/>
      <c r="Q216" s="72"/>
      <c r="R216" s="72"/>
      <c r="S216" s="72"/>
      <c r="T216" s="72"/>
      <c r="U216" s="72"/>
      <c r="V216" s="72"/>
      <c r="W216" s="72"/>
      <c r="X216" s="72"/>
      <c r="Y216" s="72"/>
      <c r="Z216" s="72"/>
      <c r="AA216" s="72"/>
      <c r="AB216" s="73"/>
      <c r="AC216" s="73"/>
      <c r="AD216" s="73"/>
      <c r="AE216" s="73"/>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row>
    <row r="217" spans="3:54">
      <c r="C217" s="74"/>
      <c r="Q217" s="72"/>
      <c r="R217" s="72"/>
      <c r="S217" s="72"/>
      <c r="T217" s="72"/>
      <c r="U217" s="72"/>
      <c r="V217" s="72"/>
      <c r="W217" s="72"/>
      <c r="X217" s="72"/>
      <c r="Y217" s="72"/>
      <c r="Z217" s="72"/>
      <c r="AA217" s="72"/>
      <c r="AB217" s="73"/>
      <c r="AC217" s="73"/>
      <c r="AD217" s="73"/>
      <c r="AE217" s="73"/>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row>
    <row r="218" spans="3:54">
      <c r="C218" s="74"/>
      <c r="Q218" s="72"/>
      <c r="R218" s="72"/>
      <c r="S218" s="72"/>
      <c r="T218" s="72"/>
      <c r="U218" s="72"/>
      <c r="V218" s="72"/>
      <c r="W218" s="72"/>
      <c r="X218" s="72"/>
      <c r="Y218" s="72"/>
      <c r="Z218" s="72"/>
      <c r="AA218" s="72"/>
      <c r="AB218" s="73"/>
      <c r="AC218" s="73"/>
      <c r="AD218" s="73"/>
      <c r="AE218" s="73"/>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row>
    <row r="219" spans="3:54">
      <c r="C219" s="74"/>
      <c r="Q219" s="72"/>
      <c r="R219" s="72"/>
      <c r="S219" s="72"/>
      <c r="T219" s="72"/>
      <c r="U219" s="72"/>
      <c r="V219" s="72"/>
      <c r="W219" s="72"/>
      <c r="X219" s="72"/>
      <c r="Y219" s="72"/>
      <c r="Z219" s="72"/>
      <c r="AA219" s="72"/>
      <c r="AB219" s="73"/>
      <c r="AC219" s="73"/>
      <c r="AD219" s="73"/>
      <c r="AE219" s="73"/>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row>
    <row r="220" spans="3:54">
      <c r="C220" s="74"/>
      <c r="Q220" s="72"/>
      <c r="R220" s="72"/>
      <c r="S220" s="72"/>
      <c r="T220" s="72"/>
      <c r="U220" s="72"/>
      <c r="V220" s="72"/>
      <c r="W220" s="72"/>
      <c r="X220" s="72"/>
      <c r="Y220" s="72"/>
      <c r="Z220" s="72"/>
      <c r="AA220" s="72"/>
      <c r="AB220" s="73"/>
      <c r="AC220" s="73"/>
      <c r="AD220" s="73"/>
      <c r="AE220" s="73"/>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row>
    <row r="221" spans="3:54">
      <c r="C221" s="74"/>
      <c r="Q221" s="72"/>
      <c r="R221" s="72"/>
      <c r="S221" s="72"/>
      <c r="T221" s="72"/>
      <c r="U221" s="72"/>
      <c r="V221" s="72"/>
      <c r="W221" s="72"/>
      <c r="X221" s="72"/>
      <c r="Y221" s="72"/>
      <c r="Z221" s="72"/>
      <c r="AA221" s="72"/>
      <c r="AB221" s="73"/>
      <c r="AC221" s="73"/>
      <c r="AD221" s="73"/>
      <c r="AE221" s="73"/>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row>
    <row r="222" spans="3:54">
      <c r="C222" s="74"/>
      <c r="Q222" s="72"/>
      <c r="R222" s="72"/>
      <c r="S222" s="72"/>
      <c r="T222" s="72"/>
      <c r="U222" s="72"/>
      <c r="V222" s="72"/>
      <c r="W222" s="72"/>
      <c r="X222" s="72"/>
      <c r="Y222" s="72"/>
      <c r="Z222" s="72"/>
      <c r="AA222" s="72"/>
      <c r="AB222" s="73"/>
      <c r="AC222" s="73"/>
      <c r="AD222" s="73"/>
      <c r="AE222" s="73"/>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row>
    <row r="223" spans="3:54">
      <c r="C223" s="74"/>
      <c r="Q223" s="72"/>
      <c r="R223" s="72"/>
      <c r="S223" s="72"/>
      <c r="T223" s="72"/>
      <c r="U223" s="72"/>
      <c r="V223" s="72"/>
      <c r="W223" s="72"/>
      <c r="X223" s="72"/>
      <c r="Y223" s="72"/>
      <c r="Z223" s="72"/>
      <c r="AA223" s="72"/>
      <c r="AB223" s="73"/>
      <c r="AC223" s="73"/>
      <c r="AD223" s="73"/>
      <c r="AE223" s="73"/>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row>
    <row r="224" spans="3:54">
      <c r="C224" s="74"/>
      <c r="Q224" s="72"/>
      <c r="R224" s="72"/>
      <c r="S224" s="72"/>
      <c r="T224" s="72"/>
      <c r="U224" s="72"/>
      <c r="V224" s="72"/>
      <c r="W224" s="72"/>
      <c r="X224" s="72"/>
      <c r="Y224" s="72"/>
      <c r="Z224" s="72"/>
      <c r="AA224" s="72"/>
      <c r="AB224" s="73"/>
      <c r="AC224" s="73"/>
      <c r="AD224" s="73"/>
      <c r="AE224" s="73"/>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row>
    <row r="225" spans="3:54">
      <c r="C225" s="74"/>
      <c r="Q225" s="72"/>
      <c r="R225" s="72"/>
      <c r="S225" s="72"/>
      <c r="T225" s="72"/>
      <c r="U225" s="72"/>
      <c r="V225" s="72"/>
      <c r="W225" s="72"/>
      <c r="X225" s="72"/>
      <c r="Y225" s="72"/>
      <c r="Z225" s="72"/>
      <c r="AA225" s="72"/>
      <c r="AB225" s="73"/>
      <c r="AC225" s="73"/>
      <c r="AD225" s="73"/>
      <c r="AE225" s="73"/>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row>
    <row r="226" spans="3:54">
      <c r="C226" s="74"/>
      <c r="Q226" s="72"/>
      <c r="R226" s="72"/>
      <c r="S226" s="72"/>
      <c r="T226" s="72"/>
      <c r="U226" s="72"/>
      <c r="V226" s="72"/>
      <c r="W226" s="72"/>
      <c r="X226" s="72"/>
      <c r="Y226" s="72"/>
      <c r="Z226" s="72"/>
      <c r="AA226" s="72"/>
      <c r="AB226" s="73"/>
      <c r="AC226" s="73"/>
      <c r="AD226" s="73"/>
      <c r="AE226" s="73"/>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row>
    <row r="227" spans="3:54">
      <c r="C227" s="74"/>
      <c r="Q227" s="72"/>
      <c r="R227" s="72"/>
      <c r="S227" s="72"/>
      <c r="T227" s="72"/>
      <c r="U227" s="72"/>
      <c r="V227" s="72"/>
      <c r="W227" s="72"/>
      <c r="X227" s="72"/>
      <c r="Y227" s="72"/>
      <c r="Z227" s="72"/>
      <c r="AA227" s="72"/>
      <c r="AB227" s="73"/>
      <c r="AC227" s="73"/>
      <c r="AD227" s="73"/>
      <c r="AE227" s="73"/>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row>
    <row r="228" spans="3:54">
      <c r="C228" s="74"/>
      <c r="Q228" s="72"/>
      <c r="R228" s="72"/>
      <c r="S228" s="72"/>
      <c r="T228" s="72"/>
      <c r="U228" s="72"/>
      <c r="V228" s="72"/>
      <c r="W228" s="72"/>
      <c r="X228" s="72"/>
      <c r="Y228" s="72"/>
      <c r="Z228" s="72"/>
      <c r="AA228" s="72"/>
      <c r="AB228" s="73"/>
      <c r="AC228" s="73"/>
      <c r="AD228" s="73"/>
      <c r="AE228" s="73"/>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row>
    <row r="229" spans="3:54">
      <c r="C229" s="74"/>
      <c r="Q229" s="72"/>
      <c r="R229" s="72"/>
      <c r="S229" s="72"/>
      <c r="T229" s="72"/>
      <c r="U229" s="72"/>
      <c r="V229" s="72"/>
      <c r="W229" s="72"/>
      <c r="X229" s="72"/>
      <c r="Y229" s="72"/>
      <c r="Z229" s="72"/>
      <c r="AA229" s="72"/>
      <c r="AB229" s="73"/>
      <c r="AC229" s="73"/>
      <c r="AD229" s="73"/>
      <c r="AE229" s="73"/>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row>
    <row r="230" spans="3:54">
      <c r="C230" s="74"/>
      <c r="Q230" s="72"/>
      <c r="R230" s="72"/>
      <c r="S230" s="72"/>
      <c r="T230" s="72"/>
      <c r="U230" s="72"/>
      <c r="V230" s="72"/>
      <c r="W230" s="72"/>
      <c r="X230" s="72"/>
      <c r="Y230" s="72"/>
      <c r="Z230" s="72"/>
      <c r="AA230" s="72"/>
      <c r="AB230" s="73"/>
      <c r="AC230" s="73"/>
      <c r="AD230" s="73"/>
      <c r="AE230" s="73"/>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row>
    <row r="231" spans="3:54">
      <c r="C231" s="74"/>
      <c r="Q231" s="72"/>
      <c r="R231" s="72"/>
      <c r="S231" s="72"/>
      <c r="T231" s="72"/>
      <c r="U231" s="72"/>
      <c r="V231" s="72"/>
      <c r="W231" s="72"/>
      <c r="X231" s="72"/>
      <c r="Y231" s="72"/>
      <c r="Z231" s="72"/>
      <c r="AA231" s="72"/>
      <c r="AB231" s="73"/>
      <c r="AC231" s="73"/>
      <c r="AD231" s="73"/>
      <c r="AE231" s="73"/>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row>
    <row r="232" spans="3:54">
      <c r="C232" s="74"/>
      <c r="Q232" s="72"/>
      <c r="R232" s="72"/>
      <c r="S232" s="72"/>
      <c r="T232" s="72"/>
      <c r="U232" s="72"/>
      <c r="V232" s="72"/>
      <c r="W232" s="72"/>
      <c r="X232" s="72"/>
      <c r="Y232" s="72"/>
      <c r="Z232" s="72"/>
      <c r="AA232" s="72"/>
      <c r="AB232" s="73"/>
      <c r="AC232" s="73"/>
      <c r="AD232" s="73"/>
      <c r="AE232" s="73"/>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row>
    <row r="233" spans="3:54">
      <c r="C233" s="74"/>
      <c r="Q233" s="72"/>
      <c r="R233" s="72"/>
      <c r="S233" s="72"/>
      <c r="T233" s="72"/>
      <c r="U233" s="72"/>
      <c r="V233" s="72"/>
      <c r="W233" s="72"/>
      <c r="X233" s="72"/>
      <c r="Y233" s="72"/>
      <c r="Z233" s="72"/>
      <c r="AA233" s="72"/>
      <c r="AB233" s="73"/>
      <c r="AC233" s="73"/>
      <c r="AD233" s="73"/>
      <c r="AE233" s="73"/>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row>
    <row r="234" spans="3:54">
      <c r="C234" s="74"/>
      <c r="Q234" s="72"/>
      <c r="R234" s="72"/>
      <c r="S234" s="72"/>
      <c r="T234" s="72"/>
      <c r="U234" s="72"/>
      <c r="V234" s="72"/>
      <c r="W234" s="72"/>
      <c r="X234" s="72"/>
      <c r="Y234" s="72"/>
      <c r="Z234" s="72"/>
      <c r="AA234" s="72"/>
      <c r="AB234" s="73"/>
      <c r="AC234" s="73"/>
      <c r="AD234" s="73"/>
      <c r="AE234" s="73"/>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row>
    <row r="235" spans="3:54">
      <c r="C235" s="74"/>
      <c r="Q235" s="72"/>
      <c r="R235" s="72"/>
      <c r="S235" s="72"/>
      <c r="T235" s="72"/>
      <c r="U235" s="72"/>
      <c r="V235" s="72"/>
      <c r="W235" s="72"/>
      <c r="X235" s="72"/>
      <c r="Y235" s="72"/>
      <c r="Z235" s="72"/>
      <c r="AA235" s="72"/>
      <c r="AB235" s="73"/>
      <c r="AC235" s="73"/>
      <c r="AD235" s="73"/>
      <c r="AE235" s="73"/>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row>
    <row r="236" spans="3:54">
      <c r="C236" s="74"/>
      <c r="Q236" s="72"/>
      <c r="R236" s="72"/>
      <c r="S236" s="72"/>
      <c r="T236" s="72"/>
      <c r="U236" s="72"/>
      <c r="V236" s="72"/>
      <c r="W236" s="72"/>
      <c r="X236" s="72"/>
      <c r="Y236" s="72"/>
      <c r="Z236" s="72"/>
      <c r="AA236" s="72"/>
      <c r="AB236" s="73"/>
      <c r="AC236" s="73"/>
      <c r="AD236" s="73"/>
      <c r="AE236" s="73"/>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row>
    <row r="237" spans="3:54">
      <c r="C237" s="74"/>
      <c r="Q237" s="72"/>
      <c r="R237" s="72"/>
      <c r="S237" s="72"/>
      <c r="T237" s="72"/>
      <c r="U237" s="72"/>
      <c r="V237" s="72"/>
      <c r="W237" s="72"/>
      <c r="X237" s="72"/>
      <c r="Y237" s="72"/>
      <c r="Z237" s="72"/>
      <c r="AA237" s="72"/>
      <c r="AB237" s="73"/>
      <c r="AC237" s="73"/>
      <c r="AD237" s="73"/>
      <c r="AE237" s="73"/>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row>
    <row r="238" spans="3:54">
      <c r="C238" s="74"/>
      <c r="Q238" s="72"/>
      <c r="R238" s="72"/>
      <c r="S238" s="72"/>
      <c r="T238" s="72"/>
      <c r="U238" s="72"/>
      <c r="V238" s="72"/>
      <c r="W238" s="72"/>
      <c r="X238" s="72"/>
      <c r="Y238" s="72"/>
      <c r="Z238" s="72"/>
      <c r="AA238" s="72"/>
      <c r="AB238" s="73"/>
      <c r="AC238" s="73"/>
      <c r="AD238" s="73"/>
      <c r="AE238" s="73"/>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row>
    <row r="239" spans="3:54">
      <c r="C239" s="74"/>
      <c r="Q239" s="72"/>
      <c r="R239" s="72"/>
      <c r="S239" s="72"/>
      <c r="T239" s="72"/>
      <c r="U239" s="72"/>
      <c r="V239" s="72"/>
      <c r="W239" s="72"/>
      <c r="X239" s="72"/>
      <c r="Y239" s="72"/>
      <c r="Z239" s="72"/>
      <c r="AA239" s="72"/>
      <c r="AB239" s="73"/>
      <c r="AC239" s="73"/>
      <c r="AD239" s="73"/>
      <c r="AE239" s="73"/>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row>
    <row r="240" spans="3:54">
      <c r="C240" s="74"/>
      <c r="Q240" s="72"/>
      <c r="R240" s="72"/>
      <c r="S240" s="72"/>
      <c r="T240" s="72"/>
      <c r="U240" s="72"/>
      <c r="V240" s="72"/>
      <c r="W240" s="72"/>
      <c r="X240" s="72"/>
      <c r="Y240" s="72"/>
      <c r="Z240" s="72"/>
      <c r="AA240" s="72"/>
      <c r="AB240" s="73"/>
      <c r="AC240" s="73"/>
      <c r="AD240" s="73"/>
      <c r="AE240" s="73"/>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row>
    <row r="241" spans="3:54">
      <c r="C241" s="74"/>
      <c r="Q241" s="72"/>
      <c r="R241" s="72"/>
      <c r="S241" s="72"/>
      <c r="T241" s="72"/>
      <c r="U241" s="72"/>
      <c r="V241" s="72"/>
      <c r="W241" s="72"/>
      <c r="X241" s="72"/>
      <c r="Y241" s="72"/>
      <c r="Z241" s="72"/>
      <c r="AA241" s="72"/>
      <c r="AB241" s="73"/>
      <c r="AC241" s="73"/>
      <c r="AD241" s="73"/>
      <c r="AE241" s="73"/>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row>
    <row r="242" spans="3:54">
      <c r="C242" s="74"/>
      <c r="Q242" s="72"/>
      <c r="R242" s="72"/>
      <c r="S242" s="72"/>
      <c r="T242" s="72"/>
      <c r="U242" s="72"/>
      <c r="V242" s="72"/>
      <c r="W242" s="72"/>
      <c r="X242" s="72"/>
      <c r="Y242" s="72"/>
      <c r="Z242" s="72"/>
      <c r="AA242" s="72"/>
      <c r="AB242" s="73"/>
      <c r="AC242" s="73"/>
      <c r="AD242" s="73"/>
      <c r="AE242" s="73"/>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row>
    <row r="243" spans="3:54">
      <c r="C243" s="74"/>
      <c r="Q243" s="72"/>
      <c r="R243" s="72"/>
      <c r="S243" s="72"/>
      <c r="T243" s="72"/>
      <c r="U243" s="72"/>
      <c r="V243" s="72"/>
      <c r="W243" s="72"/>
      <c r="X243" s="72"/>
      <c r="Y243" s="72"/>
      <c r="Z243" s="72"/>
      <c r="AA243" s="72"/>
      <c r="AB243" s="73"/>
      <c r="AC243" s="73"/>
      <c r="AD243" s="73"/>
      <c r="AE243" s="73"/>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row>
    <row r="244" spans="3:54">
      <c r="C244" s="74"/>
      <c r="Q244" s="72"/>
      <c r="R244" s="72"/>
      <c r="S244" s="72"/>
      <c r="T244" s="72"/>
      <c r="U244" s="72"/>
      <c r="V244" s="72"/>
      <c r="W244" s="72"/>
      <c r="X244" s="72"/>
      <c r="Y244" s="72"/>
      <c r="Z244" s="72"/>
      <c r="AA244" s="72"/>
      <c r="AB244" s="73"/>
      <c r="AC244" s="73"/>
      <c r="AD244" s="73"/>
      <c r="AE244" s="73"/>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row>
    <row r="245" spans="3:54">
      <c r="C245" s="74"/>
      <c r="Q245" s="72"/>
      <c r="R245" s="72"/>
      <c r="S245" s="72"/>
      <c r="T245" s="72"/>
      <c r="U245" s="72"/>
      <c r="V245" s="72"/>
      <c r="W245" s="72"/>
      <c r="X245" s="72"/>
      <c r="Y245" s="72"/>
      <c r="Z245" s="72"/>
      <c r="AA245" s="72"/>
      <c r="AB245" s="73"/>
      <c r="AC245" s="73"/>
      <c r="AD245" s="73"/>
      <c r="AE245" s="73"/>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row>
    <row r="246" spans="3:54">
      <c r="C246" s="74"/>
      <c r="Q246" s="72"/>
      <c r="R246" s="72"/>
      <c r="S246" s="72"/>
      <c r="T246" s="72"/>
      <c r="U246" s="72"/>
      <c r="V246" s="72"/>
      <c r="W246" s="72"/>
      <c r="X246" s="72"/>
      <c r="Y246" s="72"/>
      <c r="Z246" s="72"/>
      <c r="AA246" s="72"/>
      <c r="AB246" s="73"/>
      <c r="AC246" s="73"/>
      <c r="AD246" s="73"/>
      <c r="AE246" s="73"/>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row>
    <row r="247" spans="3:54">
      <c r="C247" s="74"/>
      <c r="Q247" s="72"/>
      <c r="R247" s="72"/>
      <c r="S247" s="72"/>
      <c r="T247" s="72"/>
      <c r="U247" s="72"/>
      <c r="V247" s="72"/>
      <c r="W247" s="72"/>
      <c r="X247" s="72"/>
      <c r="Y247" s="72"/>
      <c r="Z247" s="72"/>
      <c r="AA247" s="72"/>
      <c r="AB247" s="73"/>
      <c r="AC247" s="73"/>
      <c r="AD247" s="73"/>
      <c r="AE247" s="73"/>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row>
    <row r="248" spans="3:54">
      <c r="C248" s="74"/>
      <c r="Q248" s="72"/>
      <c r="R248" s="72"/>
      <c r="S248" s="72"/>
      <c r="T248" s="72"/>
      <c r="U248" s="72"/>
      <c r="V248" s="72"/>
      <c r="W248" s="72"/>
      <c r="X248" s="72"/>
      <c r="Y248" s="72"/>
      <c r="Z248" s="72"/>
      <c r="AA248" s="72"/>
      <c r="AB248" s="73"/>
      <c r="AC248" s="73"/>
      <c r="AD248" s="73"/>
      <c r="AE248" s="73"/>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row>
    <row r="249" spans="3:54">
      <c r="C249" s="74"/>
      <c r="Q249" s="72"/>
      <c r="R249" s="72"/>
      <c r="S249" s="72"/>
      <c r="T249" s="72"/>
      <c r="U249" s="72"/>
      <c r="V249" s="72"/>
      <c r="W249" s="72"/>
      <c r="X249" s="72"/>
      <c r="Y249" s="72"/>
      <c r="Z249" s="72"/>
      <c r="AA249" s="72"/>
      <c r="AB249" s="73"/>
      <c r="AC249" s="73"/>
      <c r="AD249" s="73"/>
      <c r="AE249" s="73"/>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row>
    <row r="250" spans="3:54">
      <c r="C250" s="74"/>
      <c r="Q250" s="72"/>
      <c r="R250" s="72"/>
      <c r="S250" s="72"/>
      <c r="T250" s="72"/>
      <c r="U250" s="72"/>
      <c r="V250" s="72"/>
      <c r="W250" s="72"/>
      <c r="X250" s="72"/>
      <c r="Y250" s="72"/>
      <c r="Z250" s="72"/>
      <c r="AA250" s="72"/>
      <c r="AB250" s="73"/>
      <c r="AC250" s="73"/>
      <c r="AD250" s="73"/>
      <c r="AE250" s="73"/>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row>
    <row r="251" spans="3:54">
      <c r="C251" s="74"/>
      <c r="Q251" s="72"/>
      <c r="R251" s="72"/>
      <c r="S251" s="72"/>
      <c r="T251" s="72"/>
      <c r="U251" s="72"/>
      <c r="V251" s="72"/>
      <c r="W251" s="72"/>
      <c r="X251" s="72"/>
      <c r="Y251" s="72"/>
      <c r="Z251" s="72"/>
      <c r="AA251" s="72"/>
      <c r="AB251" s="73"/>
      <c r="AC251" s="73"/>
      <c r="AD251" s="73"/>
      <c r="AE251" s="73"/>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row>
    <row r="252" spans="3:54">
      <c r="C252" s="74"/>
      <c r="Q252" s="72"/>
      <c r="R252" s="72"/>
      <c r="S252" s="72"/>
      <c r="T252" s="72"/>
      <c r="U252" s="72"/>
      <c r="V252" s="72"/>
      <c r="W252" s="72"/>
      <c r="X252" s="72"/>
      <c r="Y252" s="72"/>
      <c r="Z252" s="72"/>
      <c r="AA252" s="72"/>
      <c r="AB252" s="73"/>
      <c r="AC252" s="73"/>
      <c r="AD252" s="73"/>
      <c r="AE252" s="73"/>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row>
    <row r="253" spans="3:54">
      <c r="C253" s="74"/>
      <c r="Q253" s="72"/>
      <c r="R253" s="72"/>
      <c r="S253" s="72"/>
      <c r="T253" s="72"/>
      <c r="U253" s="72"/>
      <c r="V253" s="72"/>
      <c r="W253" s="72"/>
      <c r="X253" s="72"/>
      <c r="Y253" s="72"/>
      <c r="Z253" s="72"/>
      <c r="AA253" s="72"/>
      <c r="AB253" s="73"/>
      <c r="AC253" s="73"/>
      <c r="AD253" s="73"/>
      <c r="AE253" s="73"/>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row>
    <row r="254" spans="3:54">
      <c r="C254" s="74"/>
      <c r="Q254" s="72"/>
      <c r="R254" s="72"/>
      <c r="S254" s="72"/>
      <c r="T254" s="72"/>
      <c r="U254" s="72"/>
      <c r="V254" s="72"/>
      <c r="W254" s="72"/>
      <c r="X254" s="72"/>
      <c r="Y254" s="72"/>
      <c r="Z254" s="72"/>
      <c r="AA254" s="72"/>
      <c r="AB254" s="73"/>
      <c r="AC254" s="73"/>
      <c r="AD254" s="73"/>
      <c r="AE254" s="73"/>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row>
    <row r="255" spans="3:54">
      <c r="C255" s="74"/>
      <c r="Q255" s="72"/>
      <c r="R255" s="72"/>
      <c r="S255" s="72"/>
      <c r="T255" s="72"/>
      <c r="U255" s="72"/>
      <c r="V255" s="72"/>
      <c r="W255" s="72"/>
      <c r="X255" s="72"/>
      <c r="Y255" s="72"/>
      <c r="Z255" s="72"/>
      <c r="AA255" s="72"/>
      <c r="AB255" s="73"/>
      <c r="AC255" s="73"/>
      <c r="AD255" s="73"/>
      <c r="AE255" s="73"/>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row>
    <row r="256" spans="3:54">
      <c r="C256" s="74"/>
      <c r="Q256" s="72"/>
      <c r="R256" s="72"/>
      <c r="S256" s="72"/>
      <c r="T256" s="72"/>
      <c r="U256" s="72"/>
      <c r="V256" s="72"/>
      <c r="W256" s="72"/>
      <c r="X256" s="72"/>
      <c r="Y256" s="72"/>
      <c r="Z256" s="72"/>
      <c r="AA256" s="72"/>
      <c r="AB256" s="73"/>
      <c r="AC256" s="73"/>
      <c r="AD256" s="73"/>
      <c r="AE256" s="73"/>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row>
    <row r="257" spans="3:54">
      <c r="C257" s="74"/>
      <c r="Q257" s="72"/>
      <c r="R257" s="72"/>
      <c r="S257" s="72"/>
      <c r="T257" s="72"/>
      <c r="U257" s="72"/>
      <c r="V257" s="72"/>
      <c r="W257" s="72"/>
      <c r="X257" s="72"/>
      <c r="Y257" s="72"/>
      <c r="Z257" s="72"/>
      <c r="AA257" s="72"/>
      <c r="AB257" s="73"/>
      <c r="AC257" s="73"/>
      <c r="AD257" s="73"/>
      <c r="AE257" s="73"/>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row>
    <row r="258" spans="3:54">
      <c r="C258" s="74"/>
      <c r="Q258" s="72"/>
      <c r="R258" s="72"/>
      <c r="S258" s="72"/>
      <c r="T258" s="72"/>
      <c r="U258" s="72"/>
      <c r="V258" s="72"/>
      <c r="W258" s="72"/>
      <c r="X258" s="72"/>
      <c r="Y258" s="72"/>
      <c r="Z258" s="72"/>
      <c r="AA258" s="72"/>
      <c r="AB258" s="73"/>
      <c r="AC258" s="73"/>
      <c r="AD258" s="73"/>
      <c r="AE258" s="73"/>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row>
    <row r="259" spans="3:54">
      <c r="C259" s="74"/>
      <c r="Q259" s="72"/>
      <c r="R259" s="72"/>
      <c r="S259" s="72"/>
      <c r="T259" s="72"/>
      <c r="U259" s="72"/>
      <c r="V259" s="72"/>
      <c r="W259" s="72"/>
      <c r="X259" s="72"/>
      <c r="Y259" s="72"/>
      <c r="Z259" s="72"/>
      <c r="AA259" s="72"/>
      <c r="AB259" s="73"/>
      <c r="AC259" s="73"/>
      <c r="AD259" s="73"/>
      <c r="AE259" s="73"/>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row>
    <row r="260" spans="3:54">
      <c r="C260" s="74"/>
      <c r="Q260" s="72"/>
      <c r="R260" s="72"/>
      <c r="S260" s="72"/>
      <c r="T260" s="72"/>
      <c r="U260" s="72"/>
      <c r="V260" s="72"/>
      <c r="W260" s="72"/>
      <c r="X260" s="72"/>
      <c r="Y260" s="72"/>
      <c r="Z260" s="72"/>
      <c r="AA260" s="72"/>
      <c r="AB260" s="73"/>
      <c r="AC260" s="73"/>
      <c r="AD260" s="73"/>
      <c r="AE260" s="73"/>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row>
    <row r="261" spans="3:54">
      <c r="C261" s="74"/>
      <c r="Q261" s="72"/>
      <c r="R261" s="72"/>
      <c r="S261" s="72"/>
      <c r="T261" s="72"/>
      <c r="U261" s="72"/>
      <c r="V261" s="72"/>
      <c r="W261" s="72"/>
      <c r="X261" s="72"/>
      <c r="Y261" s="72"/>
      <c r="Z261" s="72"/>
      <c r="AA261" s="72"/>
      <c r="AB261" s="73"/>
      <c r="AC261" s="73"/>
      <c r="AD261" s="73"/>
      <c r="AE261" s="73"/>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row>
    <row r="262" spans="3:54">
      <c r="C262" s="74"/>
      <c r="Q262" s="72"/>
      <c r="R262" s="72"/>
      <c r="S262" s="72"/>
      <c r="T262" s="72"/>
      <c r="U262" s="72"/>
      <c r="V262" s="72"/>
      <c r="W262" s="72"/>
      <c r="X262" s="72"/>
      <c r="Y262" s="72"/>
      <c r="Z262" s="72"/>
      <c r="AA262" s="72"/>
      <c r="AB262" s="73"/>
      <c r="AC262" s="73"/>
      <c r="AD262" s="73"/>
      <c r="AE262" s="73"/>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row>
    <row r="263" spans="3:54">
      <c r="C263" s="74"/>
      <c r="Q263" s="72"/>
      <c r="R263" s="72"/>
      <c r="S263" s="72"/>
      <c r="T263" s="72"/>
      <c r="U263" s="72"/>
      <c r="V263" s="72"/>
      <c r="W263" s="72"/>
      <c r="X263" s="72"/>
      <c r="Y263" s="72"/>
      <c r="Z263" s="72"/>
      <c r="AA263" s="72"/>
      <c r="AB263" s="73"/>
      <c r="AC263" s="73"/>
      <c r="AD263" s="73"/>
      <c r="AE263" s="73"/>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row>
    <row r="264" spans="3:54">
      <c r="C264" s="74"/>
      <c r="Q264" s="72"/>
      <c r="R264" s="72"/>
      <c r="S264" s="72"/>
      <c r="T264" s="72"/>
      <c r="U264" s="72"/>
      <c r="V264" s="72"/>
      <c r="W264" s="72"/>
      <c r="X264" s="72"/>
      <c r="Y264" s="72"/>
      <c r="Z264" s="72"/>
      <c r="AA264" s="72"/>
      <c r="AB264" s="73"/>
      <c r="AC264" s="73"/>
      <c r="AD264" s="73"/>
      <c r="AE264" s="73"/>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row>
    <row r="265" spans="3:54">
      <c r="C265" s="74"/>
      <c r="Q265" s="72"/>
      <c r="R265" s="72"/>
      <c r="S265" s="72"/>
      <c r="T265" s="72"/>
      <c r="U265" s="72"/>
      <c r="V265" s="72"/>
      <c r="W265" s="72"/>
      <c r="X265" s="72"/>
      <c r="Y265" s="72"/>
      <c r="Z265" s="72"/>
      <c r="AA265" s="72"/>
      <c r="AB265" s="73"/>
      <c r="AC265" s="73"/>
      <c r="AD265" s="73"/>
      <c r="AE265" s="73"/>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row>
    <row r="266" spans="3:54">
      <c r="C266" s="74"/>
      <c r="Q266" s="72"/>
      <c r="R266" s="72"/>
      <c r="S266" s="72"/>
      <c r="T266" s="72"/>
      <c r="U266" s="72"/>
      <c r="V266" s="72"/>
      <c r="W266" s="72"/>
      <c r="X266" s="72"/>
      <c r="Y266" s="72"/>
      <c r="Z266" s="72"/>
      <c r="AA266" s="72"/>
      <c r="AB266" s="73"/>
      <c r="AC266" s="73"/>
      <c r="AD266" s="73"/>
      <c r="AE266" s="73"/>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row>
    <row r="267" spans="3:54">
      <c r="C267" s="74"/>
      <c r="P267" s="72"/>
      <c r="Q267" s="72"/>
      <c r="R267" s="72"/>
      <c r="S267" s="72"/>
      <c r="T267" s="72"/>
      <c r="U267" s="72"/>
      <c r="V267" s="72"/>
      <c r="W267" s="72"/>
      <c r="X267" s="72"/>
      <c r="Y267" s="72"/>
      <c r="Z267" s="72"/>
      <c r="AA267" s="73"/>
      <c r="AB267" s="73"/>
      <c r="AC267" s="73"/>
      <c r="AD267" s="73"/>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row>
    <row r="268" spans="3:54">
      <c r="C268" s="74"/>
      <c r="P268" s="72"/>
      <c r="Q268" s="72"/>
      <c r="R268" s="72"/>
      <c r="S268" s="72"/>
      <c r="T268" s="72"/>
      <c r="U268" s="72"/>
      <c r="V268" s="72"/>
      <c r="W268" s="72"/>
      <c r="X268" s="72"/>
      <c r="Y268" s="72"/>
      <c r="Z268" s="72"/>
      <c r="AA268" s="73"/>
      <c r="AB268" s="73"/>
      <c r="AC268" s="73"/>
      <c r="AD268" s="73"/>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row>
    <row r="269" spans="3:54">
      <c r="C269" s="74"/>
      <c r="P269" s="72"/>
      <c r="Q269" s="72"/>
      <c r="R269" s="72"/>
      <c r="S269" s="72"/>
      <c r="T269" s="72"/>
      <c r="U269" s="72"/>
      <c r="V269" s="72"/>
      <c r="W269" s="72"/>
      <c r="X269" s="72"/>
      <c r="Y269" s="72"/>
      <c r="Z269" s="72"/>
      <c r="AA269" s="73"/>
      <c r="AB269" s="73"/>
      <c r="AC269" s="73"/>
      <c r="AD269" s="73"/>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row>
    <row r="270" spans="3:54">
      <c r="C270" s="74"/>
      <c r="P270" s="72"/>
      <c r="Q270" s="72"/>
      <c r="R270" s="72"/>
      <c r="S270" s="72"/>
      <c r="T270" s="72"/>
      <c r="U270" s="72"/>
      <c r="V270" s="72"/>
      <c r="W270" s="72"/>
      <c r="X270" s="72"/>
      <c r="Y270" s="72"/>
      <c r="Z270" s="72"/>
      <c r="AA270" s="73"/>
      <c r="AB270" s="73"/>
      <c r="AC270" s="73"/>
      <c r="AD270" s="73"/>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row>
    <row r="271" spans="3:54">
      <c r="C271" s="74"/>
      <c r="P271" s="72"/>
      <c r="Q271" s="72"/>
      <c r="R271" s="72"/>
      <c r="S271" s="72"/>
      <c r="T271" s="72"/>
      <c r="U271" s="72"/>
      <c r="V271" s="72"/>
      <c r="W271" s="72"/>
      <c r="X271" s="72"/>
      <c r="Y271" s="72"/>
      <c r="Z271" s="72"/>
      <c r="AA271" s="73"/>
      <c r="AB271" s="73"/>
      <c r="AC271" s="73"/>
      <c r="AD271" s="73"/>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row>
    <row r="272" spans="3:54">
      <c r="C272" s="74"/>
      <c r="P272" s="72"/>
      <c r="Q272" s="72"/>
      <c r="R272" s="72"/>
      <c r="S272" s="72"/>
      <c r="T272" s="72"/>
      <c r="U272" s="72"/>
      <c r="V272" s="72"/>
      <c r="W272" s="72"/>
      <c r="X272" s="72"/>
      <c r="Y272" s="72"/>
      <c r="Z272" s="72"/>
      <c r="AA272" s="73"/>
      <c r="AB272" s="73"/>
      <c r="AC272" s="73"/>
      <c r="AD272" s="73"/>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row>
    <row r="273" spans="3:54">
      <c r="C273" s="74"/>
      <c r="P273" s="72"/>
      <c r="Q273" s="72"/>
      <c r="R273" s="72"/>
      <c r="S273" s="72"/>
      <c r="T273" s="72"/>
      <c r="U273" s="72"/>
      <c r="V273" s="72"/>
      <c r="W273" s="72"/>
      <c r="X273" s="72"/>
      <c r="Y273" s="72"/>
      <c r="Z273" s="72"/>
      <c r="AA273" s="73"/>
      <c r="AB273" s="73"/>
      <c r="AC273" s="73"/>
      <c r="AD273" s="73"/>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row>
    <row r="274" spans="3:54">
      <c r="C274" s="74"/>
      <c r="P274" s="72"/>
      <c r="Q274" s="72"/>
      <c r="R274" s="72"/>
      <c r="S274" s="72"/>
      <c r="T274" s="72"/>
      <c r="U274" s="72"/>
      <c r="V274" s="72"/>
      <c r="W274" s="72"/>
      <c r="X274" s="72"/>
      <c r="Y274" s="72"/>
      <c r="Z274" s="72"/>
      <c r="AA274" s="73"/>
      <c r="AB274" s="73"/>
      <c r="AC274" s="73"/>
      <c r="AD274" s="73"/>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row>
    <row r="275" spans="3:54">
      <c r="C275" s="74"/>
      <c r="P275" s="72"/>
      <c r="Q275" s="72"/>
      <c r="R275" s="72"/>
      <c r="S275" s="72"/>
      <c r="T275" s="72"/>
      <c r="U275" s="72"/>
      <c r="V275" s="72"/>
      <c r="W275" s="72"/>
      <c r="X275" s="72"/>
      <c r="Y275" s="72"/>
      <c r="Z275" s="72"/>
      <c r="AA275" s="73"/>
      <c r="AB275" s="73"/>
      <c r="AC275" s="73"/>
      <c r="AD275" s="73"/>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row>
    <row r="276" spans="3:54">
      <c r="C276" s="74"/>
      <c r="P276" s="72"/>
      <c r="Q276" s="72"/>
      <c r="R276" s="72"/>
      <c r="S276" s="72"/>
      <c r="T276" s="72"/>
      <c r="U276" s="72"/>
      <c r="V276" s="72"/>
      <c r="W276" s="72"/>
      <c r="X276" s="72"/>
      <c r="Y276" s="72"/>
      <c r="Z276" s="72"/>
      <c r="AA276" s="73"/>
      <c r="AB276" s="73"/>
      <c r="AC276" s="73"/>
      <c r="AD276" s="73"/>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row>
    <row r="277" spans="3:54">
      <c r="C277" s="74"/>
      <c r="P277" s="72"/>
      <c r="Q277" s="72"/>
      <c r="R277" s="72"/>
      <c r="S277" s="72"/>
      <c r="T277" s="72"/>
      <c r="U277" s="72"/>
      <c r="V277" s="72"/>
      <c r="W277" s="72"/>
      <c r="X277" s="72"/>
      <c r="Y277" s="72"/>
      <c r="Z277" s="72"/>
      <c r="AA277" s="73"/>
      <c r="AB277" s="73"/>
      <c r="AC277" s="73"/>
      <c r="AD277" s="73"/>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row>
    <row r="278" spans="3:54">
      <c r="C278" s="74"/>
      <c r="P278" s="72"/>
      <c r="Q278" s="72"/>
      <c r="R278" s="72"/>
      <c r="S278" s="72"/>
      <c r="T278" s="72"/>
      <c r="U278" s="72"/>
      <c r="V278" s="72"/>
      <c r="W278" s="72"/>
      <c r="X278" s="72"/>
      <c r="Y278" s="72"/>
      <c r="Z278" s="72"/>
      <c r="AA278" s="73"/>
      <c r="AB278" s="73"/>
      <c r="AC278" s="73"/>
      <c r="AD278" s="73"/>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row>
    <row r="279" spans="3:54">
      <c r="C279" s="74"/>
      <c r="P279" s="72"/>
      <c r="Q279" s="72"/>
      <c r="R279" s="72"/>
      <c r="S279" s="72"/>
      <c r="T279" s="72"/>
      <c r="U279" s="72"/>
      <c r="V279" s="72"/>
      <c r="W279" s="72"/>
      <c r="X279" s="72"/>
      <c r="Y279" s="72"/>
      <c r="Z279" s="72"/>
      <c r="AA279" s="73"/>
      <c r="AB279" s="73"/>
      <c r="AC279" s="73"/>
      <c r="AD279" s="73"/>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row>
    <row r="280" spans="3:54">
      <c r="C280" s="74"/>
      <c r="P280" s="72"/>
      <c r="Q280" s="72"/>
      <c r="R280" s="72"/>
      <c r="S280" s="72"/>
      <c r="T280" s="72"/>
      <c r="U280" s="72"/>
      <c r="V280" s="72"/>
      <c r="W280" s="72"/>
      <c r="X280" s="72"/>
      <c r="Y280" s="72"/>
      <c r="Z280" s="72"/>
      <c r="AA280" s="73"/>
      <c r="AB280" s="73"/>
      <c r="AC280" s="73"/>
      <c r="AD280" s="73"/>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row>
    <row r="281" spans="3:54">
      <c r="C281" s="74"/>
      <c r="P281" s="72"/>
      <c r="Q281" s="72"/>
      <c r="R281" s="72"/>
      <c r="S281" s="72"/>
      <c r="T281" s="72"/>
      <c r="U281" s="72"/>
      <c r="V281" s="72"/>
      <c r="W281" s="72"/>
      <c r="X281" s="72"/>
      <c r="Y281" s="72"/>
      <c r="Z281" s="72"/>
      <c r="AA281" s="73"/>
      <c r="AB281" s="73"/>
      <c r="AC281" s="73"/>
      <c r="AD281" s="73"/>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row>
    <row r="282" spans="3:54">
      <c r="C282" s="74"/>
      <c r="P282" s="72"/>
      <c r="Q282" s="72"/>
      <c r="R282" s="72"/>
      <c r="S282" s="72"/>
      <c r="T282" s="72"/>
      <c r="U282" s="72"/>
      <c r="V282" s="72"/>
      <c r="W282" s="72"/>
      <c r="X282" s="72"/>
      <c r="Y282" s="72"/>
      <c r="Z282" s="72"/>
      <c r="AA282" s="73"/>
      <c r="AB282" s="73"/>
      <c r="AC282" s="73"/>
      <c r="AD282" s="73"/>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row>
    <row r="283" spans="3:54">
      <c r="C283" s="74"/>
      <c r="P283" s="72"/>
      <c r="Q283" s="72"/>
      <c r="R283" s="72"/>
      <c r="S283" s="72"/>
      <c r="T283" s="72"/>
      <c r="U283" s="72"/>
      <c r="V283" s="72"/>
      <c r="W283" s="72"/>
      <c r="X283" s="72"/>
      <c r="Y283" s="72"/>
      <c r="Z283" s="72"/>
      <c r="AA283" s="73"/>
      <c r="AB283" s="73"/>
      <c r="AC283" s="73"/>
      <c r="AD283" s="73"/>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row>
    <row r="284" spans="3:54">
      <c r="C284" s="74"/>
      <c r="P284" s="72"/>
      <c r="Q284" s="72"/>
      <c r="R284" s="72"/>
      <c r="S284" s="72"/>
      <c r="T284" s="72"/>
      <c r="U284" s="72"/>
      <c r="V284" s="72"/>
      <c r="W284" s="72"/>
      <c r="X284" s="72"/>
      <c r="Y284" s="72"/>
      <c r="Z284" s="72"/>
      <c r="AA284" s="73"/>
      <c r="AB284" s="73"/>
      <c r="AC284" s="73"/>
      <c r="AD284" s="73"/>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row>
    <row r="285" spans="3:54">
      <c r="C285" s="74"/>
      <c r="P285" s="72"/>
      <c r="Q285" s="72"/>
      <c r="R285" s="72"/>
      <c r="S285" s="72"/>
      <c r="T285" s="72"/>
      <c r="U285" s="72"/>
      <c r="V285" s="72"/>
      <c r="W285" s="72"/>
      <c r="X285" s="72"/>
      <c r="Y285" s="72"/>
      <c r="Z285" s="72"/>
      <c r="AA285" s="73"/>
      <c r="AB285" s="73"/>
      <c r="AC285" s="73"/>
      <c r="AD285" s="73"/>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row>
    <row r="286" spans="3:54">
      <c r="C286" s="74"/>
      <c r="P286" s="72"/>
      <c r="Q286" s="72"/>
      <c r="R286" s="72"/>
      <c r="S286" s="72"/>
      <c r="T286" s="72"/>
      <c r="U286" s="72"/>
      <c r="V286" s="72"/>
      <c r="W286" s="72"/>
      <c r="X286" s="72"/>
      <c r="Y286" s="72"/>
      <c r="Z286" s="72"/>
      <c r="AA286" s="73"/>
      <c r="AB286" s="73"/>
      <c r="AC286" s="73"/>
      <c r="AD286" s="73"/>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row>
    <row r="287" spans="3:54">
      <c r="C287" s="74"/>
      <c r="P287" s="72"/>
      <c r="Q287" s="72"/>
      <c r="R287" s="72"/>
      <c r="S287" s="72"/>
      <c r="T287" s="72"/>
      <c r="U287" s="72"/>
      <c r="V287" s="72"/>
      <c r="W287" s="72"/>
      <c r="X287" s="72"/>
      <c r="Y287" s="72"/>
      <c r="Z287" s="72"/>
      <c r="AA287" s="73"/>
      <c r="AB287" s="73"/>
      <c r="AC287" s="73"/>
      <c r="AD287" s="73"/>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row>
    <row r="288" spans="3:54">
      <c r="C288" s="74"/>
      <c r="P288" s="72"/>
      <c r="Q288" s="72"/>
      <c r="R288" s="72"/>
      <c r="S288" s="72"/>
      <c r="T288" s="72"/>
      <c r="U288" s="72"/>
      <c r="V288" s="72"/>
      <c r="W288" s="72"/>
      <c r="X288" s="72"/>
      <c r="Y288" s="72"/>
      <c r="Z288" s="72"/>
      <c r="AA288" s="73"/>
      <c r="AB288" s="73"/>
      <c r="AC288" s="73"/>
      <c r="AD288" s="73"/>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row>
    <row r="289" spans="3:58">
      <c r="C289" s="74"/>
      <c r="P289" s="72"/>
      <c r="Q289" s="72"/>
      <c r="R289" s="72"/>
      <c r="S289" s="72"/>
      <c r="T289" s="72"/>
      <c r="U289" s="72"/>
      <c r="V289" s="72"/>
      <c r="W289" s="72"/>
      <c r="X289" s="72"/>
      <c r="Y289" s="72"/>
      <c r="Z289" s="72"/>
      <c r="AA289" s="73"/>
      <c r="AB289" s="73"/>
      <c r="AC289" s="73"/>
      <c r="AD289" s="73"/>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row>
    <row r="290" spans="3:58">
      <c r="C290" s="74"/>
      <c r="P290" s="72"/>
      <c r="Q290" s="72"/>
      <c r="R290" s="72"/>
      <c r="S290" s="72"/>
      <c r="T290" s="72"/>
      <c r="U290" s="72"/>
      <c r="V290" s="72"/>
      <c r="W290" s="72"/>
      <c r="X290" s="72"/>
      <c r="Y290" s="72"/>
      <c r="Z290" s="72"/>
      <c r="AA290" s="73"/>
      <c r="AB290" s="73"/>
      <c r="AC290" s="73"/>
      <c r="AD290" s="73"/>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row>
    <row r="291" spans="3:58">
      <c r="C291" s="74"/>
      <c r="P291" s="72"/>
      <c r="Q291" s="72"/>
      <c r="R291" s="72"/>
      <c r="S291" s="72"/>
      <c r="T291" s="72"/>
      <c r="U291" s="72"/>
      <c r="V291" s="72"/>
      <c r="W291" s="72"/>
      <c r="X291" s="72"/>
      <c r="Y291" s="72"/>
      <c r="Z291" s="72"/>
      <c r="AA291" s="73"/>
      <c r="AB291" s="73"/>
      <c r="AC291" s="73"/>
      <c r="AD291" s="73"/>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row>
    <row r="292" spans="3:58">
      <c r="C292" s="74"/>
      <c r="P292" s="72"/>
      <c r="Q292" s="72"/>
      <c r="R292" s="72"/>
      <c r="S292" s="72"/>
      <c r="T292" s="72"/>
      <c r="U292" s="72"/>
      <c r="V292" s="72"/>
      <c r="W292" s="72"/>
      <c r="X292" s="72"/>
      <c r="Y292" s="72"/>
      <c r="Z292" s="72"/>
      <c r="AA292" s="73"/>
      <c r="AB292" s="73"/>
      <c r="AC292" s="73"/>
      <c r="AD292" s="73"/>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row>
    <row r="293" spans="3:58">
      <c r="C293" s="74"/>
      <c r="P293" s="72"/>
      <c r="Q293" s="72"/>
      <c r="R293" s="72"/>
      <c r="S293" s="72"/>
      <c r="T293" s="72"/>
      <c r="U293" s="72"/>
      <c r="V293" s="72"/>
      <c r="W293" s="72"/>
      <c r="X293" s="72"/>
      <c r="Y293" s="72"/>
      <c r="Z293" s="72"/>
      <c r="AA293" s="73"/>
      <c r="AB293" s="73"/>
      <c r="AC293" s="73"/>
      <c r="AD293" s="73"/>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row>
    <row r="294" spans="3:58">
      <c r="C294" s="74"/>
      <c r="P294" s="72"/>
      <c r="Q294" s="72"/>
      <c r="R294" s="72"/>
      <c r="S294" s="72"/>
      <c r="T294" s="72"/>
      <c r="U294" s="72"/>
      <c r="V294" s="72"/>
      <c r="W294" s="72"/>
      <c r="X294" s="72"/>
      <c r="Y294" s="72"/>
      <c r="Z294" s="72"/>
      <c r="AA294" s="73"/>
      <c r="AB294" s="73"/>
      <c r="AC294" s="73"/>
      <c r="AD294" s="73"/>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row>
    <row r="295" spans="3:58">
      <c r="C295" s="74"/>
      <c r="P295" s="72"/>
      <c r="Q295" s="72"/>
      <c r="R295" s="72"/>
      <c r="S295" s="72"/>
      <c r="T295" s="72"/>
      <c r="U295" s="72"/>
      <c r="V295" s="72"/>
      <c r="W295" s="72"/>
      <c r="X295" s="72"/>
      <c r="Y295" s="72"/>
      <c r="Z295" s="72"/>
      <c r="AA295" s="73"/>
      <c r="AB295" s="73"/>
      <c r="AC295" s="73"/>
      <c r="AD295" s="73"/>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row>
    <row r="296" spans="3:58">
      <c r="C296" s="74"/>
      <c r="P296" s="72"/>
      <c r="Q296" s="72"/>
      <c r="R296" s="72"/>
      <c r="S296" s="72"/>
      <c r="T296" s="72"/>
      <c r="U296" s="72"/>
      <c r="V296" s="72"/>
      <c r="W296" s="72"/>
      <c r="X296" s="72"/>
      <c r="Y296" s="72"/>
      <c r="Z296" s="72"/>
      <c r="AA296" s="73"/>
      <c r="AB296" s="73"/>
      <c r="AC296" s="73"/>
      <c r="AD296" s="73"/>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row>
    <row r="297" spans="3:58">
      <c r="C297" s="74"/>
      <c r="P297" s="72"/>
      <c r="Q297" s="72"/>
      <c r="R297" s="72"/>
      <c r="S297" s="72"/>
      <c r="T297" s="72"/>
      <c r="U297" s="72"/>
      <c r="V297" s="72"/>
      <c r="W297" s="72"/>
      <c r="X297" s="72"/>
      <c r="Y297" s="72"/>
      <c r="Z297" s="72"/>
      <c r="AA297" s="73"/>
      <c r="AB297" s="73"/>
      <c r="AC297" s="73"/>
      <c r="AD297" s="73"/>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row>
    <row r="298" spans="3:58">
      <c r="C298" s="74"/>
      <c r="P298" s="72"/>
      <c r="Q298" s="72"/>
      <c r="R298" s="72"/>
      <c r="S298" s="72"/>
      <c r="T298" s="72"/>
      <c r="U298" s="72"/>
      <c r="V298" s="72"/>
      <c r="W298" s="72"/>
      <c r="X298" s="72"/>
      <c r="Y298" s="72"/>
      <c r="Z298" s="72"/>
      <c r="AA298" s="73"/>
      <c r="AB298" s="73"/>
      <c r="AC298" s="73"/>
      <c r="AD298" s="73"/>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row>
    <row r="299" spans="3:58">
      <c r="C299" s="74"/>
      <c r="Q299" s="72"/>
      <c r="R299" s="72"/>
      <c r="S299" s="72"/>
      <c r="T299" s="72"/>
      <c r="U299" s="72"/>
      <c r="V299" s="72"/>
      <c r="W299" s="72"/>
      <c r="X299" s="72"/>
      <c r="Y299" s="72"/>
      <c r="Z299" s="72"/>
      <c r="AA299" s="72"/>
      <c r="AB299" s="73"/>
      <c r="AC299" s="73"/>
      <c r="AD299" s="73"/>
      <c r="AE299" s="73"/>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row>
    <row r="300" spans="3:58">
      <c r="C300" s="74"/>
      <c r="Q300" s="72"/>
      <c r="R300" s="72"/>
      <c r="S300" s="72"/>
      <c r="T300" s="72"/>
      <c r="U300" s="72"/>
      <c r="V300" s="72"/>
      <c r="W300" s="72"/>
      <c r="X300" s="72"/>
      <c r="Y300" s="72"/>
      <c r="Z300" s="72"/>
      <c r="AA300" s="72"/>
      <c r="AB300" s="73"/>
      <c r="AC300" s="73"/>
      <c r="AD300" s="73"/>
      <c r="AE300" s="73"/>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row>
    <row r="301" spans="3:58">
      <c r="C301" s="74"/>
      <c r="Q301" s="72"/>
      <c r="R301" s="72"/>
      <c r="S301" s="72"/>
      <c r="T301" s="72"/>
      <c r="U301" s="72"/>
      <c r="V301" s="72"/>
      <c r="W301" s="72"/>
      <c r="X301" s="72"/>
      <c r="Y301" s="72"/>
      <c r="Z301" s="72"/>
      <c r="AA301" s="72"/>
      <c r="AB301" s="73"/>
      <c r="AC301" s="73"/>
      <c r="AD301" s="73"/>
      <c r="AE301" s="73"/>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row>
    <row r="302" spans="3:58">
      <c r="C302" s="74"/>
      <c r="Q302" s="72"/>
      <c r="R302" s="72"/>
      <c r="S302" s="72"/>
      <c r="T302" s="72"/>
      <c r="U302" s="72"/>
      <c r="V302" s="72"/>
      <c r="W302" s="72"/>
      <c r="X302" s="72"/>
      <c r="Y302" s="72"/>
      <c r="Z302" s="72"/>
      <c r="AA302" s="72"/>
      <c r="AB302" s="73"/>
      <c r="AC302" s="73"/>
      <c r="AD302" s="73"/>
      <c r="AE302" s="73"/>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c r="BC302" s="72"/>
      <c r="BD302" s="72"/>
      <c r="BE302" s="72"/>
      <c r="BF302" s="72"/>
    </row>
    <row r="303" spans="3:58">
      <c r="C303" s="74"/>
      <c r="Q303" s="72"/>
      <c r="R303" s="72"/>
      <c r="S303" s="72"/>
      <c r="T303" s="72"/>
      <c r="U303" s="72"/>
      <c r="V303" s="72"/>
      <c r="W303" s="72"/>
      <c r="X303" s="72"/>
      <c r="Y303" s="72"/>
      <c r="Z303" s="72"/>
      <c r="AA303" s="72"/>
      <c r="AB303" s="73"/>
      <c r="AC303" s="73"/>
      <c r="AD303" s="73"/>
      <c r="AE303" s="73"/>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row>
    <row r="304" spans="3:58">
      <c r="C304" s="74"/>
      <c r="Q304" s="72"/>
      <c r="R304" s="72"/>
      <c r="S304" s="72"/>
      <c r="T304" s="72"/>
      <c r="U304" s="72"/>
      <c r="V304" s="72"/>
      <c r="W304" s="72"/>
      <c r="X304" s="72"/>
      <c r="Y304" s="72"/>
      <c r="Z304" s="72"/>
      <c r="AA304" s="72"/>
      <c r="AB304" s="73"/>
      <c r="AC304" s="73"/>
      <c r="AD304" s="73"/>
      <c r="AE304" s="73"/>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row>
    <row r="305" spans="3:58">
      <c r="C305" s="74"/>
      <c r="Q305" s="72"/>
      <c r="R305" s="72"/>
      <c r="S305" s="72"/>
      <c r="T305" s="72"/>
      <c r="U305" s="72"/>
      <c r="V305" s="72"/>
      <c r="W305" s="72"/>
      <c r="X305" s="72"/>
      <c r="Y305" s="72"/>
      <c r="Z305" s="72"/>
      <c r="AA305" s="72"/>
      <c r="AB305" s="73"/>
      <c r="AC305" s="73"/>
      <c r="AD305" s="73"/>
      <c r="AE305" s="73"/>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c r="BC305" s="72"/>
      <c r="BD305" s="72"/>
      <c r="BE305" s="72"/>
      <c r="BF305" s="72"/>
    </row>
    <row r="306" spans="3:58">
      <c r="C306" s="74"/>
      <c r="Q306" s="72"/>
      <c r="R306" s="72"/>
      <c r="S306" s="72"/>
      <c r="T306" s="72"/>
      <c r="U306" s="72"/>
      <c r="V306" s="72"/>
      <c r="W306" s="72"/>
      <c r="X306" s="72"/>
      <c r="Y306" s="72"/>
      <c r="Z306" s="72"/>
      <c r="AA306" s="72"/>
      <c r="AB306" s="73"/>
      <c r="AC306" s="73"/>
      <c r="AD306" s="73"/>
      <c r="AE306" s="73"/>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row>
    <row r="307" spans="3:58">
      <c r="C307" s="74"/>
      <c r="Q307" s="72"/>
      <c r="R307" s="72"/>
      <c r="S307" s="72"/>
      <c r="T307" s="72"/>
      <c r="U307" s="72"/>
      <c r="V307" s="72"/>
      <c r="W307" s="72"/>
      <c r="X307" s="72"/>
      <c r="Y307" s="72"/>
      <c r="Z307" s="72"/>
      <c r="AA307" s="72"/>
      <c r="AB307" s="73"/>
      <c r="AC307" s="73"/>
      <c r="AD307" s="73"/>
      <c r="AE307" s="73"/>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row>
    <row r="308" spans="3:58">
      <c r="C308" s="74"/>
      <c r="Q308" s="72"/>
      <c r="R308" s="72"/>
      <c r="S308" s="72"/>
      <c r="T308" s="72"/>
      <c r="U308" s="72"/>
      <c r="V308" s="72"/>
      <c r="W308" s="72"/>
      <c r="X308" s="72"/>
      <c r="Y308" s="72"/>
      <c r="Z308" s="72"/>
      <c r="AA308" s="72"/>
      <c r="AB308" s="73"/>
      <c r="AC308" s="73"/>
      <c r="AD308" s="73"/>
      <c r="AE308" s="73"/>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row>
    <row r="309" spans="3:58">
      <c r="C309" s="74"/>
      <c r="Q309" s="72"/>
      <c r="R309" s="72"/>
      <c r="S309" s="72"/>
      <c r="T309" s="72"/>
      <c r="U309" s="72"/>
      <c r="V309" s="72"/>
      <c r="W309" s="72"/>
      <c r="X309" s="72"/>
      <c r="Y309" s="72"/>
      <c r="Z309" s="72"/>
      <c r="AA309" s="72"/>
      <c r="AB309" s="73"/>
      <c r="AC309" s="73"/>
      <c r="AD309" s="73"/>
      <c r="AE309" s="73"/>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row>
    <row r="310" spans="3:58">
      <c r="C310" s="74"/>
      <c r="Q310" s="72"/>
      <c r="R310" s="72"/>
      <c r="S310" s="72"/>
      <c r="T310" s="72"/>
      <c r="U310" s="72"/>
      <c r="V310" s="72"/>
      <c r="W310" s="72"/>
      <c r="X310" s="72"/>
      <c r="Y310" s="72"/>
      <c r="Z310" s="72"/>
      <c r="AA310" s="72"/>
      <c r="AB310" s="73"/>
      <c r="AC310" s="73"/>
      <c r="AD310" s="73"/>
      <c r="AE310" s="73"/>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row>
    <row r="311" spans="3:58">
      <c r="C311" s="74"/>
      <c r="Q311" s="72"/>
      <c r="R311" s="72"/>
      <c r="S311" s="72"/>
      <c r="T311" s="72"/>
      <c r="U311" s="72"/>
      <c r="V311" s="72"/>
      <c r="W311" s="72"/>
      <c r="X311" s="72"/>
      <c r="Y311" s="72"/>
      <c r="Z311" s="72"/>
      <c r="AA311" s="72"/>
      <c r="AB311" s="73"/>
      <c r="AC311" s="73"/>
      <c r="AD311" s="73"/>
      <c r="AE311" s="73"/>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row>
    <row r="312" spans="3:58">
      <c r="C312" s="74"/>
      <c r="Q312" s="72"/>
      <c r="R312" s="72"/>
      <c r="S312" s="72"/>
      <c r="T312" s="72"/>
      <c r="U312" s="72"/>
      <c r="V312" s="72"/>
      <c r="W312" s="72"/>
      <c r="X312" s="72"/>
      <c r="Y312" s="72"/>
      <c r="Z312" s="72"/>
      <c r="AA312" s="72"/>
      <c r="AB312" s="73"/>
      <c r="AC312" s="73"/>
      <c r="AD312" s="73"/>
      <c r="AE312" s="73"/>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row>
    <row r="313" spans="3:58">
      <c r="C313" s="74"/>
      <c r="Q313" s="72"/>
      <c r="R313" s="72"/>
      <c r="S313" s="72"/>
      <c r="T313" s="72"/>
      <c r="U313" s="72"/>
      <c r="V313" s="72"/>
      <c r="W313" s="72"/>
      <c r="X313" s="72"/>
      <c r="Y313" s="72"/>
      <c r="Z313" s="72"/>
      <c r="AA313" s="72"/>
      <c r="AB313" s="73"/>
      <c r="AC313" s="73"/>
      <c r="AD313" s="73"/>
      <c r="AE313" s="73"/>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row>
    <row r="314" spans="3:58">
      <c r="C314" s="74"/>
      <c r="Q314" s="72"/>
      <c r="R314" s="72"/>
      <c r="S314" s="72"/>
      <c r="T314" s="72"/>
      <c r="U314" s="72"/>
      <c r="V314" s="72"/>
      <c r="W314" s="72"/>
      <c r="X314" s="72"/>
      <c r="Y314" s="72"/>
      <c r="Z314" s="72"/>
      <c r="AA314" s="72"/>
      <c r="AB314" s="73"/>
      <c r="AC314" s="73"/>
      <c r="AD314" s="73"/>
      <c r="AE314" s="73"/>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row>
    <row r="315" spans="3:58">
      <c r="C315" s="74"/>
      <c r="Q315" s="72"/>
      <c r="R315" s="72"/>
      <c r="S315" s="72"/>
      <c r="T315" s="72"/>
      <c r="U315" s="72"/>
      <c r="V315" s="72"/>
      <c r="W315" s="72"/>
      <c r="X315" s="72"/>
      <c r="Y315" s="72"/>
      <c r="Z315" s="72"/>
      <c r="AA315" s="72"/>
      <c r="AB315" s="73"/>
      <c r="AC315" s="73"/>
      <c r="AD315" s="73"/>
      <c r="AE315" s="73"/>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row>
    <row r="316" spans="3:58">
      <c r="C316" s="74"/>
      <c r="Q316" s="72"/>
      <c r="R316" s="72"/>
      <c r="S316" s="72"/>
      <c r="T316" s="72"/>
      <c r="U316" s="72"/>
      <c r="V316" s="72"/>
      <c r="W316" s="72"/>
      <c r="X316" s="72"/>
      <c r="Y316" s="72"/>
      <c r="Z316" s="72"/>
      <c r="AA316" s="72"/>
      <c r="AB316" s="73"/>
      <c r="AC316" s="73"/>
      <c r="AD316" s="73"/>
      <c r="AE316" s="73"/>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row>
    <row r="317" spans="3:58">
      <c r="C317" s="74"/>
      <c r="Q317" s="72"/>
      <c r="R317" s="72"/>
      <c r="S317" s="72"/>
      <c r="T317" s="72"/>
      <c r="U317" s="72"/>
      <c r="V317" s="72"/>
      <c r="W317" s="72"/>
      <c r="X317" s="72"/>
      <c r="Y317" s="72"/>
      <c r="Z317" s="72"/>
      <c r="AA317" s="72"/>
      <c r="AB317" s="73"/>
      <c r="AC317" s="73"/>
      <c r="AD317" s="73"/>
      <c r="AE317" s="73"/>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row>
    <row r="318" spans="3:58">
      <c r="C318" s="74"/>
      <c r="Q318" s="72"/>
      <c r="R318" s="72"/>
      <c r="S318" s="72"/>
      <c r="T318" s="72"/>
      <c r="U318" s="72"/>
      <c r="V318" s="72"/>
      <c r="W318" s="72"/>
      <c r="X318" s="72"/>
      <c r="Y318" s="72"/>
      <c r="Z318" s="72"/>
      <c r="AA318" s="72"/>
      <c r="AB318" s="73"/>
      <c r="AC318" s="73"/>
      <c r="AD318" s="73"/>
      <c r="AE318" s="73"/>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row>
    <row r="319" spans="3:58">
      <c r="C319" s="74"/>
      <c r="Q319" s="72"/>
      <c r="R319" s="72"/>
      <c r="S319" s="72"/>
      <c r="T319" s="72"/>
      <c r="U319" s="72"/>
      <c r="V319" s="72"/>
      <c r="W319" s="72"/>
      <c r="X319" s="72"/>
      <c r="Y319" s="72"/>
      <c r="Z319" s="72"/>
      <c r="AA319" s="72"/>
      <c r="AB319" s="73"/>
      <c r="AC319" s="73"/>
      <c r="AD319" s="73"/>
      <c r="AE319" s="73"/>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row>
    <row r="320" spans="3:58">
      <c r="C320" s="74"/>
      <c r="Q320" s="72"/>
      <c r="R320" s="72"/>
      <c r="S320" s="72"/>
      <c r="T320" s="72"/>
      <c r="U320" s="72"/>
      <c r="V320" s="72"/>
      <c r="W320" s="72"/>
      <c r="X320" s="72"/>
      <c r="Y320" s="72"/>
      <c r="Z320" s="72"/>
      <c r="AA320" s="72"/>
      <c r="AB320" s="73"/>
      <c r="AC320" s="73"/>
      <c r="AD320" s="73"/>
      <c r="AE320" s="73"/>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row>
    <row r="321" spans="3:58">
      <c r="C321" s="74"/>
      <c r="Q321" s="72"/>
      <c r="R321" s="72"/>
      <c r="S321" s="72"/>
      <c r="T321" s="72"/>
      <c r="U321" s="72"/>
      <c r="V321" s="72"/>
      <c r="W321" s="72"/>
      <c r="X321" s="72"/>
      <c r="Y321" s="72"/>
      <c r="Z321" s="72"/>
      <c r="AA321" s="72"/>
      <c r="AB321" s="73"/>
      <c r="AC321" s="73"/>
      <c r="AD321" s="73"/>
      <c r="AE321" s="73"/>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row>
    <row r="322" spans="3:58">
      <c r="C322" s="74"/>
      <c r="Q322" s="72"/>
      <c r="R322" s="72"/>
      <c r="S322" s="72"/>
      <c r="T322" s="72"/>
      <c r="U322" s="72"/>
      <c r="V322" s="72"/>
      <c r="W322" s="72"/>
      <c r="X322" s="72"/>
      <c r="Y322" s="72"/>
      <c r="Z322" s="72"/>
      <c r="AA322" s="72"/>
      <c r="AB322" s="73"/>
      <c r="AC322" s="73"/>
      <c r="AD322" s="73"/>
      <c r="AE322" s="73"/>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row>
    <row r="323" spans="3:58">
      <c r="C323" s="74"/>
      <c r="Q323" s="72"/>
      <c r="R323" s="72"/>
      <c r="S323" s="72"/>
      <c r="T323" s="72"/>
      <c r="U323" s="72"/>
      <c r="V323" s="72"/>
      <c r="W323" s="72"/>
      <c r="X323" s="72"/>
      <c r="Y323" s="72"/>
      <c r="Z323" s="72"/>
      <c r="AA323" s="72"/>
      <c r="AB323" s="73"/>
      <c r="AC323" s="73"/>
      <c r="AD323" s="73"/>
      <c r="AE323" s="73"/>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row>
    <row r="324" spans="3:58">
      <c r="C324" s="74"/>
      <c r="Q324" s="72"/>
      <c r="R324" s="72"/>
      <c r="S324" s="72"/>
      <c r="T324" s="72"/>
      <c r="U324" s="72"/>
      <c r="V324" s="72"/>
      <c r="W324" s="72"/>
      <c r="X324" s="72"/>
      <c r="Y324" s="72"/>
      <c r="Z324" s="72"/>
      <c r="AA324" s="72"/>
      <c r="AB324" s="73"/>
      <c r="AC324" s="73"/>
      <c r="AD324" s="73"/>
      <c r="AE324" s="73"/>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row>
    <row r="325" spans="3:58">
      <c r="C325" s="74"/>
      <c r="Q325" s="72"/>
      <c r="R325" s="72"/>
      <c r="S325" s="72"/>
      <c r="T325" s="72"/>
      <c r="U325" s="72"/>
      <c r="V325" s="72"/>
      <c r="W325" s="72"/>
      <c r="X325" s="72"/>
      <c r="Y325" s="72"/>
      <c r="Z325" s="72"/>
      <c r="AA325" s="72"/>
      <c r="AB325" s="73"/>
      <c r="AC325" s="73"/>
      <c r="AD325" s="73"/>
      <c r="AE325" s="73"/>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row>
    <row r="326" spans="3:58">
      <c r="C326" s="74"/>
      <c r="Q326" s="72"/>
      <c r="R326" s="72"/>
      <c r="S326" s="72"/>
      <c r="T326" s="72"/>
      <c r="U326" s="72"/>
      <c r="V326" s="72"/>
      <c r="W326" s="72"/>
      <c r="X326" s="72"/>
      <c r="Y326" s="72"/>
      <c r="Z326" s="72"/>
      <c r="AA326" s="72"/>
      <c r="AB326" s="73"/>
      <c r="AC326" s="73"/>
      <c r="AD326" s="73"/>
      <c r="AE326" s="73"/>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c r="BC326" s="72"/>
      <c r="BD326" s="72"/>
      <c r="BE326" s="72"/>
      <c r="BF326" s="72"/>
    </row>
    <row r="327" spans="3:58">
      <c r="C327" s="74"/>
      <c r="Q327" s="72"/>
      <c r="R327" s="72"/>
      <c r="S327" s="72"/>
      <c r="T327" s="72"/>
      <c r="U327" s="72"/>
      <c r="V327" s="72"/>
      <c r="W327" s="72"/>
      <c r="X327" s="72"/>
      <c r="Y327" s="72"/>
      <c r="Z327" s="72"/>
      <c r="AA327" s="72"/>
      <c r="AB327" s="73"/>
      <c r="AC327" s="73"/>
      <c r="AD327" s="73"/>
      <c r="AE327" s="73"/>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c r="BC327" s="72"/>
      <c r="BD327" s="72"/>
      <c r="BE327" s="72"/>
      <c r="BF327" s="72"/>
    </row>
    <row r="328" spans="3:58">
      <c r="C328" s="74"/>
      <c r="Q328" s="72"/>
      <c r="R328" s="72"/>
      <c r="S328" s="72"/>
      <c r="T328" s="72"/>
      <c r="U328" s="72"/>
      <c r="V328" s="72"/>
      <c r="W328" s="72"/>
      <c r="X328" s="72"/>
      <c r="Y328" s="72"/>
      <c r="Z328" s="72"/>
      <c r="AA328" s="72"/>
      <c r="AB328" s="73"/>
      <c r="AC328" s="73"/>
      <c r="AD328" s="73"/>
      <c r="AE328" s="73"/>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c r="BC328" s="72"/>
      <c r="BD328" s="72"/>
      <c r="BE328" s="72"/>
      <c r="BF328" s="72"/>
    </row>
    <row r="329" spans="3:58">
      <c r="C329" s="74"/>
      <c r="Q329" s="72"/>
      <c r="R329" s="72"/>
      <c r="S329" s="72"/>
      <c r="T329" s="72"/>
      <c r="U329" s="72"/>
      <c r="V329" s="72"/>
      <c r="W329" s="72"/>
      <c r="X329" s="72"/>
      <c r="Y329" s="72"/>
      <c r="Z329" s="72"/>
      <c r="AA329" s="72"/>
      <c r="AB329" s="73"/>
      <c r="AC329" s="73"/>
      <c r="AD329" s="73"/>
      <c r="AE329" s="73"/>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c r="BC329" s="72"/>
      <c r="BD329" s="72"/>
      <c r="BE329" s="72"/>
      <c r="BF329" s="72"/>
    </row>
    <row r="330" spans="3:58">
      <c r="C330" s="74"/>
      <c r="Q330" s="72"/>
      <c r="R330" s="72"/>
      <c r="S330" s="72"/>
      <c r="T330" s="72"/>
      <c r="U330" s="72"/>
      <c r="V330" s="72"/>
      <c r="W330" s="72"/>
      <c r="X330" s="72"/>
      <c r="Y330" s="72"/>
      <c r="Z330" s="72"/>
      <c r="AA330" s="72"/>
      <c r="AB330" s="73"/>
      <c r="AC330" s="73"/>
      <c r="AD330" s="73"/>
      <c r="AE330" s="73"/>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c r="BC330" s="72"/>
      <c r="BD330" s="72"/>
      <c r="BE330" s="72"/>
      <c r="BF330" s="72"/>
    </row>
    <row r="331" spans="3:58">
      <c r="C331" s="74"/>
      <c r="Q331" s="72"/>
      <c r="R331" s="72"/>
      <c r="S331" s="72"/>
      <c r="T331" s="72"/>
      <c r="U331" s="72"/>
      <c r="V331" s="72"/>
      <c r="W331" s="72"/>
      <c r="X331" s="72"/>
      <c r="Y331" s="72"/>
      <c r="Z331" s="72"/>
      <c r="AA331" s="72"/>
      <c r="AB331" s="73"/>
      <c r="AC331" s="73"/>
      <c r="AD331" s="73"/>
      <c r="AE331" s="73"/>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row>
    <row r="332" spans="3:58">
      <c r="C332" s="74"/>
      <c r="Q332" s="72"/>
      <c r="R332" s="72"/>
      <c r="S332" s="72"/>
      <c r="T332" s="72"/>
      <c r="U332" s="72"/>
      <c r="V332" s="72"/>
      <c r="W332" s="72"/>
      <c r="X332" s="72"/>
      <c r="Y332" s="72"/>
      <c r="Z332" s="72"/>
      <c r="AA332" s="72"/>
      <c r="AB332" s="73"/>
      <c r="AC332" s="73"/>
      <c r="AD332" s="73"/>
      <c r="AE332" s="73"/>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row>
    <row r="333" spans="3:58">
      <c r="C333" s="74"/>
      <c r="Q333" s="72"/>
      <c r="R333" s="72"/>
      <c r="S333" s="72"/>
      <c r="T333" s="72"/>
      <c r="U333" s="72"/>
      <c r="V333" s="72"/>
      <c r="W333" s="72"/>
      <c r="X333" s="72"/>
      <c r="Y333" s="72"/>
      <c r="Z333" s="72"/>
      <c r="AA333" s="72"/>
      <c r="AB333" s="73"/>
      <c r="AC333" s="73"/>
      <c r="AD333" s="73"/>
      <c r="AE333" s="73"/>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row>
    <row r="334" spans="3:58">
      <c r="C334" s="74"/>
      <c r="Q334" s="72"/>
      <c r="R334" s="72"/>
      <c r="S334" s="72"/>
      <c r="T334" s="72"/>
      <c r="U334" s="72"/>
      <c r="V334" s="72"/>
      <c r="W334" s="72"/>
      <c r="X334" s="72"/>
      <c r="Y334" s="72"/>
      <c r="Z334" s="72"/>
      <c r="AA334" s="72"/>
      <c r="AB334" s="73"/>
      <c r="AC334" s="73"/>
      <c r="AD334" s="73"/>
      <c r="AE334" s="73"/>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row>
    <row r="335" spans="3:58">
      <c r="C335" s="74"/>
      <c r="Q335" s="72"/>
      <c r="R335" s="72"/>
      <c r="S335" s="72"/>
      <c r="T335" s="72"/>
      <c r="U335" s="72"/>
      <c r="V335" s="72"/>
      <c r="W335" s="72"/>
      <c r="X335" s="72"/>
      <c r="Y335" s="72"/>
      <c r="Z335" s="72"/>
      <c r="AA335" s="72"/>
      <c r="AB335" s="73"/>
      <c r="AC335" s="73"/>
      <c r="AD335" s="73"/>
      <c r="AE335" s="73"/>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c r="BC335" s="72"/>
      <c r="BD335" s="72"/>
      <c r="BE335" s="72"/>
      <c r="BF335" s="72"/>
    </row>
    <row r="336" spans="3:58">
      <c r="C336" s="74"/>
      <c r="Q336" s="72"/>
      <c r="R336" s="72"/>
      <c r="S336" s="72"/>
      <c r="T336" s="72"/>
      <c r="U336" s="72"/>
      <c r="V336" s="72"/>
      <c r="W336" s="72"/>
      <c r="X336" s="72"/>
      <c r="Y336" s="72"/>
      <c r="Z336" s="72"/>
      <c r="AA336" s="72"/>
      <c r="AB336" s="73"/>
      <c r="AC336" s="73"/>
      <c r="AD336" s="73"/>
      <c r="AE336" s="73"/>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c r="BC336" s="72"/>
      <c r="BD336" s="72"/>
      <c r="BE336" s="72"/>
      <c r="BF336" s="72"/>
    </row>
    <row r="337" spans="3:58">
      <c r="C337" s="74"/>
      <c r="Q337" s="72"/>
      <c r="R337" s="72"/>
      <c r="S337" s="72"/>
      <c r="T337" s="72"/>
      <c r="U337" s="72"/>
      <c r="V337" s="72"/>
      <c r="W337" s="72"/>
      <c r="X337" s="72"/>
      <c r="Y337" s="72"/>
      <c r="Z337" s="72"/>
      <c r="AA337" s="72"/>
      <c r="AB337" s="73"/>
      <c r="AC337" s="73"/>
      <c r="AD337" s="73"/>
      <c r="AE337" s="73"/>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c r="BC337" s="72"/>
      <c r="BD337" s="72"/>
      <c r="BE337" s="72"/>
      <c r="BF337" s="72"/>
    </row>
    <row r="338" spans="3:58">
      <c r="C338" s="74"/>
      <c r="Q338" s="72"/>
      <c r="R338" s="72"/>
      <c r="S338" s="72"/>
      <c r="T338" s="72"/>
      <c r="U338" s="72"/>
      <c r="V338" s="72"/>
      <c r="W338" s="72"/>
      <c r="X338" s="72"/>
      <c r="Y338" s="72"/>
      <c r="Z338" s="72"/>
      <c r="AA338" s="72"/>
      <c r="AB338" s="73"/>
      <c r="AC338" s="73"/>
      <c r="AD338" s="73"/>
      <c r="AE338" s="73"/>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row>
    <row r="339" spans="3:58">
      <c r="C339" s="74"/>
      <c r="Q339" s="72"/>
      <c r="R339" s="72"/>
      <c r="S339" s="72"/>
      <c r="T339" s="72"/>
      <c r="U339" s="72"/>
      <c r="V339" s="72"/>
      <c r="W339" s="72"/>
      <c r="X339" s="72"/>
      <c r="Y339" s="72"/>
      <c r="Z339" s="72"/>
      <c r="AA339" s="72"/>
      <c r="AB339" s="73"/>
      <c r="AC339" s="73"/>
      <c r="AD339" s="73"/>
      <c r="AE339" s="73"/>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row>
    <row r="340" spans="3:58">
      <c r="C340" s="74"/>
      <c r="Q340" s="72"/>
      <c r="R340" s="72"/>
      <c r="S340" s="72"/>
      <c r="T340" s="72"/>
      <c r="U340" s="72"/>
      <c r="V340" s="72"/>
      <c r="W340" s="72"/>
      <c r="X340" s="72"/>
      <c r="Y340" s="72"/>
      <c r="Z340" s="72"/>
      <c r="AA340" s="72"/>
      <c r="AB340" s="73"/>
      <c r="AC340" s="73"/>
      <c r="AD340" s="73"/>
      <c r="AE340" s="73"/>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row>
    <row r="341" spans="3:58">
      <c r="C341" s="74"/>
      <c r="Q341" s="72"/>
      <c r="R341" s="72"/>
      <c r="S341" s="72"/>
      <c r="T341" s="72"/>
      <c r="U341" s="72"/>
      <c r="V341" s="72"/>
      <c r="W341" s="72"/>
      <c r="X341" s="72"/>
      <c r="Y341" s="72"/>
      <c r="Z341" s="72"/>
      <c r="AA341" s="72"/>
      <c r="AB341" s="73"/>
      <c r="AC341" s="73"/>
      <c r="AD341" s="73"/>
      <c r="AE341" s="73"/>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row>
    <row r="342" spans="3:58">
      <c r="C342" s="74"/>
      <c r="Q342" s="72"/>
      <c r="R342" s="72"/>
      <c r="S342" s="72"/>
      <c r="T342" s="72"/>
      <c r="U342" s="72"/>
      <c r="V342" s="72"/>
      <c r="W342" s="72"/>
      <c r="X342" s="72"/>
      <c r="Y342" s="72"/>
      <c r="Z342" s="72"/>
      <c r="AA342" s="72"/>
      <c r="AB342" s="73"/>
      <c r="AC342" s="73"/>
      <c r="AD342" s="73"/>
      <c r="AE342" s="73"/>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row>
    <row r="343" spans="3:58">
      <c r="C343" s="74"/>
      <c r="Q343" s="72"/>
      <c r="R343" s="72"/>
      <c r="S343" s="72"/>
      <c r="T343" s="72"/>
      <c r="U343" s="72"/>
      <c r="V343" s="72"/>
      <c r="W343" s="72"/>
      <c r="X343" s="72"/>
      <c r="Y343" s="72"/>
      <c r="Z343" s="72"/>
      <c r="AA343" s="72"/>
      <c r="AB343" s="73"/>
      <c r="AC343" s="73"/>
      <c r="AD343" s="73"/>
      <c r="AE343" s="73"/>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c r="BC343" s="72"/>
      <c r="BD343" s="72"/>
      <c r="BE343" s="72"/>
      <c r="BF343" s="72"/>
    </row>
    <row r="344" spans="3:58">
      <c r="C344" s="74"/>
      <c r="Q344" s="72"/>
      <c r="R344" s="72"/>
      <c r="S344" s="72"/>
      <c r="T344" s="72"/>
      <c r="U344" s="72"/>
      <c r="V344" s="72"/>
      <c r="W344" s="72"/>
      <c r="X344" s="72"/>
      <c r="Y344" s="72"/>
      <c r="Z344" s="72"/>
      <c r="AA344" s="72"/>
      <c r="AB344" s="73"/>
      <c r="AC344" s="73"/>
      <c r="AD344" s="73"/>
      <c r="AE344" s="73"/>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c r="BC344" s="72"/>
      <c r="BD344" s="72"/>
      <c r="BE344" s="72"/>
      <c r="BF344" s="72"/>
    </row>
    <row r="345" spans="3:58">
      <c r="C345" s="74"/>
      <c r="Q345" s="72"/>
      <c r="R345" s="72"/>
      <c r="S345" s="72"/>
      <c r="T345" s="72"/>
      <c r="U345" s="72"/>
      <c r="V345" s="72"/>
      <c r="W345" s="72"/>
      <c r="X345" s="72"/>
      <c r="Y345" s="72"/>
      <c r="Z345" s="72"/>
      <c r="AA345" s="72"/>
      <c r="AB345" s="73"/>
      <c r="AC345" s="73"/>
      <c r="AD345" s="73"/>
      <c r="AE345" s="73"/>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c r="BC345" s="72"/>
      <c r="BD345" s="72"/>
      <c r="BE345" s="72"/>
      <c r="BF345" s="72"/>
    </row>
    <row r="346" spans="3:58">
      <c r="C346" s="74"/>
      <c r="Q346" s="72"/>
      <c r="R346" s="72"/>
      <c r="S346" s="72"/>
      <c r="T346" s="72"/>
      <c r="U346" s="72"/>
      <c r="V346" s="72"/>
      <c r="W346" s="72"/>
      <c r="X346" s="72"/>
      <c r="Y346" s="72"/>
      <c r="Z346" s="72"/>
      <c r="AA346" s="72"/>
      <c r="AB346" s="73"/>
      <c r="AC346" s="73"/>
      <c r="AD346" s="73"/>
      <c r="AE346" s="73"/>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row>
    <row r="347" spans="3:58">
      <c r="C347" s="74"/>
      <c r="Q347" s="72"/>
      <c r="R347" s="72"/>
      <c r="S347" s="72"/>
      <c r="T347" s="72"/>
      <c r="U347" s="72"/>
      <c r="V347" s="72"/>
      <c r="W347" s="72"/>
      <c r="X347" s="72"/>
      <c r="Y347" s="72"/>
      <c r="Z347" s="72"/>
      <c r="AA347" s="72"/>
      <c r="AB347" s="73"/>
      <c r="AC347" s="73"/>
      <c r="AD347" s="73"/>
      <c r="AE347" s="73"/>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row>
    <row r="348" spans="3:58">
      <c r="C348" s="74"/>
      <c r="Q348" s="72"/>
      <c r="R348" s="72"/>
      <c r="S348" s="72"/>
      <c r="T348" s="72"/>
      <c r="U348" s="72"/>
      <c r="V348" s="72"/>
      <c r="W348" s="72"/>
      <c r="X348" s="72"/>
      <c r="Y348" s="72"/>
      <c r="Z348" s="72"/>
      <c r="AA348" s="72"/>
      <c r="AB348" s="73"/>
      <c r="AC348" s="73"/>
      <c r="AD348" s="73"/>
      <c r="AE348" s="73"/>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row>
    <row r="349" spans="3:58">
      <c r="C349" s="74"/>
      <c r="Q349" s="72"/>
      <c r="R349" s="72"/>
      <c r="S349" s="72"/>
      <c r="T349" s="72"/>
      <c r="U349" s="72"/>
      <c r="V349" s="72"/>
      <c r="W349" s="72"/>
      <c r="X349" s="72"/>
      <c r="Y349" s="72"/>
      <c r="Z349" s="72"/>
      <c r="AA349" s="72"/>
      <c r="AB349" s="73"/>
      <c r="AC349" s="73"/>
      <c r="AD349" s="73"/>
      <c r="AE349" s="73"/>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c r="BC349" s="72"/>
      <c r="BD349" s="72"/>
      <c r="BE349" s="72"/>
      <c r="BF349" s="72"/>
    </row>
    <row r="350" spans="3:58">
      <c r="C350" s="74"/>
      <c r="Q350" s="72"/>
      <c r="R350" s="72"/>
      <c r="S350" s="72"/>
      <c r="T350" s="72"/>
      <c r="U350" s="72"/>
      <c r="V350" s="72"/>
      <c r="W350" s="72"/>
      <c r="X350" s="72"/>
      <c r="Y350" s="72"/>
      <c r="Z350" s="72"/>
      <c r="AA350" s="72"/>
      <c r="AB350" s="73"/>
      <c r="AC350" s="73"/>
      <c r="AD350" s="73"/>
      <c r="AE350" s="73"/>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c r="BC350" s="72"/>
      <c r="BD350" s="72"/>
      <c r="BE350" s="72"/>
      <c r="BF350" s="72"/>
    </row>
    <row r="351" spans="3:58">
      <c r="C351" s="74"/>
      <c r="Q351" s="72"/>
      <c r="R351" s="72"/>
      <c r="S351" s="72"/>
      <c r="T351" s="72"/>
      <c r="U351" s="72"/>
      <c r="V351" s="72"/>
      <c r="W351" s="72"/>
      <c r="X351" s="72"/>
      <c r="Y351" s="72"/>
      <c r="Z351" s="72"/>
      <c r="AA351" s="72"/>
      <c r="AB351" s="73"/>
      <c r="AC351" s="73"/>
      <c r="AD351" s="73"/>
      <c r="AE351" s="73"/>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c r="BC351" s="72"/>
      <c r="BD351" s="72"/>
      <c r="BE351" s="72"/>
      <c r="BF351" s="72"/>
    </row>
    <row r="352" spans="3:58">
      <c r="C352" s="74"/>
      <c r="Q352" s="72"/>
      <c r="R352" s="72"/>
      <c r="S352" s="72"/>
      <c r="T352" s="72"/>
      <c r="U352" s="72"/>
      <c r="V352" s="72"/>
      <c r="W352" s="72"/>
      <c r="X352" s="72"/>
      <c r="Y352" s="72"/>
      <c r="Z352" s="72"/>
      <c r="AA352" s="72"/>
      <c r="AB352" s="73"/>
      <c r="AC352" s="73"/>
      <c r="AD352" s="73"/>
      <c r="AE352" s="73"/>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c r="BC352" s="72"/>
      <c r="BD352" s="72"/>
      <c r="BE352" s="72"/>
      <c r="BF352" s="72"/>
    </row>
    <row r="353" spans="3:58">
      <c r="C353" s="74"/>
      <c r="Q353" s="72"/>
      <c r="R353" s="72"/>
      <c r="S353" s="72"/>
      <c r="T353" s="72"/>
      <c r="U353" s="72"/>
      <c r="V353" s="72"/>
      <c r="W353" s="72"/>
      <c r="X353" s="72"/>
      <c r="Y353" s="72"/>
      <c r="Z353" s="72"/>
      <c r="AA353" s="72"/>
      <c r="AB353" s="73"/>
      <c r="AC353" s="73"/>
      <c r="AD353" s="73"/>
      <c r="AE353" s="73"/>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row>
    <row r="354" spans="3:58">
      <c r="C354" s="74"/>
      <c r="Q354" s="72"/>
      <c r="R354" s="72"/>
      <c r="S354" s="72"/>
      <c r="T354" s="72"/>
      <c r="U354" s="72"/>
      <c r="V354" s="72"/>
      <c r="W354" s="72"/>
      <c r="X354" s="72"/>
      <c r="Y354" s="72"/>
      <c r="Z354" s="72"/>
      <c r="AA354" s="72"/>
      <c r="AB354" s="73"/>
      <c r="AC354" s="73"/>
      <c r="AD354" s="73"/>
      <c r="AE354" s="73"/>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row>
    <row r="355" spans="3:58">
      <c r="C355" s="74"/>
      <c r="Q355" s="72"/>
      <c r="R355" s="72"/>
      <c r="S355" s="72"/>
      <c r="T355" s="72"/>
      <c r="U355" s="72"/>
      <c r="V355" s="72"/>
      <c r="W355" s="72"/>
      <c r="X355" s="72"/>
      <c r="Y355" s="72"/>
      <c r="Z355" s="72"/>
      <c r="AA355" s="72"/>
      <c r="AB355" s="73"/>
      <c r="AC355" s="73"/>
      <c r="AD355" s="73"/>
      <c r="AE355" s="73"/>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c r="BC355" s="72"/>
      <c r="BD355" s="72"/>
      <c r="BE355" s="72"/>
      <c r="BF355" s="72"/>
    </row>
    <row r="356" spans="3:58">
      <c r="C356" s="74"/>
      <c r="Q356" s="72"/>
      <c r="R356" s="72"/>
      <c r="S356" s="72"/>
      <c r="T356" s="72"/>
      <c r="U356" s="72"/>
      <c r="V356" s="72"/>
      <c r="W356" s="72"/>
      <c r="X356" s="72"/>
      <c r="Y356" s="72"/>
      <c r="Z356" s="72"/>
      <c r="AA356" s="72"/>
      <c r="AB356" s="73"/>
      <c r="AC356" s="73"/>
      <c r="AD356" s="73"/>
      <c r="AE356" s="73"/>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c r="BC356" s="72"/>
      <c r="BD356" s="72"/>
      <c r="BE356" s="72"/>
      <c r="BF356" s="72"/>
    </row>
    <row r="357" spans="3:58">
      <c r="C357" s="74"/>
      <c r="Q357" s="72"/>
      <c r="R357" s="72"/>
      <c r="S357" s="72"/>
      <c r="T357" s="72"/>
      <c r="U357" s="72"/>
      <c r="V357" s="72"/>
      <c r="W357" s="72"/>
      <c r="X357" s="72"/>
      <c r="Y357" s="72"/>
      <c r="Z357" s="72"/>
      <c r="AA357" s="72"/>
      <c r="AB357" s="73"/>
      <c r="AC357" s="73"/>
      <c r="AD357" s="73"/>
      <c r="AE357" s="73"/>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c r="BC357" s="72"/>
      <c r="BD357" s="72"/>
      <c r="BE357" s="72"/>
      <c r="BF357" s="72"/>
    </row>
    <row r="358" spans="3:58">
      <c r="C358" s="74"/>
      <c r="Q358" s="72"/>
      <c r="R358" s="72"/>
      <c r="S358" s="72"/>
      <c r="T358" s="72"/>
      <c r="U358" s="72"/>
      <c r="V358" s="72"/>
      <c r="W358" s="72"/>
      <c r="X358" s="72"/>
      <c r="Y358" s="72"/>
      <c r="Z358" s="72"/>
      <c r="AA358" s="72"/>
      <c r="AB358" s="73"/>
      <c r="AC358" s="73"/>
      <c r="AD358" s="73"/>
      <c r="AE358" s="73"/>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row>
    <row r="359" spans="3:58">
      <c r="C359" s="74"/>
      <c r="Q359" s="72"/>
      <c r="R359" s="72"/>
      <c r="S359" s="72"/>
      <c r="T359" s="72"/>
      <c r="U359" s="72"/>
      <c r="V359" s="72"/>
      <c r="W359" s="72"/>
      <c r="X359" s="72"/>
      <c r="Y359" s="72"/>
      <c r="Z359" s="72"/>
      <c r="AA359" s="72"/>
      <c r="AB359" s="73"/>
      <c r="AC359" s="73"/>
      <c r="AD359" s="73"/>
      <c r="AE359" s="73"/>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row>
    <row r="360" spans="3:58">
      <c r="C360" s="74"/>
      <c r="Q360" s="72"/>
      <c r="R360" s="72"/>
      <c r="S360" s="72"/>
      <c r="T360" s="72"/>
      <c r="U360" s="72"/>
      <c r="V360" s="72"/>
      <c r="W360" s="72"/>
      <c r="X360" s="72"/>
      <c r="Y360" s="72"/>
      <c r="Z360" s="72"/>
      <c r="AA360" s="72"/>
      <c r="AB360" s="73"/>
      <c r="AC360" s="73"/>
      <c r="AD360" s="73"/>
      <c r="AE360" s="73"/>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c r="BC360" s="72"/>
      <c r="BD360" s="72"/>
      <c r="BE360" s="72"/>
      <c r="BF360" s="72"/>
    </row>
    <row r="361" spans="3:58">
      <c r="C361" s="74"/>
      <c r="Q361" s="72"/>
      <c r="R361" s="72"/>
      <c r="S361" s="72"/>
      <c r="T361" s="72"/>
      <c r="U361" s="72"/>
      <c r="V361" s="72"/>
      <c r="W361" s="72"/>
      <c r="X361" s="72"/>
      <c r="Y361" s="72"/>
      <c r="Z361" s="72"/>
      <c r="AA361" s="72"/>
      <c r="AB361" s="73"/>
      <c r="AC361" s="73"/>
      <c r="AD361" s="73"/>
      <c r="AE361" s="73"/>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c r="BC361" s="72"/>
      <c r="BD361" s="72"/>
      <c r="BE361" s="72"/>
      <c r="BF361" s="72"/>
    </row>
    <row r="362" spans="3:58">
      <c r="C362" s="74"/>
      <c r="Q362" s="72"/>
      <c r="R362" s="72"/>
      <c r="S362" s="72"/>
      <c r="T362" s="72"/>
      <c r="U362" s="72"/>
      <c r="V362" s="72"/>
      <c r="W362" s="72"/>
      <c r="X362" s="72"/>
      <c r="Y362" s="72"/>
      <c r="Z362" s="72"/>
      <c r="AA362" s="72"/>
      <c r="AB362" s="73"/>
      <c r="AC362" s="73"/>
      <c r="AD362" s="73"/>
      <c r="AE362" s="73"/>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c r="BC362" s="72"/>
      <c r="BD362" s="72"/>
      <c r="BE362" s="72"/>
      <c r="BF362" s="72"/>
    </row>
    <row r="363" spans="3:58">
      <c r="C363" s="74"/>
      <c r="Q363" s="72"/>
      <c r="R363" s="72"/>
      <c r="S363" s="72"/>
      <c r="T363" s="72"/>
      <c r="U363" s="72"/>
      <c r="V363" s="72"/>
      <c r="W363" s="72"/>
      <c r="X363" s="72"/>
      <c r="Y363" s="72"/>
      <c r="Z363" s="72"/>
      <c r="AA363" s="72"/>
      <c r="AB363" s="73"/>
      <c r="AC363" s="73"/>
      <c r="AD363" s="73"/>
      <c r="AE363" s="73"/>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c r="BC363" s="72"/>
      <c r="BD363" s="72"/>
      <c r="BE363" s="72"/>
      <c r="BF363" s="72"/>
    </row>
    <row r="364" spans="3:58">
      <c r="C364" s="74"/>
      <c r="Q364" s="72"/>
      <c r="R364" s="72"/>
      <c r="S364" s="72"/>
      <c r="T364" s="72"/>
      <c r="U364" s="72"/>
      <c r="V364" s="72"/>
      <c r="W364" s="72"/>
      <c r="X364" s="72"/>
      <c r="Y364" s="72"/>
      <c r="Z364" s="72"/>
      <c r="AA364" s="72"/>
      <c r="AB364" s="73"/>
      <c r="AC364" s="73"/>
      <c r="AD364" s="73"/>
      <c r="AE364" s="73"/>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c r="BC364" s="72"/>
      <c r="BD364" s="72"/>
      <c r="BE364" s="72"/>
      <c r="BF364" s="72"/>
    </row>
    <row r="365" spans="3:58">
      <c r="C365" s="74"/>
      <c r="Q365" s="72"/>
      <c r="R365" s="72"/>
      <c r="S365" s="72"/>
      <c r="T365" s="72"/>
      <c r="U365" s="72"/>
      <c r="V365" s="72"/>
      <c r="W365" s="72"/>
      <c r="X365" s="72"/>
      <c r="Y365" s="72"/>
      <c r="Z365" s="72"/>
      <c r="AA365" s="72"/>
      <c r="AB365" s="73"/>
      <c r="AC365" s="73"/>
      <c r="AD365" s="73"/>
      <c r="AE365" s="73"/>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c r="BC365" s="72"/>
      <c r="BD365" s="72"/>
      <c r="BE365" s="72"/>
      <c r="BF365" s="72"/>
    </row>
    <row r="366" spans="3:58">
      <c r="C366" s="74"/>
      <c r="Q366" s="72"/>
      <c r="R366" s="72"/>
      <c r="S366" s="72"/>
      <c r="T366" s="72"/>
      <c r="U366" s="72"/>
      <c r="V366" s="72"/>
      <c r="W366" s="72"/>
      <c r="X366" s="72"/>
      <c r="Y366" s="72"/>
      <c r="Z366" s="72"/>
      <c r="AA366" s="72"/>
      <c r="AB366" s="73"/>
      <c r="AC366" s="73"/>
      <c r="AD366" s="73"/>
      <c r="AE366" s="73"/>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c r="BC366" s="72"/>
      <c r="BD366" s="72"/>
      <c r="BE366" s="72"/>
      <c r="BF366" s="72"/>
    </row>
    <row r="367" spans="3:58">
      <c r="C367" s="74"/>
      <c r="Q367" s="72"/>
      <c r="R367" s="72"/>
      <c r="S367" s="72"/>
      <c r="T367" s="72"/>
      <c r="U367" s="72"/>
      <c r="V367" s="72"/>
      <c r="W367" s="72"/>
      <c r="X367" s="72"/>
      <c r="Y367" s="72"/>
      <c r="Z367" s="72"/>
      <c r="AA367" s="72"/>
      <c r="AB367" s="73"/>
      <c r="AC367" s="73"/>
      <c r="AD367" s="73"/>
      <c r="AE367" s="73"/>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c r="BC367" s="72"/>
      <c r="BD367" s="72"/>
      <c r="BE367" s="72"/>
      <c r="BF367" s="72"/>
    </row>
    <row r="368" spans="3:58">
      <c r="C368" s="74"/>
      <c r="Q368" s="72"/>
      <c r="R368" s="72"/>
      <c r="S368" s="72"/>
      <c r="T368" s="72"/>
      <c r="U368" s="72"/>
      <c r="V368" s="72"/>
      <c r="W368" s="72"/>
      <c r="X368" s="72"/>
      <c r="Y368" s="72"/>
      <c r="Z368" s="72"/>
      <c r="AA368" s="72"/>
      <c r="AB368" s="73"/>
      <c r="AC368" s="73"/>
      <c r="AD368" s="73"/>
      <c r="AE368" s="73"/>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c r="BC368" s="72"/>
      <c r="BD368" s="72"/>
      <c r="BE368" s="72"/>
      <c r="BF368" s="72"/>
    </row>
    <row r="369" spans="3:58">
      <c r="C369" s="74"/>
      <c r="Q369" s="72"/>
      <c r="R369" s="72"/>
      <c r="S369" s="72"/>
      <c r="T369" s="72"/>
      <c r="U369" s="72"/>
      <c r="V369" s="72"/>
      <c r="W369" s="72"/>
      <c r="X369" s="72"/>
      <c r="Y369" s="72"/>
      <c r="Z369" s="72"/>
      <c r="AA369" s="72"/>
      <c r="AB369" s="73"/>
      <c r="AC369" s="73"/>
      <c r="AD369" s="73"/>
      <c r="AE369" s="73"/>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c r="BC369" s="72"/>
      <c r="BD369" s="72"/>
      <c r="BE369" s="72"/>
      <c r="BF369" s="72"/>
    </row>
    <row r="370" spans="3:58">
      <c r="C370" s="74"/>
      <c r="Q370" s="72"/>
      <c r="R370" s="72"/>
      <c r="S370" s="72"/>
      <c r="T370" s="72"/>
      <c r="U370" s="72"/>
      <c r="V370" s="72"/>
      <c r="W370" s="72"/>
      <c r="X370" s="72"/>
      <c r="Y370" s="72"/>
      <c r="Z370" s="72"/>
      <c r="AA370" s="72"/>
      <c r="AB370" s="73"/>
      <c r="AC370" s="73"/>
      <c r="AD370" s="73"/>
      <c r="AE370" s="73"/>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c r="BC370" s="72"/>
      <c r="BD370" s="72"/>
      <c r="BE370" s="72"/>
      <c r="BF370" s="72"/>
    </row>
    <row r="371" spans="3:58">
      <c r="C371" s="74"/>
      <c r="Q371" s="72"/>
      <c r="R371" s="72"/>
      <c r="S371" s="72"/>
      <c r="T371" s="72"/>
      <c r="U371" s="72"/>
      <c r="V371" s="72"/>
      <c r="W371" s="72"/>
      <c r="X371" s="72"/>
      <c r="Y371" s="72"/>
      <c r="Z371" s="72"/>
      <c r="AA371" s="72"/>
      <c r="AB371" s="73"/>
      <c r="AC371" s="73"/>
      <c r="AD371" s="73"/>
      <c r="AE371" s="73"/>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c r="BC371" s="72"/>
      <c r="BD371" s="72"/>
      <c r="BE371" s="72"/>
      <c r="BF371" s="72"/>
    </row>
    <row r="372" spans="3:58">
      <c r="C372" s="74"/>
      <c r="Q372" s="72"/>
      <c r="R372" s="72"/>
      <c r="S372" s="72"/>
      <c r="T372" s="72"/>
      <c r="U372" s="72"/>
      <c r="V372" s="72"/>
      <c r="W372" s="72"/>
      <c r="X372" s="72"/>
      <c r="Y372" s="72"/>
      <c r="Z372" s="72"/>
      <c r="AA372" s="72"/>
      <c r="AB372" s="73"/>
      <c r="AC372" s="73"/>
      <c r="AD372" s="73"/>
      <c r="AE372" s="73"/>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c r="BC372" s="72"/>
      <c r="BD372" s="72"/>
      <c r="BE372" s="72"/>
      <c r="BF372" s="72"/>
    </row>
    <row r="373" spans="3:58">
      <c r="C373" s="74"/>
      <c r="Q373" s="72"/>
      <c r="R373" s="72"/>
      <c r="S373" s="72"/>
      <c r="T373" s="72"/>
      <c r="U373" s="72"/>
      <c r="V373" s="72"/>
      <c r="W373" s="72"/>
      <c r="X373" s="72"/>
      <c r="Y373" s="72"/>
      <c r="Z373" s="72"/>
      <c r="AA373" s="72"/>
      <c r="AB373" s="73"/>
      <c r="AC373" s="73"/>
      <c r="AD373" s="73"/>
      <c r="AE373" s="73"/>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c r="BC373" s="72"/>
      <c r="BD373" s="72"/>
      <c r="BE373" s="72"/>
      <c r="BF373" s="72"/>
    </row>
    <row r="374" spans="3:58">
      <c r="C374" s="74"/>
      <c r="Q374" s="72"/>
      <c r="R374" s="72"/>
      <c r="S374" s="72"/>
      <c r="T374" s="72"/>
      <c r="U374" s="72"/>
      <c r="V374" s="72"/>
      <c r="W374" s="72"/>
      <c r="X374" s="72"/>
      <c r="Y374" s="72"/>
      <c r="Z374" s="72"/>
      <c r="AA374" s="72"/>
      <c r="AB374" s="73"/>
      <c r="AC374" s="73"/>
      <c r="AD374" s="73"/>
      <c r="AE374" s="73"/>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c r="BC374" s="72"/>
      <c r="BD374" s="72"/>
      <c r="BE374" s="72"/>
      <c r="BF374" s="72"/>
    </row>
    <row r="375" spans="3:58">
      <c r="C375" s="74"/>
      <c r="Q375" s="72"/>
      <c r="R375" s="72"/>
      <c r="S375" s="72"/>
      <c r="T375" s="72"/>
      <c r="U375" s="72"/>
      <c r="V375" s="72"/>
      <c r="W375" s="72"/>
      <c r="X375" s="72"/>
      <c r="Y375" s="72"/>
      <c r="Z375" s="72"/>
      <c r="AA375" s="72"/>
      <c r="AB375" s="73"/>
      <c r="AC375" s="73"/>
      <c r="AD375" s="73"/>
      <c r="AE375" s="73"/>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row>
    <row r="376" spans="3:58">
      <c r="C376" s="74"/>
      <c r="Q376" s="72"/>
      <c r="R376" s="72"/>
      <c r="S376" s="72"/>
      <c r="T376" s="72"/>
      <c r="U376" s="72"/>
      <c r="V376" s="72"/>
      <c r="W376" s="72"/>
      <c r="X376" s="72"/>
      <c r="Y376" s="72"/>
      <c r="Z376" s="72"/>
      <c r="AA376" s="72"/>
      <c r="AB376" s="73"/>
      <c r="AC376" s="73"/>
      <c r="AD376" s="73"/>
      <c r="AE376" s="73"/>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row>
    <row r="377" spans="3:58">
      <c r="C377" s="74"/>
      <c r="Q377" s="72"/>
      <c r="R377" s="72"/>
      <c r="S377" s="72"/>
      <c r="T377" s="72"/>
      <c r="U377" s="72"/>
      <c r="V377" s="72"/>
      <c r="W377" s="72"/>
      <c r="X377" s="72"/>
      <c r="Y377" s="72"/>
      <c r="Z377" s="72"/>
      <c r="AA377" s="72"/>
      <c r="AB377" s="73"/>
      <c r="AC377" s="73"/>
      <c r="AD377" s="73"/>
      <c r="AE377" s="73"/>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row>
    <row r="378" spans="3:58">
      <c r="C378" s="74"/>
      <c r="Q378" s="72"/>
      <c r="R378" s="72"/>
      <c r="S378" s="72"/>
      <c r="T378" s="72"/>
      <c r="U378" s="72"/>
      <c r="V378" s="72"/>
      <c r="W378" s="72"/>
      <c r="X378" s="72"/>
      <c r="Y378" s="72"/>
      <c r="Z378" s="72"/>
      <c r="AA378" s="72"/>
      <c r="AB378" s="73"/>
      <c r="AC378" s="73"/>
      <c r="AD378" s="73"/>
      <c r="AE378" s="73"/>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c r="BC378" s="72"/>
      <c r="BD378" s="72"/>
      <c r="BE378" s="72"/>
      <c r="BF378" s="72"/>
    </row>
    <row r="379" spans="3:58">
      <c r="C379" s="74"/>
      <c r="Q379" s="72"/>
      <c r="R379" s="72"/>
      <c r="S379" s="72"/>
      <c r="T379" s="72"/>
      <c r="U379" s="72"/>
      <c r="V379" s="72"/>
      <c r="W379" s="72"/>
      <c r="X379" s="72"/>
      <c r="Y379" s="72"/>
      <c r="Z379" s="72"/>
      <c r="AA379" s="72"/>
      <c r="AB379" s="73"/>
      <c r="AC379" s="73"/>
      <c r="AD379" s="73"/>
      <c r="AE379" s="73"/>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c r="BC379" s="72"/>
      <c r="BD379" s="72"/>
      <c r="BE379" s="72"/>
      <c r="BF379" s="72"/>
    </row>
    <row r="380" spans="3:58">
      <c r="C380" s="74"/>
      <c r="Q380" s="72"/>
      <c r="R380" s="72"/>
      <c r="S380" s="72"/>
      <c r="T380" s="72"/>
      <c r="U380" s="72"/>
      <c r="V380" s="72"/>
      <c r="W380" s="72"/>
      <c r="X380" s="72"/>
      <c r="Y380" s="72"/>
      <c r="Z380" s="72"/>
      <c r="AA380" s="72"/>
      <c r="AB380" s="73"/>
      <c r="AC380" s="73"/>
      <c r="AD380" s="73"/>
      <c r="AE380" s="73"/>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c r="BC380" s="72"/>
      <c r="BD380" s="72"/>
      <c r="BE380" s="72"/>
      <c r="BF380" s="72"/>
    </row>
    <row r="381" spans="3:58">
      <c r="C381" s="74"/>
      <c r="Q381" s="72"/>
      <c r="R381" s="72"/>
      <c r="S381" s="72"/>
      <c r="T381" s="72"/>
      <c r="U381" s="72"/>
      <c r="V381" s="72"/>
      <c r="W381" s="72"/>
      <c r="X381" s="72"/>
      <c r="Y381" s="72"/>
      <c r="Z381" s="72"/>
      <c r="AA381" s="72"/>
      <c r="AB381" s="73"/>
      <c r="AC381" s="73"/>
      <c r="AD381" s="73"/>
      <c r="AE381" s="73"/>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c r="BC381" s="72"/>
      <c r="BD381" s="72"/>
      <c r="BE381" s="72"/>
      <c r="BF381" s="72"/>
    </row>
    <row r="382" spans="3:58">
      <c r="C382" s="74"/>
      <c r="Q382" s="72"/>
      <c r="R382" s="72"/>
      <c r="S382" s="72"/>
      <c r="T382" s="72"/>
      <c r="U382" s="72"/>
      <c r="V382" s="72"/>
      <c r="W382" s="72"/>
      <c r="X382" s="72"/>
      <c r="Y382" s="72"/>
      <c r="Z382" s="72"/>
      <c r="AA382" s="72"/>
      <c r="AB382" s="73"/>
      <c r="AC382" s="73"/>
      <c r="AD382" s="73"/>
      <c r="AE382" s="73"/>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c r="BC382" s="72"/>
      <c r="BD382" s="72"/>
      <c r="BE382" s="72"/>
      <c r="BF382" s="72"/>
    </row>
    <row r="383" spans="3:58">
      <c r="C383" s="74"/>
      <c r="Q383" s="72"/>
      <c r="R383" s="72"/>
      <c r="S383" s="72"/>
      <c r="T383" s="72"/>
      <c r="U383" s="72"/>
      <c r="V383" s="72"/>
      <c r="W383" s="72"/>
      <c r="X383" s="72"/>
      <c r="Y383" s="72"/>
      <c r="Z383" s="72"/>
      <c r="AA383" s="72"/>
      <c r="AB383" s="73"/>
      <c r="AC383" s="73"/>
      <c r="AD383" s="73"/>
      <c r="AE383" s="73"/>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row>
    <row r="384" spans="3:58">
      <c r="C384" s="74"/>
      <c r="Q384" s="72"/>
      <c r="R384" s="72"/>
      <c r="S384" s="72"/>
      <c r="T384" s="72"/>
      <c r="U384" s="72"/>
      <c r="V384" s="72"/>
      <c r="W384" s="72"/>
      <c r="X384" s="72"/>
      <c r="Y384" s="72"/>
      <c r="Z384" s="72"/>
      <c r="AA384" s="72"/>
      <c r="AB384" s="73"/>
      <c r="AC384" s="73"/>
      <c r="AD384" s="73"/>
      <c r="AE384" s="73"/>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c r="BC384" s="72"/>
      <c r="BD384" s="72"/>
      <c r="BE384" s="72"/>
      <c r="BF384" s="72"/>
    </row>
    <row r="385" spans="3:58">
      <c r="C385" s="74"/>
      <c r="Q385" s="72"/>
      <c r="R385" s="72"/>
      <c r="S385" s="72"/>
      <c r="T385" s="72"/>
      <c r="U385" s="72"/>
      <c r="V385" s="72"/>
      <c r="W385" s="72"/>
      <c r="X385" s="72"/>
      <c r="Y385" s="72"/>
      <c r="Z385" s="72"/>
      <c r="AA385" s="72"/>
      <c r="AB385" s="73"/>
      <c r="AC385" s="73"/>
      <c r="AD385" s="73"/>
      <c r="AE385" s="73"/>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c r="BC385" s="72"/>
      <c r="BD385" s="72"/>
      <c r="BE385" s="72"/>
      <c r="BF385" s="72"/>
    </row>
    <row r="386" spans="3:58">
      <c r="C386" s="74"/>
      <c r="Q386" s="72"/>
      <c r="R386" s="72"/>
      <c r="S386" s="72"/>
      <c r="T386" s="72"/>
      <c r="U386" s="72"/>
      <c r="V386" s="72"/>
      <c r="W386" s="72"/>
      <c r="X386" s="72"/>
      <c r="Y386" s="72"/>
      <c r="Z386" s="72"/>
      <c r="AA386" s="72"/>
      <c r="AB386" s="73"/>
      <c r="AC386" s="73"/>
      <c r="AD386" s="73"/>
      <c r="AE386" s="73"/>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c r="BC386" s="72"/>
      <c r="BD386" s="72"/>
      <c r="BE386" s="72"/>
      <c r="BF386" s="72"/>
    </row>
    <row r="387" spans="3:58">
      <c r="C387" s="74"/>
      <c r="Q387" s="72"/>
      <c r="R387" s="72"/>
      <c r="S387" s="72"/>
      <c r="T387" s="72"/>
      <c r="U387" s="72"/>
      <c r="V387" s="72"/>
      <c r="W387" s="72"/>
      <c r="X387" s="72"/>
      <c r="Y387" s="72"/>
      <c r="Z387" s="72"/>
      <c r="AA387" s="72"/>
      <c r="AB387" s="73"/>
      <c r="AC387" s="73"/>
      <c r="AD387" s="73"/>
      <c r="AE387" s="73"/>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c r="BC387" s="72"/>
      <c r="BD387" s="72"/>
      <c r="BE387" s="72"/>
      <c r="BF387" s="72"/>
    </row>
    <row r="388" spans="3:58">
      <c r="C388" s="74"/>
      <c r="Q388" s="72"/>
      <c r="R388" s="72"/>
      <c r="S388" s="72"/>
      <c r="T388" s="72"/>
      <c r="U388" s="72"/>
      <c r="V388" s="72"/>
      <c r="W388" s="72"/>
      <c r="X388" s="72"/>
      <c r="Y388" s="72"/>
      <c r="Z388" s="72"/>
      <c r="AA388" s="72"/>
      <c r="AB388" s="73"/>
      <c r="AC388" s="73"/>
      <c r="AD388" s="73"/>
      <c r="AE388" s="73"/>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row>
    <row r="389" spans="3:58">
      <c r="C389" s="74"/>
      <c r="Q389" s="72"/>
      <c r="R389" s="72"/>
      <c r="S389" s="72"/>
      <c r="T389" s="72"/>
      <c r="U389" s="72"/>
      <c r="V389" s="72"/>
      <c r="W389" s="72"/>
      <c r="X389" s="72"/>
      <c r="Y389" s="72"/>
      <c r="Z389" s="72"/>
      <c r="AA389" s="72"/>
      <c r="AB389" s="73"/>
      <c r="AC389" s="73"/>
      <c r="AD389" s="73"/>
      <c r="AE389" s="73"/>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row>
    <row r="390" spans="3:58">
      <c r="C390" s="74"/>
      <c r="Q390" s="72"/>
      <c r="R390" s="72"/>
      <c r="S390" s="72"/>
      <c r="T390" s="72"/>
      <c r="U390" s="72"/>
      <c r="V390" s="72"/>
      <c r="W390" s="72"/>
      <c r="X390" s="72"/>
      <c r="Y390" s="72"/>
      <c r="Z390" s="72"/>
      <c r="AA390" s="72"/>
      <c r="AB390" s="73"/>
      <c r="AC390" s="73"/>
      <c r="AD390" s="73"/>
      <c r="AE390" s="73"/>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row>
    <row r="391" spans="3:58">
      <c r="C391" s="74"/>
      <c r="Q391" s="72"/>
      <c r="R391" s="72"/>
      <c r="S391" s="72"/>
      <c r="T391" s="72"/>
      <c r="U391" s="72"/>
      <c r="V391" s="72"/>
      <c r="W391" s="72"/>
      <c r="X391" s="72"/>
      <c r="Y391" s="72"/>
      <c r="Z391" s="72"/>
      <c r="AA391" s="72"/>
      <c r="AB391" s="73"/>
      <c r="AC391" s="73"/>
      <c r="AD391" s="73"/>
      <c r="AE391" s="73"/>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row>
    <row r="392" spans="3:58">
      <c r="C392" s="74"/>
      <c r="Q392" s="72"/>
      <c r="R392" s="72"/>
      <c r="S392" s="72"/>
      <c r="T392" s="72"/>
      <c r="U392" s="72"/>
      <c r="V392" s="72"/>
      <c r="W392" s="72"/>
      <c r="X392" s="72"/>
      <c r="Y392" s="72"/>
      <c r="Z392" s="72"/>
      <c r="AA392" s="72"/>
      <c r="AB392" s="73"/>
      <c r="AC392" s="73"/>
      <c r="AD392" s="73"/>
      <c r="AE392" s="73"/>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c r="BC392" s="72"/>
      <c r="BD392" s="72"/>
      <c r="BE392" s="72"/>
      <c r="BF392" s="72"/>
    </row>
    <row r="393" spans="3:58">
      <c r="C393" s="74"/>
      <c r="Q393" s="72"/>
      <c r="R393" s="72"/>
      <c r="S393" s="72"/>
      <c r="T393" s="72"/>
      <c r="U393" s="72"/>
      <c r="V393" s="72"/>
      <c r="W393" s="72"/>
      <c r="X393" s="72"/>
      <c r="Y393" s="72"/>
      <c r="Z393" s="72"/>
      <c r="AA393" s="72"/>
      <c r="AB393" s="73"/>
      <c r="AC393" s="73"/>
      <c r="AD393" s="73"/>
      <c r="AE393" s="73"/>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row>
    <row r="394" spans="3:58">
      <c r="C394" s="74"/>
      <c r="Q394" s="72"/>
      <c r="R394" s="72"/>
      <c r="S394" s="72"/>
      <c r="T394" s="72"/>
      <c r="U394" s="72"/>
      <c r="V394" s="72"/>
      <c r="W394" s="72"/>
      <c r="X394" s="72"/>
      <c r="Y394" s="72"/>
      <c r="Z394" s="72"/>
      <c r="AA394" s="72"/>
      <c r="AB394" s="73"/>
      <c r="AC394" s="73"/>
      <c r="AD394" s="73"/>
      <c r="AE394" s="73"/>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c r="BC394" s="72"/>
      <c r="BD394" s="72"/>
      <c r="BE394" s="72"/>
      <c r="BF394" s="72"/>
    </row>
    <row r="395" spans="3:58">
      <c r="C395" s="74"/>
      <c r="Q395" s="72"/>
      <c r="R395" s="72"/>
      <c r="S395" s="72"/>
      <c r="T395" s="72"/>
      <c r="U395" s="72"/>
      <c r="V395" s="72"/>
      <c r="W395" s="72"/>
      <c r="X395" s="72"/>
      <c r="Y395" s="72"/>
      <c r="Z395" s="72"/>
      <c r="AA395" s="72"/>
      <c r="AB395" s="73"/>
      <c r="AC395" s="73"/>
      <c r="AD395" s="73"/>
      <c r="AE395" s="73"/>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c r="BC395" s="72"/>
      <c r="BD395" s="72"/>
      <c r="BE395" s="72"/>
      <c r="BF395" s="72"/>
    </row>
    <row r="396" spans="3:58">
      <c r="C396" s="74"/>
      <c r="Q396" s="72"/>
      <c r="R396" s="72"/>
      <c r="S396" s="72"/>
      <c r="T396" s="72"/>
      <c r="U396" s="72"/>
      <c r="V396" s="72"/>
      <c r="W396" s="72"/>
      <c r="X396" s="72"/>
      <c r="Y396" s="72"/>
      <c r="Z396" s="72"/>
      <c r="AA396" s="72"/>
      <c r="AB396" s="73"/>
      <c r="AC396" s="73"/>
      <c r="AD396" s="73"/>
      <c r="AE396" s="73"/>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c r="BC396" s="72"/>
      <c r="BD396" s="72"/>
      <c r="BE396" s="72"/>
      <c r="BF396" s="72"/>
    </row>
    <row r="397" spans="3:58">
      <c r="C397" s="74"/>
      <c r="Q397" s="72"/>
      <c r="R397" s="72"/>
      <c r="S397" s="72"/>
      <c r="T397" s="72"/>
      <c r="U397" s="72"/>
      <c r="V397" s="72"/>
      <c r="W397" s="72"/>
      <c r="X397" s="72"/>
      <c r="Y397" s="72"/>
      <c r="Z397" s="72"/>
      <c r="AA397" s="72"/>
      <c r="AB397" s="73"/>
      <c r="AC397" s="73"/>
      <c r="AD397" s="73"/>
      <c r="AE397" s="73"/>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c r="BC397" s="72"/>
      <c r="BD397" s="72"/>
      <c r="BE397" s="72"/>
      <c r="BF397" s="72"/>
    </row>
    <row r="398" spans="3:58">
      <c r="C398" s="74"/>
      <c r="Q398" s="72"/>
      <c r="R398" s="72"/>
      <c r="S398" s="72"/>
      <c r="T398" s="72"/>
      <c r="U398" s="72"/>
      <c r="V398" s="72"/>
      <c r="W398" s="72"/>
      <c r="X398" s="72"/>
      <c r="Y398" s="72"/>
      <c r="Z398" s="72"/>
      <c r="AA398" s="72"/>
      <c r="AB398" s="73"/>
      <c r="AC398" s="73"/>
      <c r="AD398" s="73"/>
      <c r="AE398" s="73"/>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c r="BC398" s="72"/>
      <c r="BD398" s="72"/>
      <c r="BE398" s="72"/>
      <c r="BF398" s="72"/>
    </row>
    <row r="399" spans="3:58">
      <c r="C399" s="74"/>
      <c r="Q399" s="72"/>
      <c r="R399" s="72"/>
      <c r="S399" s="72"/>
      <c r="T399" s="72"/>
      <c r="U399" s="72"/>
      <c r="V399" s="72"/>
      <c r="W399" s="72"/>
      <c r="X399" s="72"/>
      <c r="Y399" s="72"/>
      <c r="Z399" s="72"/>
      <c r="AA399" s="72"/>
      <c r="AB399" s="73"/>
      <c r="AC399" s="73"/>
      <c r="AD399" s="73"/>
      <c r="AE399" s="73"/>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c r="BC399" s="72"/>
      <c r="BD399" s="72"/>
      <c r="BE399" s="72"/>
      <c r="BF399" s="72"/>
    </row>
    <row r="400" spans="3:58">
      <c r="C400" s="74"/>
      <c r="Q400" s="72"/>
      <c r="R400" s="72"/>
      <c r="S400" s="72"/>
      <c r="T400" s="72"/>
      <c r="U400" s="72"/>
      <c r="V400" s="72"/>
      <c r="W400" s="72"/>
      <c r="X400" s="72"/>
      <c r="Y400" s="72"/>
      <c r="Z400" s="72"/>
      <c r="AA400" s="72"/>
      <c r="AB400" s="73"/>
      <c r="AC400" s="73"/>
      <c r="AD400" s="73"/>
      <c r="AE400" s="73"/>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c r="BC400" s="72"/>
      <c r="BD400" s="72"/>
      <c r="BE400" s="72"/>
      <c r="BF400" s="72"/>
    </row>
    <row r="401" spans="3:58">
      <c r="C401" s="74"/>
      <c r="Q401" s="72"/>
      <c r="R401" s="72"/>
      <c r="S401" s="72"/>
      <c r="T401" s="72"/>
      <c r="U401" s="72"/>
      <c r="V401" s="72"/>
      <c r="W401" s="72"/>
      <c r="X401" s="72"/>
      <c r="Y401" s="72"/>
      <c r="Z401" s="72"/>
      <c r="AA401" s="72"/>
      <c r="AB401" s="73"/>
      <c r="AC401" s="73"/>
      <c r="AD401" s="73"/>
      <c r="AE401" s="73"/>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c r="BC401" s="72"/>
      <c r="BD401" s="72"/>
      <c r="BE401" s="72"/>
      <c r="BF401" s="72"/>
    </row>
    <row r="402" spans="3:58">
      <c r="C402" s="74"/>
      <c r="Q402" s="72"/>
      <c r="R402" s="72"/>
      <c r="S402" s="72"/>
      <c r="T402" s="72"/>
      <c r="U402" s="72"/>
      <c r="V402" s="72"/>
      <c r="W402" s="72"/>
      <c r="X402" s="72"/>
      <c r="Y402" s="72"/>
      <c r="Z402" s="72"/>
      <c r="AA402" s="72"/>
      <c r="AB402" s="73"/>
      <c r="AC402" s="73"/>
      <c r="AD402" s="73"/>
      <c r="AE402" s="73"/>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c r="BC402" s="72"/>
      <c r="BD402" s="72"/>
      <c r="BE402" s="72"/>
      <c r="BF402" s="72"/>
    </row>
    <row r="403" spans="3:58">
      <c r="C403" s="74"/>
      <c r="Q403" s="72"/>
      <c r="R403" s="72"/>
      <c r="S403" s="72"/>
      <c r="T403" s="72"/>
      <c r="U403" s="72"/>
      <c r="V403" s="72"/>
      <c r="W403" s="72"/>
      <c r="X403" s="72"/>
      <c r="Y403" s="72"/>
      <c r="Z403" s="72"/>
      <c r="AA403" s="72"/>
      <c r="AB403" s="73"/>
      <c r="AC403" s="73"/>
      <c r="AD403" s="73"/>
      <c r="AE403" s="73"/>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c r="BC403" s="72"/>
      <c r="BD403" s="72"/>
      <c r="BE403" s="72"/>
      <c r="BF403" s="72"/>
    </row>
    <row r="404" spans="3:58">
      <c r="C404" s="74"/>
      <c r="Q404" s="72"/>
      <c r="R404" s="72"/>
      <c r="S404" s="72"/>
      <c r="T404" s="72"/>
      <c r="U404" s="72"/>
      <c r="V404" s="72"/>
      <c r="W404" s="72"/>
      <c r="X404" s="72"/>
      <c r="Y404" s="72"/>
      <c r="Z404" s="72"/>
      <c r="AA404" s="72"/>
      <c r="AB404" s="73"/>
      <c r="AC404" s="73"/>
      <c r="AD404" s="73"/>
      <c r="AE404" s="73"/>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row>
    <row r="405" spans="3:58">
      <c r="C405" s="74"/>
      <c r="Q405" s="72"/>
      <c r="R405" s="72"/>
      <c r="S405" s="72"/>
      <c r="T405" s="72"/>
      <c r="U405" s="72"/>
      <c r="V405" s="72"/>
      <c r="W405" s="72"/>
      <c r="X405" s="72"/>
      <c r="Y405" s="72"/>
      <c r="Z405" s="72"/>
      <c r="AA405" s="72"/>
      <c r="AB405" s="73"/>
      <c r="AC405" s="73"/>
      <c r="AD405" s="73"/>
      <c r="AE405" s="73"/>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row>
    <row r="406" spans="3:58">
      <c r="C406" s="74"/>
      <c r="Q406" s="72"/>
      <c r="R406" s="72"/>
      <c r="S406" s="72"/>
      <c r="T406" s="72"/>
      <c r="U406" s="72"/>
      <c r="V406" s="72"/>
      <c r="W406" s="72"/>
      <c r="X406" s="72"/>
      <c r="Y406" s="72"/>
      <c r="Z406" s="72"/>
      <c r="AA406" s="72"/>
      <c r="AB406" s="73"/>
      <c r="AC406" s="73"/>
      <c r="AD406" s="73"/>
      <c r="AE406" s="73"/>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row>
    <row r="407" spans="3:58">
      <c r="C407" s="74"/>
      <c r="Q407" s="72"/>
      <c r="R407" s="72"/>
      <c r="S407" s="72"/>
      <c r="T407" s="72"/>
      <c r="U407" s="72"/>
      <c r="V407" s="72"/>
      <c r="W407" s="72"/>
      <c r="X407" s="72"/>
      <c r="Y407" s="72"/>
      <c r="Z407" s="72"/>
      <c r="AA407" s="72"/>
      <c r="AB407" s="73"/>
      <c r="AC407" s="73"/>
      <c r="AD407" s="73"/>
      <c r="AE407" s="73"/>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c r="BC407" s="72"/>
      <c r="BD407" s="72"/>
      <c r="BE407" s="72"/>
      <c r="BF407" s="72"/>
    </row>
    <row r="408" spans="3:58">
      <c r="C408" s="74"/>
      <c r="Q408" s="72"/>
      <c r="R408" s="72"/>
      <c r="S408" s="72"/>
      <c r="T408" s="72"/>
      <c r="U408" s="72"/>
      <c r="V408" s="72"/>
      <c r="W408" s="72"/>
      <c r="X408" s="72"/>
      <c r="Y408" s="72"/>
      <c r="Z408" s="72"/>
      <c r="AA408" s="72"/>
      <c r="AB408" s="73"/>
      <c r="AC408" s="73"/>
      <c r="AD408" s="73"/>
      <c r="AE408" s="73"/>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c r="BC408" s="72"/>
      <c r="BD408" s="72"/>
      <c r="BE408" s="72"/>
      <c r="BF408" s="72"/>
    </row>
    <row r="409" spans="3:58">
      <c r="C409" s="74"/>
      <c r="Q409" s="72"/>
      <c r="R409" s="72"/>
      <c r="S409" s="72"/>
      <c r="T409" s="72"/>
      <c r="U409" s="72"/>
      <c r="V409" s="72"/>
      <c r="W409" s="72"/>
      <c r="X409" s="72"/>
      <c r="Y409" s="72"/>
      <c r="Z409" s="72"/>
      <c r="AA409" s="72"/>
      <c r="AB409" s="73"/>
      <c r="AC409" s="73"/>
      <c r="AD409" s="73"/>
      <c r="AE409" s="73"/>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c r="BC409" s="72"/>
      <c r="BD409" s="72"/>
      <c r="BE409" s="72"/>
      <c r="BF409" s="72"/>
    </row>
    <row r="410" spans="3:58">
      <c r="C410" s="74"/>
      <c r="Q410" s="72"/>
      <c r="R410" s="72"/>
      <c r="S410" s="72"/>
      <c r="T410" s="72"/>
      <c r="U410" s="72"/>
      <c r="V410" s="72"/>
      <c r="W410" s="72"/>
      <c r="X410" s="72"/>
      <c r="Y410" s="72"/>
      <c r="Z410" s="72"/>
      <c r="AA410" s="72"/>
      <c r="AB410" s="73"/>
      <c r="AC410" s="73"/>
      <c r="AD410" s="73"/>
      <c r="AE410" s="73"/>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c r="BC410" s="72"/>
      <c r="BD410" s="72"/>
      <c r="BE410" s="72"/>
      <c r="BF410" s="72"/>
    </row>
    <row r="411" spans="3:58">
      <c r="C411" s="74"/>
      <c r="Q411" s="72"/>
      <c r="R411" s="72"/>
      <c r="S411" s="72"/>
      <c r="T411" s="72"/>
      <c r="U411" s="72"/>
      <c r="V411" s="72"/>
      <c r="W411" s="72"/>
      <c r="X411" s="72"/>
      <c r="Y411" s="72"/>
      <c r="Z411" s="72"/>
      <c r="AA411" s="72"/>
      <c r="AB411" s="73"/>
      <c r="AC411" s="73"/>
      <c r="AD411" s="73"/>
      <c r="AE411" s="73"/>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c r="BC411" s="72"/>
      <c r="BD411" s="72"/>
      <c r="BE411" s="72"/>
      <c r="BF411" s="72"/>
    </row>
    <row r="412" spans="3:58">
      <c r="C412" s="74"/>
      <c r="Q412" s="72"/>
      <c r="R412" s="72"/>
      <c r="S412" s="72"/>
      <c r="T412" s="72"/>
      <c r="U412" s="72"/>
      <c r="V412" s="72"/>
      <c r="W412" s="72"/>
      <c r="X412" s="72"/>
      <c r="Y412" s="72"/>
      <c r="Z412" s="72"/>
      <c r="AA412" s="72"/>
      <c r="AB412" s="73"/>
      <c r="AC412" s="73"/>
      <c r="AD412" s="73"/>
      <c r="AE412" s="73"/>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row>
    <row r="413" spans="3:58">
      <c r="C413" s="74"/>
      <c r="Q413" s="72"/>
      <c r="R413" s="72"/>
      <c r="S413" s="72"/>
      <c r="T413" s="72"/>
      <c r="U413" s="72"/>
      <c r="V413" s="72"/>
      <c r="W413" s="72"/>
      <c r="X413" s="72"/>
      <c r="Y413" s="72"/>
      <c r="Z413" s="72"/>
      <c r="AA413" s="72"/>
      <c r="AB413" s="73"/>
      <c r="AC413" s="73"/>
      <c r="AD413" s="73"/>
      <c r="AE413" s="73"/>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c r="BC413" s="72"/>
      <c r="BD413" s="72"/>
      <c r="BE413" s="72"/>
      <c r="BF413" s="72"/>
    </row>
    <row r="414" spans="3:58">
      <c r="C414" s="74"/>
      <c r="Q414" s="72"/>
      <c r="R414" s="72"/>
      <c r="S414" s="72"/>
      <c r="T414" s="72"/>
      <c r="U414" s="72"/>
      <c r="V414" s="72"/>
      <c r="W414" s="72"/>
      <c r="X414" s="72"/>
      <c r="Y414" s="72"/>
      <c r="Z414" s="72"/>
      <c r="AA414" s="72"/>
      <c r="AB414" s="73"/>
      <c r="AC414" s="73"/>
      <c r="AD414" s="73"/>
      <c r="AE414" s="73"/>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c r="BC414" s="72"/>
      <c r="BD414" s="72"/>
      <c r="BE414" s="72"/>
      <c r="BF414" s="72"/>
    </row>
    <row r="415" spans="3:58">
      <c r="C415" s="74"/>
      <c r="Q415" s="72"/>
      <c r="R415" s="72"/>
      <c r="S415" s="72"/>
      <c r="T415" s="72"/>
      <c r="U415" s="72"/>
      <c r="V415" s="72"/>
      <c r="W415" s="72"/>
      <c r="X415" s="72"/>
      <c r="Y415" s="72"/>
      <c r="Z415" s="72"/>
      <c r="AA415" s="72"/>
      <c r="AB415" s="73"/>
      <c r="AC415" s="73"/>
      <c r="AD415" s="73"/>
      <c r="AE415" s="73"/>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c r="BC415" s="72"/>
      <c r="BD415" s="72"/>
      <c r="BE415" s="72"/>
      <c r="BF415" s="72"/>
    </row>
    <row r="416" spans="3:58">
      <c r="C416" s="74"/>
      <c r="Q416" s="72"/>
      <c r="R416" s="72"/>
      <c r="S416" s="72"/>
      <c r="T416" s="72"/>
      <c r="U416" s="72"/>
      <c r="V416" s="72"/>
      <c r="W416" s="72"/>
      <c r="X416" s="72"/>
      <c r="Y416" s="72"/>
      <c r="Z416" s="72"/>
      <c r="AA416" s="72"/>
      <c r="AB416" s="73"/>
      <c r="AC416" s="73"/>
      <c r="AD416" s="73"/>
      <c r="AE416" s="73"/>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row>
    <row r="417" spans="3:58">
      <c r="C417" s="74"/>
      <c r="Q417" s="72"/>
      <c r="R417" s="72"/>
      <c r="S417" s="72"/>
      <c r="T417" s="72"/>
      <c r="U417" s="72"/>
      <c r="V417" s="72"/>
      <c r="W417" s="72"/>
      <c r="X417" s="72"/>
      <c r="Y417" s="72"/>
      <c r="Z417" s="72"/>
      <c r="AA417" s="72"/>
      <c r="AB417" s="73"/>
      <c r="AC417" s="73"/>
      <c r="AD417" s="73"/>
      <c r="AE417" s="73"/>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c r="BC417" s="72"/>
      <c r="BD417" s="72"/>
      <c r="BE417" s="72"/>
      <c r="BF417" s="72"/>
    </row>
    <row r="418" spans="3:58">
      <c r="C418" s="74"/>
      <c r="Q418" s="72"/>
      <c r="R418" s="72"/>
      <c r="S418" s="72"/>
      <c r="T418" s="72"/>
      <c r="U418" s="72"/>
      <c r="V418" s="72"/>
      <c r="W418" s="72"/>
      <c r="X418" s="72"/>
      <c r="Y418" s="72"/>
      <c r="Z418" s="72"/>
      <c r="AA418" s="72"/>
      <c r="AB418" s="73"/>
      <c r="AC418" s="73"/>
      <c r="AD418" s="73"/>
      <c r="AE418" s="73"/>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c r="BC418" s="72"/>
      <c r="BD418" s="72"/>
      <c r="BE418" s="72"/>
      <c r="BF418" s="72"/>
    </row>
    <row r="419" spans="3:58">
      <c r="C419" s="74"/>
      <c r="Q419" s="72"/>
      <c r="R419" s="72"/>
      <c r="S419" s="72"/>
      <c r="T419" s="72"/>
      <c r="U419" s="72"/>
      <c r="V419" s="72"/>
      <c r="W419" s="72"/>
      <c r="X419" s="72"/>
      <c r="Y419" s="72"/>
      <c r="Z419" s="72"/>
      <c r="AA419" s="72"/>
      <c r="AB419" s="73"/>
      <c r="AC419" s="73"/>
      <c r="AD419" s="73"/>
      <c r="AE419" s="73"/>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c r="BC419" s="72"/>
      <c r="BD419" s="72"/>
      <c r="BE419" s="72"/>
      <c r="BF419" s="72"/>
    </row>
    <row r="420" spans="3:58">
      <c r="C420" s="74"/>
      <c r="Q420" s="72"/>
      <c r="R420" s="72"/>
      <c r="S420" s="72"/>
      <c r="T420" s="72"/>
      <c r="U420" s="72"/>
      <c r="V420" s="72"/>
      <c r="W420" s="72"/>
      <c r="X420" s="72"/>
      <c r="Y420" s="72"/>
      <c r="Z420" s="72"/>
      <c r="AA420" s="72"/>
      <c r="AB420" s="73"/>
      <c r="AC420" s="73"/>
      <c r="AD420" s="73"/>
      <c r="AE420" s="73"/>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c r="BC420" s="72"/>
      <c r="BD420" s="72"/>
      <c r="BE420" s="72"/>
      <c r="BF420" s="72"/>
    </row>
    <row r="421" spans="3:58">
      <c r="C421" s="74"/>
      <c r="Q421" s="72"/>
      <c r="R421" s="72"/>
      <c r="S421" s="72"/>
      <c r="T421" s="72"/>
      <c r="U421" s="72"/>
      <c r="V421" s="72"/>
      <c r="W421" s="72"/>
      <c r="X421" s="72"/>
      <c r="Y421" s="72"/>
      <c r="Z421" s="72"/>
      <c r="AA421" s="72"/>
      <c r="AB421" s="73"/>
      <c r="AC421" s="73"/>
      <c r="AD421" s="73"/>
      <c r="AE421" s="73"/>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c r="BC421" s="72"/>
      <c r="BD421" s="72"/>
      <c r="BE421" s="72"/>
      <c r="BF421" s="72"/>
    </row>
    <row r="422" spans="3:58">
      <c r="C422" s="74"/>
      <c r="Q422" s="72"/>
      <c r="R422" s="72"/>
      <c r="S422" s="72"/>
      <c r="T422" s="72"/>
      <c r="U422" s="72"/>
      <c r="V422" s="72"/>
      <c r="W422" s="72"/>
      <c r="X422" s="72"/>
      <c r="Y422" s="72"/>
      <c r="Z422" s="72"/>
      <c r="AA422" s="72"/>
      <c r="AB422" s="73"/>
      <c r="AC422" s="73"/>
      <c r="AD422" s="73"/>
      <c r="AE422" s="73"/>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c r="BC422" s="72"/>
      <c r="BD422" s="72"/>
      <c r="BE422" s="72"/>
      <c r="BF422" s="72"/>
    </row>
    <row r="423" spans="3:58">
      <c r="C423" s="74"/>
      <c r="Q423" s="72"/>
      <c r="R423" s="72"/>
      <c r="S423" s="72"/>
      <c r="T423" s="72"/>
      <c r="U423" s="72"/>
      <c r="V423" s="72"/>
      <c r="W423" s="72"/>
      <c r="X423" s="72"/>
      <c r="Y423" s="72"/>
      <c r="Z423" s="72"/>
      <c r="AA423" s="72"/>
      <c r="AB423" s="73"/>
      <c r="AC423" s="73"/>
      <c r="AD423" s="73"/>
      <c r="AE423" s="73"/>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c r="BC423" s="72"/>
      <c r="BD423" s="72"/>
      <c r="BE423" s="72"/>
      <c r="BF423" s="72"/>
    </row>
    <row r="424" spans="3:58">
      <c r="C424" s="74"/>
      <c r="Q424" s="72"/>
      <c r="R424" s="72"/>
      <c r="S424" s="72"/>
      <c r="T424" s="72"/>
      <c r="U424" s="72"/>
      <c r="V424" s="72"/>
      <c r="W424" s="72"/>
      <c r="X424" s="72"/>
      <c r="Y424" s="72"/>
      <c r="Z424" s="72"/>
      <c r="AA424" s="72"/>
      <c r="AB424" s="73"/>
      <c r="AC424" s="73"/>
      <c r="AD424" s="73"/>
      <c r="AE424" s="73"/>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c r="BC424" s="72"/>
      <c r="BD424" s="72"/>
      <c r="BE424" s="72"/>
      <c r="BF424" s="72"/>
    </row>
    <row r="425" spans="3:58">
      <c r="C425" s="74"/>
      <c r="Q425" s="72"/>
      <c r="R425" s="72"/>
      <c r="S425" s="72"/>
      <c r="T425" s="72"/>
      <c r="U425" s="72"/>
      <c r="V425" s="72"/>
      <c r="W425" s="72"/>
      <c r="X425" s="72"/>
      <c r="Y425" s="72"/>
      <c r="Z425" s="72"/>
      <c r="AA425" s="72"/>
      <c r="AB425" s="73"/>
      <c r="AC425" s="73"/>
      <c r="AD425" s="73"/>
      <c r="AE425" s="73"/>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row>
    <row r="426" spans="3:58">
      <c r="C426" s="74"/>
      <c r="Q426" s="72"/>
      <c r="R426" s="72"/>
      <c r="S426" s="72"/>
      <c r="T426" s="72"/>
      <c r="U426" s="72"/>
      <c r="V426" s="72"/>
      <c r="W426" s="72"/>
      <c r="X426" s="72"/>
      <c r="Y426" s="72"/>
      <c r="Z426" s="72"/>
      <c r="AA426" s="72"/>
      <c r="AB426" s="73"/>
      <c r="AC426" s="73"/>
      <c r="AD426" s="73"/>
      <c r="AE426" s="73"/>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row>
    <row r="427" spans="3:58">
      <c r="C427" s="74"/>
      <c r="Q427" s="72"/>
      <c r="R427" s="72"/>
      <c r="S427" s="72"/>
      <c r="T427" s="72"/>
      <c r="U427" s="72"/>
      <c r="V427" s="72"/>
      <c r="W427" s="72"/>
      <c r="X427" s="72"/>
      <c r="Y427" s="72"/>
      <c r="Z427" s="72"/>
      <c r="AA427" s="72"/>
      <c r="AB427" s="73"/>
      <c r="AC427" s="73"/>
      <c r="AD427" s="73"/>
      <c r="AE427" s="73"/>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row>
    <row r="428" spans="3:58">
      <c r="C428" s="74"/>
      <c r="Q428" s="72"/>
      <c r="R428" s="72"/>
      <c r="S428" s="72"/>
      <c r="T428" s="72"/>
      <c r="U428" s="72"/>
      <c r="V428" s="72"/>
      <c r="W428" s="72"/>
      <c r="X428" s="72"/>
      <c r="Y428" s="72"/>
      <c r="Z428" s="72"/>
      <c r="AA428" s="72"/>
      <c r="AB428" s="73"/>
      <c r="AC428" s="73"/>
      <c r="AD428" s="73"/>
      <c r="AE428" s="73"/>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row>
    <row r="429" spans="3:58">
      <c r="C429" s="74"/>
      <c r="Q429" s="72"/>
      <c r="R429" s="72"/>
      <c r="S429" s="72"/>
      <c r="T429" s="72"/>
      <c r="U429" s="72"/>
      <c r="V429" s="72"/>
      <c r="W429" s="72"/>
      <c r="X429" s="72"/>
      <c r="Y429" s="72"/>
      <c r="Z429" s="72"/>
      <c r="AA429" s="72"/>
      <c r="AB429" s="73"/>
      <c r="AC429" s="73"/>
      <c r="AD429" s="73"/>
      <c r="AE429" s="73"/>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row>
    <row r="430" spans="3:58">
      <c r="C430" s="74"/>
      <c r="Q430" s="72"/>
      <c r="R430" s="72"/>
      <c r="S430" s="72"/>
      <c r="T430" s="72"/>
      <c r="U430" s="72"/>
      <c r="V430" s="72"/>
      <c r="W430" s="72"/>
      <c r="X430" s="72"/>
      <c r="Y430" s="72"/>
      <c r="Z430" s="72"/>
      <c r="AA430" s="72"/>
      <c r="AB430" s="73"/>
      <c r="AC430" s="73"/>
      <c r="AD430" s="73"/>
      <c r="AE430" s="73"/>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c r="BC430" s="72"/>
      <c r="BD430" s="72"/>
      <c r="BE430" s="72"/>
      <c r="BF430" s="72"/>
    </row>
    <row r="431" spans="3:58">
      <c r="C431" s="74"/>
      <c r="Q431" s="72"/>
      <c r="R431" s="72"/>
      <c r="S431" s="72"/>
      <c r="T431" s="72"/>
      <c r="U431" s="72"/>
      <c r="V431" s="72"/>
      <c r="W431" s="72"/>
      <c r="X431" s="72"/>
      <c r="Y431" s="72"/>
      <c r="Z431" s="72"/>
      <c r="AA431" s="72"/>
      <c r="AB431" s="73"/>
      <c r="AC431" s="73"/>
      <c r="AD431" s="73"/>
      <c r="AE431" s="73"/>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c r="BC431" s="72"/>
      <c r="BD431" s="72"/>
      <c r="BE431" s="72"/>
      <c r="BF431" s="72"/>
    </row>
    <row r="432" spans="3:58">
      <c r="C432" s="74"/>
      <c r="Q432" s="72"/>
      <c r="R432" s="72"/>
      <c r="S432" s="72"/>
      <c r="T432" s="72"/>
      <c r="U432" s="72"/>
      <c r="V432" s="72"/>
      <c r="W432" s="72"/>
      <c r="X432" s="72"/>
      <c r="Y432" s="72"/>
      <c r="Z432" s="72"/>
      <c r="AA432" s="72"/>
      <c r="AB432" s="73"/>
      <c r="AC432" s="73"/>
      <c r="AD432" s="73"/>
      <c r="AE432" s="73"/>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c r="BC432" s="72"/>
      <c r="BD432" s="72"/>
      <c r="BE432" s="72"/>
      <c r="BF432" s="72"/>
    </row>
    <row r="433" spans="3:58">
      <c r="C433" s="74"/>
      <c r="Q433" s="72"/>
      <c r="R433" s="72"/>
      <c r="S433" s="72"/>
      <c r="T433" s="72"/>
      <c r="U433" s="72"/>
      <c r="V433" s="72"/>
      <c r="W433" s="72"/>
      <c r="X433" s="72"/>
      <c r="Y433" s="72"/>
      <c r="Z433" s="72"/>
      <c r="AA433" s="72"/>
      <c r="AB433" s="73"/>
      <c r="AC433" s="73"/>
      <c r="AD433" s="73"/>
      <c r="AE433" s="73"/>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row>
    <row r="434" spans="3:58">
      <c r="C434" s="74"/>
      <c r="Q434" s="72"/>
      <c r="R434" s="72"/>
      <c r="S434" s="72"/>
      <c r="T434" s="72"/>
      <c r="U434" s="72"/>
      <c r="V434" s="72"/>
      <c r="W434" s="72"/>
      <c r="X434" s="72"/>
      <c r="Y434" s="72"/>
      <c r="Z434" s="72"/>
      <c r="AA434" s="72"/>
      <c r="AB434" s="73"/>
      <c r="AC434" s="73"/>
      <c r="AD434" s="73"/>
      <c r="AE434" s="73"/>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row>
    <row r="435" spans="3:58">
      <c r="C435" s="74"/>
      <c r="Q435" s="72"/>
      <c r="R435" s="72"/>
      <c r="S435" s="72"/>
      <c r="T435" s="72"/>
      <c r="U435" s="72"/>
      <c r="V435" s="72"/>
      <c r="W435" s="72"/>
      <c r="X435" s="72"/>
      <c r="Y435" s="72"/>
      <c r="Z435" s="72"/>
      <c r="AA435" s="72"/>
      <c r="AB435" s="73"/>
      <c r="AC435" s="73"/>
      <c r="AD435" s="73"/>
      <c r="AE435" s="73"/>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row>
    <row r="436" spans="3:58">
      <c r="C436" s="74"/>
      <c r="Q436" s="72"/>
      <c r="R436" s="72"/>
      <c r="S436" s="72"/>
      <c r="T436" s="72"/>
      <c r="U436" s="72"/>
      <c r="V436" s="72"/>
      <c r="W436" s="72"/>
      <c r="X436" s="72"/>
      <c r="Y436" s="72"/>
      <c r="Z436" s="72"/>
      <c r="AA436" s="72"/>
      <c r="AB436" s="73"/>
      <c r="AC436" s="73"/>
      <c r="AD436" s="73"/>
      <c r="AE436" s="73"/>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row>
    <row r="437" spans="3:58">
      <c r="C437" s="74"/>
      <c r="Q437" s="72"/>
      <c r="R437" s="72"/>
      <c r="S437" s="72"/>
      <c r="T437" s="72"/>
      <c r="U437" s="72"/>
      <c r="V437" s="72"/>
      <c r="W437" s="72"/>
      <c r="X437" s="72"/>
      <c r="Y437" s="72"/>
      <c r="Z437" s="72"/>
      <c r="AA437" s="72"/>
      <c r="AB437" s="73"/>
      <c r="AC437" s="73"/>
      <c r="AD437" s="73"/>
      <c r="AE437" s="73"/>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c r="BC437" s="72"/>
      <c r="BD437" s="72"/>
      <c r="BE437" s="72"/>
      <c r="BF437" s="72"/>
    </row>
    <row r="438" spans="3:58">
      <c r="C438" s="74"/>
      <c r="Q438" s="72"/>
      <c r="R438" s="72"/>
      <c r="S438" s="72"/>
      <c r="T438" s="72"/>
      <c r="U438" s="72"/>
      <c r="V438" s="72"/>
      <c r="W438" s="72"/>
      <c r="X438" s="72"/>
      <c r="Y438" s="72"/>
      <c r="Z438" s="72"/>
      <c r="AA438" s="72"/>
      <c r="AB438" s="73"/>
      <c r="AC438" s="73"/>
      <c r="AD438" s="73"/>
      <c r="AE438" s="73"/>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c r="BC438" s="72"/>
      <c r="BD438" s="72"/>
      <c r="BE438" s="72"/>
      <c r="BF438" s="72"/>
    </row>
    <row r="439" spans="3:58">
      <c r="C439" s="74"/>
      <c r="Q439" s="72"/>
      <c r="R439" s="72"/>
      <c r="S439" s="72"/>
      <c r="T439" s="72"/>
      <c r="U439" s="72"/>
      <c r="V439" s="72"/>
      <c r="W439" s="72"/>
      <c r="X439" s="72"/>
      <c r="Y439" s="72"/>
      <c r="Z439" s="72"/>
      <c r="AA439" s="72"/>
      <c r="AB439" s="73"/>
      <c r="AC439" s="73"/>
      <c r="AD439" s="73"/>
      <c r="AE439" s="73"/>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c r="BC439" s="72"/>
      <c r="BD439" s="72"/>
      <c r="BE439" s="72"/>
      <c r="BF439" s="72"/>
    </row>
    <row r="440" spans="3:58">
      <c r="C440" s="74"/>
      <c r="Q440" s="72"/>
      <c r="R440" s="72"/>
      <c r="S440" s="72"/>
      <c r="T440" s="72"/>
      <c r="U440" s="72"/>
      <c r="V440" s="72"/>
      <c r="W440" s="72"/>
      <c r="X440" s="72"/>
      <c r="Y440" s="72"/>
      <c r="Z440" s="72"/>
      <c r="AA440" s="72"/>
      <c r="AB440" s="73"/>
      <c r="AC440" s="73"/>
      <c r="AD440" s="73"/>
      <c r="AE440" s="73"/>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c r="BC440" s="72"/>
      <c r="BD440" s="72"/>
      <c r="BE440" s="72"/>
      <c r="BF440" s="72"/>
    </row>
    <row r="441" spans="3:58">
      <c r="C441" s="74"/>
      <c r="Q441" s="72"/>
      <c r="R441" s="72"/>
      <c r="S441" s="72"/>
      <c r="T441" s="72"/>
      <c r="U441" s="72"/>
      <c r="V441" s="72"/>
      <c r="W441" s="72"/>
      <c r="X441" s="72"/>
      <c r="Y441" s="72"/>
      <c r="Z441" s="72"/>
      <c r="AA441" s="72"/>
      <c r="AB441" s="73"/>
      <c r="AC441" s="73"/>
      <c r="AD441" s="73"/>
      <c r="AE441" s="73"/>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row>
    <row r="442" spans="3:58">
      <c r="C442" s="74"/>
      <c r="Q442" s="72"/>
      <c r="R442" s="72"/>
      <c r="S442" s="72"/>
      <c r="T442" s="72"/>
      <c r="U442" s="72"/>
      <c r="V442" s="72"/>
      <c r="W442" s="72"/>
      <c r="X442" s="72"/>
      <c r="Y442" s="72"/>
      <c r="Z442" s="72"/>
      <c r="AA442" s="72"/>
      <c r="AB442" s="73"/>
      <c r="AC442" s="73"/>
      <c r="AD442" s="73"/>
      <c r="AE442" s="73"/>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c r="BC442" s="72"/>
      <c r="BD442" s="72"/>
      <c r="BE442" s="72"/>
      <c r="BF442" s="72"/>
    </row>
    <row r="443" spans="3:58">
      <c r="C443" s="74"/>
      <c r="Q443" s="72"/>
      <c r="R443" s="72"/>
      <c r="S443" s="72"/>
      <c r="T443" s="72"/>
      <c r="U443" s="72"/>
      <c r="V443" s="72"/>
      <c r="W443" s="72"/>
      <c r="X443" s="72"/>
      <c r="Y443" s="72"/>
      <c r="Z443" s="72"/>
      <c r="AA443" s="72"/>
      <c r="AB443" s="73"/>
      <c r="AC443" s="73"/>
      <c r="AD443" s="73"/>
      <c r="AE443" s="73"/>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c r="BC443" s="72"/>
      <c r="BD443" s="72"/>
      <c r="BE443" s="72"/>
      <c r="BF443" s="72"/>
    </row>
    <row r="444" spans="3:58">
      <c r="C444" s="74"/>
      <c r="Q444" s="72"/>
      <c r="R444" s="72"/>
      <c r="S444" s="72"/>
      <c r="T444" s="72"/>
      <c r="U444" s="72"/>
      <c r="V444" s="72"/>
      <c r="W444" s="72"/>
      <c r="X444" s="72"/>
      <c r="Y444" s="72"/>
      <c r="Z444" s="72"/>
      <c r="AA444" s="72"/>
      <c r="AB444" s="73"/>
      <c r="AC444" s="73"/>
      <c r="AD444" s="73"/>
      <c r="AE444" s="73"/>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c r="BC444" s="72"/>
      <c r="BD444" s="72"/>
      <c r="BE444" s="72"/>
      <c r="BF444" s="72"/>
    </row>
    <row r="445" spans="3:58">
      <c r="C445" s="74"/>
      <c r="Q445" s="72"/>
      <c r="R445" s="72"/>
      <c r="S445" s="72"/>
      <c r="T445" s="72"/>
      <c r="U445" s="72"/>
      <c r="V445" s="72"/>
      <c r="W445" s="72"/>
      <c r="X445" s="72"/>
      <c r="Y445" s="72"/>
      <c r="Z445" s="72"/>
      <c r="AA445" s="72"/>
      <c r="AB445" s="73"/>
      <c r="AC445" s="73"/>
      <c r="AD445" s="73"/>
      <c r="AE445" s="73"/>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c r="BC445" s="72"/>
      <c r="BD445" s="72"/>
      <c r="BE445" s="72"/>
      <c r="BF445" s="72"/>
    </row>
    <row r="446" spans="3:58">
      <c r="C446" s="74"/>
      <c r="Q446" s="72"/>
      <c r="R446" s="72"/>
      <c r="S446" s="72"/>
      <c r="T446" s="72"/>
      <c r="U446" s="72"/>
      <c r="V446" s="72"/>
      <c r="W446" s="72"/>
      <c r="X446" s="72"/>
      <c r="Y446" s="72"/>
      <c r="Z446" s="72"/>
      <c r="AA446" s="72"/>
      <c r="AB446" s="73"/>
      <c r="AC446" s="73"/>
      <c r="AD446" s="73"/>
      <c r="AE446" s="73"/>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row>
    <row r="447" spans="3:58">
      <c r="C447" s="74"/>
      <c r="Q447" s="72"/>
      <c r="R447" s="72"/>
      <c r="S447" s="72"/>
      <c r="T447" s="72"/>
      <c r="U447" s="72"/>
      <c r="V447" s="72"/>
      <c r="W447" s="72"/>
      <c r="X447" s="72"/>
      <c r="Y447" s="72"/>
      <c r="Z447" s="72"/>
      <c r="AA447" s="72"/>
      <c r="AB447" s="73"/>
      <c r="AC447" s="73"/>
      <c r="AD447" s="73"/>
      <c r="AE447" s="73"/>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c r="BC447" s="72"/>
      <c r="BD447" s="72"/>
      <c r="BE447" s="72"/>
      <c r="BF447" s="72"/>
    </row>
    <row r="448" spans="3:58">
      <c r="C448" s="74"/>
      <c r="Q448" s="72"/>
      <c r="R448" s="72"/>
      <c r="S448" s="72"/>
      <c r="T448" s="72"/>
      <c r="U448" s="72"/>
      <c r="V448" s="72"/>
      <c r="W448" s="72"/>
      <c r="X448" s="72"/>
      <c r="Y448" s="72"/>
      <c r="Z448" s="72"/>
      <c r="AA448" s="72"/>
      <c r="AB448" s="73"/>
      <c r="AC448" s="73"/>
      <c r="AD448" s="73"/>
      <c r="AE448" s="73"/>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c r="BC448" s="72"/>
      <c r="BD448" s="72"/>
      <c r="BE448" s="72"/>
      <c r="BF448" s="72"/>
    </row>
    <row r="449" spans="3:58">
      <c r="C449" s="74"/>
      <c r="Q449" s="72"/>
      <c r="R449" s="72"/>
      <c r="S449" s="72"/>
      <c r="T449" s="72"/>
      <c r="U449" s="72"/>
      <c r="V449" s="72"/>
      <c r="W449" s="72"/>
      <c r="X449" s="72"/>
      <c r="Y449" s="72"/>
      <c r="Z449" s="72"/>
      <c r="AA449" s="72"/>
      <c r="AB449" s="73"/>
      <c r="AC449" s="73"/>
      <c r="AD449" s="73"/>
      <c r="AE449" s="73"/>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c r="BC449" s="72"/>
      <c r="BD449" s="72"/>
      <c r="BE449" s="72"/>
      <c r="BF449" s="72"/>
    </row>
    <row r="450" spans="3:58">
      <c r="C450" s="74"/>
      <c r="Q450" s="72"/>
      <c r="R450" s="72"/>
      <c r="S450" s="72"/>
      <c r="T450" s="72"/>
      <c r="U450" s="72"/>
      <c r="V450" s="72"/>
      <c r="W450" s="72"/>
      <c r="X450" s="72"/>
      <c r="Y450" s="72"/>
      <c r="Z450" s="72"/>
      <c r="AA450" s="72"/>
      <c r="AB450" s="73"/>
      <c r="AC450" s="73"/>
      <c r="AD450" s="73"/>
      <c r="AE450" s="73"/>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c r="BC450" s="72"/>
      <c r="BD450" s="72"/>
      <c r="BE450" s="72"/>
      <c r="BF450" s="72"/>
    </row>
    <row r="451" spans="3:58">
      <c r="C451" s="74"/>
      <c r="Q451" s="72"/>
      <c r="R451" s="72"/>
      <c r="S451" s="72"/>
      <c r="T451" s="72"/>
      <c r="U451" s="72"/>
      <c r="V451" s="72"/>
      <c r="W451" s="72"/>
      <c r="X451" s="72"/>
      <c r="Y451" s="72"/>
      <c r="Z451" s="72"/>
      <c r="AA451" s="72"/>
      <c r="AB451" s="73"/>
      <c r="AC451" s="73"/>
      <c r="AD451" s="73"/>
      <c r="AE451" s="73"/>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72"/>
      <c r="BD451" s="72"/>
      <c r="BE451" s="72"/>
      <c r="BF451" s="72"/>
    </row>
    <row r="452" spans="3:58">
      <c r="C452" s="74"/>
      <c r="Q452" s="72"/>
      <c r="R452" s="72"/>
      <c r="S452" s="72"/>
      <c r="T452" s="72"/>
      <c r="U452" s="72"/>
      <c r="V452" s="72"/>
      <c r="W452" s="72"/>
      <c r="X452" s="72"/>
      <c r="Y452" s="72"/>
      <c r="Z452" s="72"/>
      <c r="AA452" s="72"/>
      <c r="AB452" s="73"/>
      <c r="AC452" s="73"/>
      <c r="AD452" s="73"/>
      <c r="AE452" s="73"/>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c r="BC452" s="72"/>
      <c r="BD452" s="72"/>
      <c r="BE452" s="72"/>
      <c r="BF452" s="72"/>
    </row>
    <row r="453" spans="3:58">
      <c r="C453" s="74"/>
      <c r="Q453" s="72"/>
      <c r="R453" s="72"/>
      <c r="S453" s="72"/>
      <c r="T453" s="72"/>
      <c r="U453" s="72"/>
      <c r="V453" s="72"/>
      <c r="W453" s="72"/>
      <c r="X453" s="72"/>
      <c r="Y453" s="72"/>
      <c r="Z453" s="72"/>
      <c r="AA453" s="72"/>
      <c r="AB453" s="73"/>
      <c r="AC453" s="73"/>
      <c r="AD453" s="73"/>
      <c r="AE453" s="73"/>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c r="BC453" s="72"/>
      <c r="BD453" s="72"/>
      <c r="BE453" s="72"/>
      <c r="BF453" s="72"/>
    </row>
    <row r="454" spans="3:58">
      <c r="C454" s="74"/>
      <c r="Q454" s="72"/>
      <c r="R454" s="72"/>
      <c r="S454" s="72"/>
      <c r="T454" s="72"/>
      <c r="U454" s="72"/>
      <c r="V454" s="72"/>
      <c r="W454" s="72"/>
      <c r="X454" s="72"/>
      <c r="Y454" s="72"/>
      <c r="Z454" s="72"/>
      <c r="AA454" s="72"/>
      <c r="AB454" s="73"/>
      <c r="AC454" s="73"/>
      <c r="AD454" s="73"/>
      <c r="AE454" s="73"/>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c r="BC454" s="72"/>
      <c r="BD454" s="72"/>
      <c r="BE454" s="72"/>
      <c r="BF454" s="72"/>
    </row>
    <row r="455" spans="3:58">
      <c r="C455" s="74"/>
      <c r="Q455" s="72"/>
      <c r="R455" s="72"/>
      <c r="S455" s="72"/>
      <c r="T455" s="72"/>
      <c r="U455" s="72"/>
      <c r="V455" s="72"/>
      <c r="W455" s="72"/>
      <c r="X455" s="72"/>
      <c r="Y455" s="72"/>
      <c r="Z455" s="72"/>
      <c r="AA455" s="72"/>
      <c r="AB455" s="73"/>
      <c r="AC455" s="73"/>
      <c r="AD455" s="73"/>
      <c r="AE455" s="73"/>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c r="BC455" s="72"/>
      <c r="BD455" s="72"/>
      <c r="BE455" s="72"/>
      <c r="BF455" s="72"/>
    </row>
    <row r="456" spans="3:58">
      <c r="C456" s="74"/>
      <c r="Q456" s="72"/>
      <c r="R456" s="72"/>
      <c r="S456" s="72"/>
      <c r="T456" s="72"/>
      <c r="U456" s="72"/>
      <c r="V456" s="72"/>
      <c r="W456" s="72"/>
      <c r="X456" s="72"/>
      <c r="Y456" s="72"/>
      <c r="Z456" s="72"/>
      <c r="AA456" s="72"/>
      <c r="AB456" s="73"/>
      <c r="AC456" s="73"/>
      <c r="AD456" s="73"/>
      <c r="AE456" s="73"/>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c r="BC456" s="72"/>
      <c r="BD456" s="72"/>
      <c r="BE456" s="72"/>
      <c r="BF456" s="72"/>
    </row>
    <row r="457" spans="3:58">
      <c r="C457" s="74"/>
      <c r="Q457" s="72"/>
      <c r="R457" s="72"/>
      <c r="S457" s="72"/>
      <c r="T457" s="72"/>
      <c r="U457" s="72"/>
      <c r="V457" s="72"/>
      <c r="W457" s="72"/>
      <c r="X457" s="72"/>
      <c r="Y457" s="72"/>
      <c r="Z457" s="72"/>
      <c r="AA457" s="72"/>
      <c r="AB457" s="73"/>
      <c r="AC457" s="73"/>
      <c r="AD457" s="73"/>
      <c r="AE457" s="73"/>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c r="BC457" s="72"/>
      <c r="BD457" s="72"/>
      <c r="BE457" s="72"/>
      <c r="BF457" s="72"/>
    </row>
    <row r="458" spans="3:58">
      <c r="C458" s="74"/>
      <c r="Q458" s="72"/>
      <c r="R458" s="72"/>
      <c r="S458" s="72"/>
      <c r="T458" s="72"/>
      <c r="U458" s="72"/>
      <c r="V458" s="72"/>
      <c r="W458" s="72"/>
      <c r="X458" s="72"/>
      <c r="Y458" s="72"/>
      <c r="Z458" s="72"/>
      <c r="AA458" s="72"/>
      <c r="AB458" s="73"/>
      <c r="AC458" s="73"/>
      <c r="AD458" s="73"/>
      <c r="AE458" s="73"/>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c r="BC458" s="72"/>
      <c r="BD458" s="72"/>
      <c r="BE458" s="72"/>
      <c r="BF458" s="72"/>
    </row>
    <row r="459" spans="3:58">
      <c r="C459" s="74"/>
      <c r="Q459" s="72"/>
      <c r="R459" s="72"/>
      <c r="S459" s="72"/>
      <c r="T459" s="72"/>
      <c r="U459" s="72"/>
      <c r="V459" s="72"/>
      <c r="W459" s="72"/>
      <c r="X459" s="72"/>
      <c r="Y459" s="72"/>
      <c r="Z459" s="72"/>
      <c r="AA459" s="72"/>
      <c r="AB459" s="73"/>
      <c r="AC459" s="73"/>
      <c r="AD459" s="73"/>
      <c r="AE459" s="73"/>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c r="BC459" s="72"/>
      <c r="BD459" s="72"/>
      <c r="BE459" s="72"/>
      <c r="BF459" s="72"/>
    </row>
    <row r="460" spans="3:58">
      <c r="C460" s="74"/>
      <c r="Q460" s="72"/>
      <c r="R460" s="72"/>
      <c r="S460" s="72"/>
      <c r="T460" s="72"/>
      <c r="U460" s="72"/>
      <c r="V460" s="72"/>
      <c r="W460" s="72"/>
      <c r="X460" s="72"/>
      <c r="Y460" s="72"/>
      <c r="Z460" s="72"/>
      <c r="AA460" s="72"/>
      <c r="AB460" s="73"/>
      <c r="AC460" s="73"/>
      <c r="AD460" s="73"/>
      <c r="AE460" s="73"/>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c r="BC460" s="72"/>
      <c r="BD460" s="72"/>
      <c r="BE460" s="72"/>
      <c r="BF460" s="72"/>
    </row>
    <row r="461" spans="3:58">
      <c r="C461" s="74"/>
      <c r="Q461" s="72"/>
      <c r="R461" s="72"/>
      <c r="S461" s="72"/>
      <c r="T461" s="72"/>
      <c r="U461" s="72"/>
      <c r="V461" s="72"/>
      <c r="W461" s="72"/>
      <c r="X461" s="72"/>
      <c r="Y461" s="72"/>
      <c r="Z461" s="72"/>
      <c r="AA461" s="72"/>
      <c r="AB461" s="73"/>
      <c r="AC461" s="73"/>
      <c r="AD461" s="73"/>
      <c r="AE461" s="73"/>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row>
    <row r="462" spans="3:58">
      <c r="C462" s="74"/>
      <c r="Q462" s="72"/>
      <c r="R462" s="72"/>
      <c r="S462" s="72"/>
      <c r="T462" s="72"/>
      <c r="U462" s="72"/>
      <c r="V462" s="72"/>
      <c r="W462" s="72"/>
      <c r="X462" s="72"/>
      <c r="Y462" s="72"/>
      <c r="Z462" s="72"/>
      <c r="AA462" s="72"/>
      <c r="AB462" s="73"/>
      <c r="AC462" s="73"/>
      <c r="AD462" s="73"/>
      <c r="AE462" s="73"/>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row>
    <row r="463" spans="3:58">
      <c r="C463" s="74"/>
      <c r="Q463" s="72"/>
      <c r="R463" s="72"/>
      <c r="S463" s="72"/>
      <c r="T463" s="72"/>
      <c r="U463" s="72"/>
      <c r="V463" s="72"/>
      <c r="W463" s="72"/>
      <c r="X463" s="72"/>
      <c r="Y463" s="72"/>
      <c r="Z463" s="72"/>
      <c r="AA463" s="72"/>
      <c r="AB463" s="73"/>
      <c r="AC463" s="73"/>
      <c r="AD463" s="73"/>
      <c r="AE463" s="73"/>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row>
    <row r="464" spans="3:58">
      <c r="C464" s="74"/>
      <c r="Q464" s="72"/>
      <c r="R464" s="72"/>
      <c r="S464" s="72"/>
      <c r="T464" s="72"/>
      <c r="U464" s="72"/>
      <c r="V464" s="72"/>
      <c r="W464" s="72"/>
      <c r="X464" s="72"/>
      <c r="Y464" s="72"/>
      <c r="Z464" s="72"/>
      <c r="AA464" s="72"/>
      <c r="AB464" s="73"/>
      <c r="AC464" s="73"/>
      <c r="AD464" s="73"/>
      <c r="AE464" s="73"/>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row>
    <row r="465" spans="3:58">
      <c r="C465" s="74"/>
      <c r="Q465" s="72"/>
      <c r="R465" s="72"/>
      <c r="S465" s="72"/>
      <c r="T465" s="72"/>
      <c r="U465" s="72"/>
      <c r="V465" s="72"/>
      <c r="W465" s="72"/>
      <c r="X465" s="72"/>
      <c r="Y465" s="72"/>
      <c r="Z465" s="72"/>
      <c r="AA465" s="72"/>
      <c r="AB465" s="73"/>
      <c r="AC465" s="73"/>
      <c r="AD465" s="73"/>
      <c r="AE465" s="73"/>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c r="BC465" s="72"/>
      <c r="BD465" s="72"/>
      <c r="BE465" s="72"/>
      <c r="BF465" s="72"/>
    </row>
    <row r="466" spans="3:58">
      <c r="C466" s="74"/>
      <c r="Q466" s="72"/>
      <c r="R466" s="72"/>
      <c r="S466" s="72"/>
      <c r="T466" s="72"/>
      <c r="U466" s="72"/>
      <c r="V466" s="72"/>
      <c r="W466" s="72"/>
      <c r="X466" s="72"/>
      <c r="Y466" s="72"/>
      <c r="Z466" s="72"/>
      <c r="AA466" s="72"/>
      <c r="AB466" s="73"/>
      <c r="AC466" s="73"/>
      <c r="AD466" s="73"/>
      <c r="AE466" s="73"/>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row>
    <row r="467" spans="3:58">
      <c r="C467" s="74"/>
      <c r="Q467" s="72"/>
      <c r="R467" s="72"/>
      <c r="S467" s="72"/>
      <c r="T467" s="72"/>
      <c r="U467" s="72"/>
      <c r="V467" s="72"/>
      <c r="W467" s="72"/>
      <c r="X467" s="72"/>
      <c r="Y467" s="72"/>
      <c r="Z467" s="72"/>
      <c r="AA467" s="72"/>
      <c r="AB467" s="73"/>
      <c r="AC467" s="73"/>
      <c r="AD467" s="73"/>
      <c r="AE467" s="73"/>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row>
    <row r="468" spans="3:58">
      <c r="C468" s="74"/>
      <c r="Q468" s="72"/>
      <c r="R468" s="72"/>
      <c r="S468" s="72"/>
      <c r="T468" s="72"/>
      <c r="U468" s="72"/>
      <c r="V468" s="72"/>
      <c r="W468" s="72"/>
      <c r="X468" s="72"/>
      <c r="Y468" s="72"/>
      <c r="Z468" s="72"/>
      <c r="AA468" s="72"/>
      <c r="AB468" s="73"/>
      <c r="AC468" s="73"/>
      <c r="AD468" s="73"/>
      <c r="AE468" s="73"/>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row>
    <row r="469" spans="3:58">
      <c r="C469" s="74"/>
      <c r="Q469" s="72"/>
      <c r="R469" s="72"/>
      <c r="S469" s="72"/>
      <c r="T469" s="72"/>
      <c r="U469" s="72"/>
      <c r="V469" s="72"/>
      <c r="W469" s="72"/>
      <c r="X469" s="72"/>
      <c r="Y469" s="72"/>
      <c r="Z469" s="72"/>
      <c r="AA469" s="72"/>
      <c r="AB469" s="73"/>
      <c r="AC469" s="73"/>
      <c r="AD469" s="73"/>
      <c r="AE469" s="73"/>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row>
    <row r="470" spans="3:58">
      <c r="C470" s="74"/>
      <c r="Q470" s="72"/>
      <c r="R470" s="72"/>
      <c r="S470" s="72"/>
      <c r="T470" s="72"/>
      <c r="U470" s="72"/>
      <c r="V470" s="72"/>
      <c r="W470" s="72"/>
      <c r="X470" s="72"/>
      <c r="Y470" s="72"/>
      <c r="Z470" s="72"/>
      <c r="AA470" s="72"/>
      <c r="AB470" s="73"/>
      <c r="AC470" s="73"/>
      <c r="AD470" s="73"/>
      <c r="AE470" s="73"/>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row>
    <row r="471" spans="3:58">
      <c r="C471" s="74"/>
      <c r="Q471" s="72"/>
      <c r="R471" s="72"/>
      <c r="S471" s="72"/>
      <c r="T471" s="72"/>
      <c r="U471" s="72"/>
      <c r="V471" s="72"/>
      <c r="W471" s="72"/>
      <c r="X471" s="72"/>
      <c r="Y471" s="72"/>
      <c r="Z471" s="72"/>
      <c r="AA471" s="72"/>
      <c r="AB471" s="73"/>
      <c r="AC471" s="73"/>
      <c r="AD471" s="73"/>
      <c r="AE471" s="73"/>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c r="BC471" s="72"/>
      <c r="BD471" s="72"/>
      <c r="BE471" s="72"/>
      <c r="BF471" s="72"/>
    </row>
    <row r="472" spans="3:58">
      <c r="C472" s="74"/>
      <c r="Q472" s="72"/>
      <c r="R472" s="72"/>
      <c r="S472" s="72"/>
      <c r="T472" s="72"/>
      <c r="U472" s="72"/>
      <c r="V472" s="72"/>
      <c r="W472" s="72"/>
      <c r="X472" s="72"/>
      <c r="Y472" s="72"/>
      <c r="Z472" s="72"/>
      <c r="AA472" s="72"/>
      <c r="AB472" s="73"/>
      <c r="AC472" s="73"/>
      <c r="AD472" s="73"/>
      <c r="AE472" s="73"/>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row>
    <row r="473" spans="3:58">
      <c r="C473" s="74"/>
      <c r="Q473" s="72"/>
      <c r="R473" s="72"/>
      <c r="S473" s="72"/>
      <c r="T473" s="72"/>
      <c r="U473" s="72"/>
      <c r="V473" s="72"/>
      <c r="W473" s="72"/>
      <c r="X473" s="72"/>
      <c r="Y473" s="72"/>
      <c r="Z473" s="72"/>
      <c r="AA473" s="72"/>
      <c r="AB473" s="73"/>
      <c r="AC473" s="73"/>
      <c r="AD473" s="73"/>
      <c r="AE473" s="73"/>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c r="BC473" s="72"/>
      <c r="BD473" s="72"/>
      <c r="BE473" s="72"/>
      <c r="BF473" s="72"/>
    </row>
    <row r="474" spans="3:58">
      <c r="C474" s="74"/>
      <c r="Q474" s="72"/>
      <c r="R474" s="72"/>
      <c r="S474" s="72"/>
      <c r="T474" s="72"/>
      <c r="U474" s="72"/>
      <c r="V474" s="72"/>
      <c r="W474" s="72"/>
      <c r="X474" s="72"/>
      <c r="Y474" s="72"/>
      <c r="Z474" s="72"/>
      <c r="AA474" s="72"/>
      <c r="AB474" s="73"/>
      <c r="AC474" s="73"/>
      <c r="AD474" s="73"/>
      <c r="AE474" s="73"/>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c r="BC474" s="72"/>
      <c r="BD474" s="72"/>
      <c r="BE474" s="72"/>
      <c r="BF474" s="72"/>
    </row>
  </sheetData>
  <mergeCells count="1">
    <mergeCell ref="F22:J22"/>
  </mergeCells>
  <pageMargins left="0.7" right="0.7" top="0.75" bottom="0.75" header="0.3" footer="0.3"/>
  <pageSetup orientation="portrait" r:id="rId1"/>
  <headerFooter>
    <oddHeader>&amp;L&amp;"Calibri"&amp;10&amp;K0000FFTRADING PARTNER&amp;1#</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A3D61-4B08-4ACD-960C-30ABE162B979}">
  <sheetPr codeName="Sheet35">
    <tabColor theme="0" tint="-0.499984740745262"/>
  </sheetPr>
  <dimension ref="A1"/>
  <sheetViews>
    <sheetView workbookViewId="0"/>
  </sheetViews>
  <sheetFormatPr defaultColWidth="8.796875" defaultRowHeight="13.8"/>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38B40-F87E-4084-8948-AD4CABCB4755}">
  <sheetPr codeName="Sheet36">
    <tabColor theme="0" tint="-0.14999847407452621"/>
  </sheetPr>
  <dimension ref="A2:X14"/>
  <sheetViews>
    <sheetView workbookViewId="0">
      <selection activeCell="F12" sqref="F12"/>
    </sheetView>
  </sheetViews>
  <sheetFormatPr defaultColWidth="8.796875" defaultRowHeight="13.8"/>
  <cols>
    <col min="1" max="1" width="40.8984375" style="665" customWidth="1"/>
    <col min="2" max="2" width="12.19921875" style="665" customWidth="1"/>
    <col min="3" max="3" width="31.19921875" style="665" customWidth="1"/>
    <col min="4" max="4" width="35.09765625" style="665" bestFit="1" customWidth="1"/>
    <col min="5" max="6" width="31.5" style="665" bestFit="1" customWidth="1"/>
    <col min="7" max="12" width="8.5" style="665"/>
    <col min="13" max="24" width="8.5" style="419"/>
  </cols>
  <sheetData>
    <row r="2" spans="2:6">
      <c r="B2" s="1497" t="s">
        <v>526</v>
      </c>
      <c r="C2" s="1497" t="s">
        <v>554</v>
      </c>
    </row>
    <row r="3" spans="2:6">
      <c r="B3" s="665">
        <v>2026</v>
      </c>
      <c r="C3" s="665" t="b">
        <f>TRUE()</f>
        <v>1</v>
      </c>
    </row>
    <row r="4" spans="2:6">
      <c r="B4" s="665">
        <v>2027</v>
      </c>
      <c r="C4" s="665" t="b">
        <f>FALSE()</f>
        <v>0</v>
      </c>
    </row>
    <row r="5" spans="2:6">
      <c r="B5" s="665">
        <v>2028</v>
      </c>
    </row>
    <row r="7" spans="2:6">
      <c r="C7" s="1498" t="s">
        <v>633</v>
      </c>
    </row>
    <row r="8" spans="2:6">
      <c r="C8" s="665">
        <f>MATCH(C9,$D$9:$F$9,0)</f>
        <v>2</v>
      </c>
    </row>
    <row r="9" spans="2:6">
      <c r="B9" s="666" t="s">
        <v>526</v>
      </c>
      <c r="C9" s="1499">
        <f>Dashboard!$C$2</f>
        <v>2027</v>
      </c>
      <c r="D9" s="1499">
        <v>2026</v>
      </c>
      <c r="E9" s="1499">
        <v>2027</v>
      </c>
      <c r="F9" s="1499">
        <v>2028</v>
      </c>
    </row>
    <row r="10" spans="2:6">
      <c r="B10" s="666" t="s">
        <v>632</v>
      </c>
      <c r="C10" s="1500" cm="1">
        <f t="array" ref="C10">INDEX($D10:$F10,$C$8)</f>
        <v>2027</v>
      </c>
      <c r="D10" s="1501">
        <v>2026</v>
      </c>
      <c r="E10" s="1501">
        <v>2027</v>
      </c>
      <c r="F10" s="1501">
        <v>2028</v>
      </c>
    </row>
    <row r="11" spans="2:6">
      <c r="B11" s="666" t="s">
        <v>550</v>
      </c>
      <c r="C11" s="1500" cm="1">
        <f t="array" ref="C11">INDEX($D11:$F11,$C$8)</f>
        <v>2026</v>
      </c>
      <c r="D11" s="1501">
        <v>2026</v>
      </c>
      <c r="E11" s="1501">
        <v>2026</v>
      </c>
      <c r="F11" s="1501">
        <v>2026</v>
      </c>
    </row>
    <row r="12" spans="2:6">
      <c r="B12" s="666" t="s">
        <v>334</v>
      </c>
      <c r="C12" s="1500" t="str" cm="1">
        <f t="array" ref="C12">INDEX($D12:$F12,$C$8)</f>
        <v>PREB Approved, Reconciliation in FY27</v>
      </c>
      <c r="D12" s="1501" t="s">
        <v>624</v>
      </c>
      <c r="E12" s="1501" t="s">
        <v>624</v>
      </c>
      <c r="F12" s="1501" t="s">
        <v>624</v>
      </c>
    </row>
    <row r="13" spans="2:6">
      <c r="B13" s="666" t="s">
        <v>529</v>
      </c>
      <c r="C13" s="1500" t="str" cm="1">
        <f t="array" ref="C13">INDEX($D13:$F13,$C$8)</f>
        <v>PREB FY2027</v>
      </c>
      <c r="D13" s="1501" t="s">
        <v>594</v>
      </c>
      <c r="E13" s="1501" t="s">
        <v>595</v>
      </c>
      <c r="F13" s="1501" t="s">
        <v>596</v>
      </c>
    </row>
    <row r="14" spans="2:6">
      <c r="B14" s="666" t="s">
        <v>532</v>
      </c>
      <c r="C14" s="1500" t="str" cm="1">
        <f t="array" ref="C14">INDEX($D14:$F14,$C$8)</f>
        <v>PREB FY2027</v>
      </c>
      <c r="D14" s="1501" t="s">
        <v>594</v>
      </c>
      <c r="E14" s="1501" t="s">
        <v>595</v>
      </c>
      <c r="F14" s="1501" t="s">
        <v>596</v>
      </c>
    </row>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6CE7-CE06-4819-8D42-ABAE815CA457}">
  <sheetPr codeName="Sheet17">
    <tabColor theme="9"/>
  </sheetPr>
  <dimension ref="A2:AH112"/>
  <sheetViews>
    <sheetView workbookViewId="0">
      <pane xSplit="2" topLeftCell="C1" activePane="topRight" state="frozen"/>
      <selection activeCell="A13" sqref="A13"/>
      <selection pane="topRight"/>
    </sheetView>
  </sheetViews>
  <sheetFormatPr defaultColWidth="8.796875" defaultRowHeight="13.8"/>
  <cols>
    <col min="1" max="1" width="36.69921875" style="665" customWidth="1"/>
    <col min="2" max="2" width="9.3984375" style="665" customWidth="1"/>
    <col min="3" max="3" width="32" style="665" customWidth="1"/>
    <col min="4" max="5" width="14.19921875" style="668" customWidth="1"/>
    <col min="6" max="6" width="15" style="668" customWidth="1"/>
    <col min="7" max="7" width="1.09765625" style="668" customWidth="1"/>
    <col min="8" max="9" width="11.09765625" style="668" customWidth="1"/>
    <col min="10" max="10" width="13" style="668" customWidth="1"/>
    <col min="11" max="11" width="1.09765625" style="668" customWidth="1"/>
    <col min="12" max="13" width="9.296875" style="665" customWidth="1"/>
    <col min="14" max="14" width="12.19921875" style="665" customWidth="1"/>
    <col min="15" max="15" width="1.09765625" style="665" customWidth="1"/>
    <col min="16" max="17" width="9.19921875" style="665" customWidth="1"/>
    <col min="18" max="18" width="12.5" style="665" customWidth="1"/>
    <col min="19" max="19" width="0.69921875" style="665" customWidth="1"/>
    <col min="20" max="20" width="9.69921875" style="665" customWidth="1"/>
    <col min="21" max="21" width="12" style="665" customWidth="1"/>
    <col min="22" max="22" width="33.59765625" style="665" customWidth="1"/>
    <col min="23" max="24" width="13.09765625" style="669" customWidth="1"/>
    <col min="25" max="25" width="11.5" style="665" customWidth="1"/>
    <col min="26" max="28" width="13.19921875" style="665" customWidth="1"/>
    <col min="29" max="30" width="8.796875" style="665" customWidth="1"/>
    <col min="31" max="34" width="8.796875" style="665"/>
  </cols>
  <sheetData>
    <row r="2" spans="1:34">
      <c r="B2" s="666" t="s">
        <v>526</v>
      </c>
      <c r="C2" s="667">
        <v>2027</v>
      </c>
    </row>
    <row r="3" spans="1:34">
      <c r="B3" s="666" t="s">
        <v>689</v>
      </c>
      <c r="C3" s="667" t="b">
        <v>1</v>
      </c>
      <c r="D3" s="670" t="s">
        <v>696</v>
      </c>
      <c r="H3" s="670"/>
      <c r="W3" s="665"/>
      <c r="X3" s="665"/>
    </row>
    <row r="4" spans="1:34">
      <c r="B4" s="666" t="s">
        <v>561</v>
      </c>
      <c r="C4" s="667" t="b">
        <v>1</v>
      </c>
      <c r="D4" s="670" t="s">
        <v>692</v>
      </c>
      <c r="H4" s="670"/>
      <c r="W4" s="665"/>
      <c r="X4" s="665"/>
    </row>
    <row r="5" spans="1:34">
      <c r="W5" s="665"/>
      <c r="X5" s="665"/>
    </row>
    <row r="6" spans="1:34">
      <c r="B6" s="666" t="s">
        <v>553</v>
      </c>
      <c r="C6" s="671">
        <f>INDEX('Revenue Requirement'!$C$3:$E$3,MATCH(RR_toggle,'Revenue Requirement'!$F$3:$F$3,0),MATCH(model_year,'Revenue Requirement'!$C$2:$E$2,0))</f>
        <v>1793828425</v>
      </c>
      <c r="D6" s="672"/>
      <c r="E6" s="672"/>
      <c r="F6" s="672"/>
      <c r="I6" s="673"/>
      <c r="J6" s="674"/>
      <c r="W6" s="665"/>
      <c r="X6" s="665"/>
    </row>
    <row r="7" spans="1:34">
      <c r="B7" s="675"/>
      <c r="C7" s="676"/>
      <c r="D7" s="677"/>
      <c r="E7" s="677"/>
      <c r="F7" s="677"/>
      <c r="W7" s="665"/>
      <c r="X7" s="665"/>
    </row>
    <row r="8" spans="1:34" s="641" customFormat="1">
      <c r="A8" s="678"/>
      <c r="B8" s="679" t="s">
        <v>639</v>
      </c>
      <c r="C8" s="679"/>
      <c r="D8" s="680"/>
      <c r="E8" s="679"/>
      <c r="F8" s="679"/>
      <c r="G8" s="680"/>
      <c r="H8" s="680"/>
      <c r="I8" s="679"/>
      <c r="J8" s="679"/>
      <c r="K8" s="680"/>
      <c r="L8" s="678"/>
      <c r="M8" s="678"/>
      <c r="N8" s="678"/>
      <c r="O8" s="678"/>
      <c r="P8" s="678"/>
      <c r="Q8" s="678"/>
      <c r="R8" s="678"/>
      <c r="S8" s="678"/>
      <c r="T8" s="678"/>
      <c r="U8" s="678"/>
      <c r="V8" s="678"/>
      <c r="W8" s="678"/>
      <c r="X8" s="678"/>
      <c r="Y8" s="678"/>
      <c r="Z8" s="678"/>
      <c r="AA8" s="678"/>
      <c r="AB8" s="678"/>
      <c r="AC8" s="678"/>
      <c r="AD8" s="678"/>
      <c r="AE8" s="678"/>
      <c r="AF8" s="678"/>
      <c r="AG8" s="678"/>
      <c r="AH8" s="678"/>
    </row>
    <row r="9" spans="1:34" ht="27.45" customHeight="1">
      <c r="A9" s="681"/>
      <c r="B9" s="669"/>
      <c r="C9" s="669"/>
      <c r="D9" s="1567" t="s">
        <v>552</v>
      </c>
      <c r="E9" s="1565"/>
      <c r="F9" s="1568"/>
      <c r="G9" s="683"/>
      <c r="H9" s="1567" t="s">
        <v>563</v>
      </c>
      <c r="I9" s="1565"/>
      <c r="J9" s="1568"/>
      <c r="K9" s="683"/>
      <c r="L9" s="1567" t="s">
        <v>566</v>
      </c>
      <c r="M9" s="1569"/>
      <c r="N9" s="1568"/>
      <c r="O9" s="684"/>
      <c r="P9" s="1567" t="s">
        <v>567</v>
      </c>
      <c r="Q9" s="1569"/>
      <c r="R9" s="1568"/>
      <c r="S9" s="669"/>
      <c r="T9" s="1570" t="s">
        <v>571</v>
      </c>
      <c r="U9" s="1570"/>
      <c r="V9" s="669"/>
      <c r="W9" s="1561" t="s">
        <v>562</v>
      </c>
      <c r="X9" s="1562"/>
      <c r="Y9" s="669"/>
      <c r="Z9" s="1561" t="s">
        <v>564</v>
      </c>
      <c r="AA9" s="1563"/>
      <c r="AB9" s="1562"/>
      <c r="AC9" s="669"/>
      <c r="AD9" s="669"/>
      <c r="AE9" s="669"/>
      <c r="AF9" s="669"/>
      <c r="AG9" s="669"/>
    </row>
    <row r="10" spans="1:34">
      <c r="A10" s="681"/>
      <c r="B10" s="669"/>
      <c r="C10" s="687" t="s">
        <v>343</v>
      </c>
      <c r="D10" s="685" t="s">
        <v>340</v>
      </c>
      <c r="E10" s="682" t="s">
        <v>338</v>
      </c>
      <c r="F10" s="688" t="s">
        <v>697</v>
      </c>
      <c r="G10" s="689"/>
      <c r="H10" s="685" t="s">
        <v>340</v>
      </c>
      <c r="I10" s="682" t="s">
        <v>338</v>
      </c>
      <c r="J10" s="688" t="s">
        <v>697</v>
      </c>
      <c r="K10" s="689"/>
      <c r="L10" s="685" t="s">
        <v>340</v>
      </c>
      <c r="M10" s="682" t="s">
        <v>338</v>
      </c>
      <c r="N10" s="688" t="s">
        <v>697</v>
      </c>
      <c r="O10" s="669"/>
      <c r="P10" s="685" t="s">
        <v>340</v>
      </c>
      <c r="Q10" s="682" t="s">
        <v>338</v>
      </c>
      <c r="R10" s="688" t="s">
        <v>697</v>
      </c>
      <c r="S10" s="669"/>
      <c r="T10" s="685" t="s">
        <v>340</v>
      </c>
      <c r="U10" s="688" t="s">
        <v>697</v>
      </c>
      <c r="V10" s="690" t="s">
        <v>555</v>
      </c>
      <c r="W10" s="691" t="b">
        <f>TRUE()</f>
        <v>1</v>
      </c>
      <c r="X10" s="691" t="b">
        <f>FALSE()</f>
        <v>0</v>
      </c>
      <c r="Y10" s="690" t="s">
        <v>535</v>
      </c>
      <c r="Z10" s="691">
        <v>2026</v>
      </c>
      <c r="AA10" s="691">
        <v>2027</v>
      </c>
      <c r="AB10" s="686">
        <v>2028</v>
      </c>
      <c r="AC10" s="669"/>
      <c r="AD10" s="669"/>
      <c r="AE10" s="669"/>
      <c r="AF10" s="669"/>
      <c r="AG10" s="669"/>
    </row>
    <row r="11" spans="1:34">
      <c r="A11" s="669"/>
      <c r="B11" s="692"/>
      <c r="C11" s="692"/>
      <c r="D11" s="693"/>
      <c r="E11" s="694"/>
      <c r="F11" s="695"/>
      <c r="G11" s="694"/>
      <c r="H11" s="693"/>
      <c r="I11" s="694"/>
      <c r="J11" s="695"/>
      <c r="K11" s="694"/>
      <c r="L11" s="693"/>
      <c r="M11" s="669"/>
      <c r="N11" s="695"/>
      <c r="O11" s="669"/>
      <c r="P11" s="693"/>
      <c r="Q11" s="669"/>
      <c r="R11" s="695"/>
      <c r="S11" s="669"/>
      <c r="T11" s="669"/>
      <c r="U11" s="669"/>
      <c r="V11" s="669"/>
      <c r="W11" s="693"/>
      <c r="X11" s="696"/>
      <c r="Y11" s="669"/>
      <c r="Z11" s="697"/>
      <c r="AA11" s="697"/>
      <c r="AB11" s="698"/>
      <c r="AC11" s="669"/>
      <c r="AD11" s="669"/>
      <c r="AE11" s="669"/>
      <c r="AF11" s="669"/>
      <c r="AG11" s="669"/>
    </row>
    <row r="12" spans="1:34">
      <c r="A12" s="681"/>
      <c r="B12" s="699" t="s">
        <v>3</v>
      </c>
      <c r="C12" s="692" t="s">
        <v>347</v>
      </c>
      <c r="D12" s="700">
        <f>IF(Dashboard!$C$4,INDEX($W12:$X12,MATCH(Dashboard!$C$3,$W$10:$X$10,0)),'Revenue Summary'!F10)</f>
        <v>555556635</v>
      </c>
      <c r="E12" s="701">
        <f>INDEX('COSS Results'!$T4:$V4,MATCH('Lists and Mapping'!$C$11,'COSS Results'!$T$3:$V$3,0))</f>
        <v>767248623.24177086</v>
      </c>
      <c r="F12" s="702">
        <f>'Revenue Summary'!G10</f>
        <v>587909072</v>
      </c>
      <c r="G12" s="694"/>
      <c r="H12" s="703">
        <f>D12/IF(Dashboard!$C$4,$Z12,INDEX($Z12:$AB12,MATCH(model_year,$Z$10:$AB$10,0)))</f>
        <v>9.5743289376636023E-2</v>
      </c>
      <c r="I12" s="704">
        <f t="shared" ref="I12:J16" si="0">E12/INDEX($Z12:$AB12,MATCH(model_year,$Z$10:$AB$10,0))</f>
        <v>0.1403649079310241</v>
      </c>
      <c r="J12" s="705">
        <f t="shared" si="0"/>
        <v>0.10755549148387333</v>
      </c>
      <c r="K12" s="694"/>
      <c r="L12" s="706">
        <f>D12/D$40</f>
        <v>0.3240744619425513</v>
      </c>
      <c r="M12" s="707">
        <f t="shared" ref="M12:N27" si="1">E12/E$40</f>
        <v>0.42771572383895684</v>
      </c>
      <c r="N12" s="708">
        <f t="shared" si="1"/>
        <v>0.32773985756418483</v>
      </c>
      <c r="O12" s="669"/>
      <c r="P12" s="706">
        <f>H12/$H12-1</f>
        <v>0</v>
      </c>
      <c r="Q12" s="707">
        <f t="shared" ref="Q12:Q40" si="2">I12/$H12-1</f>
        <v>0.46605478926940824</v>
      </c>
      <c r="R12" s="708">
        <f t="shared" ref="R12:R40" si="3">J12/$H12-1</f>
        <v>0.12337368168718688</v>
      </c>
      <c r="S12" s="669"/>
      <c r="T12" s="669"/>
      <c r="U12" s="669"/>
      <c r="V12" s="669"/>
      <c r="W12" s="700">
        <v>555556635</v>
      </c>
      <c r="X12" s="709">
        <v>357561521</v>
      </c>
      <c r="Y12" s="669"/>
      <c r="Z12" s="710">
        <v>5802564739.7024879</v>
      </c>
      <c r="AA12" s="710">
        <v>5466100000</v>
      </c>
      <c r="AB12" s="711">
        <v>5175046530.5321541</v>
      </c>
      <c r="AC12" s="712"/>
      <c r="AD12" s="669"/>
      <c r="AE12" s="669"/>
      <c r="AF12" s="669"/>
      <c r="AG12" s="669"/>
    </row>
    <row r="13" spans="1:34">
      <c r="A13" s="681"/>
      <c r="B13" s="699" t="s">
        <v>6</v>
      </c>
      <c r="C13" s="692" t="s">
        <v>348</v>
      </c>
      <c r="D13" s="700">
        <f>IF(Dashboard!$C$4,INDEX($W13:$X13,MATCH(Dashboard!$C$3,$W$10:$X$10,0)),'Revenue Summary'!F11)</f>
        <v>27766388</v>
      </c>
      <c r="E13" s="701">
        <f>INDEX('COSS Results'!$T5:$V5,MATCH('Lists and Mapping'!$C$11,'COSS Results'!$T$3:$V$3,0))</f>
        <v>66181111.262151726</v>
      </c>
      <c r="F13" s="702">
        <f>'Revenue Summary'!G11</f>
        <v>27411161</v>
      </c>
      <c r="G13" s="694"/>
      <c r="H13" s="703">
        <f>D13/IF(Dashboard!$C$4,$Z13,INDEX($Z13:$AB13,MATCH(model_year,$Z$10:$AB$10,0)))</f>
        <v>5.7471301410306916E-2</v>
      </c>
      <c r="I13" s="704">
        <f t="shared" si="0"/>
        <v>0.14542103111876889</v>
      </c>
      <c r="J13" s="705">
        <f t="shared" si="0"/>
        <v>6.0231072291804001E-2</v>
      </c>
      <c r="K13" s="694"/>
      <c r="L13" s="706">
        <f t="shared" ref="L13:L40" si="4">D13/D$40</f>
        <v>1.6197047581275152E-2</v>
      </c>
      <c r="M13" s="707">
        <f t="shared" si="1"/>
        <v>3.6893779995794039E-2</v>
      </c>
      <c r="N13" s="708">
        <f t="shared" si="1"/>
        <v>1.5280815401006329E-2</v>
      </c>
      <c r="O13" s="669"/>
      <c r="P13" s="706">
        <f t="shared" ref="P13:P40" si="5">H13/$H13-1</f>
        <v>0</v>
      </c>
      <c r="Q13" s="707">
        <f t="shared" si="2"/>
        <v>1.5303243105730169</v>
      </c>
      <c r="R13" s="708">
        <f t="shared" si="3"/>
        <v>4.8019982387281557E-2</v>
      </c>
      <c r="S13" s="669"/>
      <c r="T13" s="713">
        <f>($H$12-H13)/$H$12</f>
        <v>0.39973546151912887</v>
      </c>
      <c r="U13" s="714">
        <f>($J$12-J13)/$J$12</f>
        <v>0.44000002732696419</v>
      </c>
      <c r="V13" s="669"/>
      <c r="W13" s="700">
        <v>27766388</v>
      </c>
      <c r="X13" s="709">
        <v>18494547</v>
      </c>
      <c r="Y13" s="669"/>
      <c r="Z13" s="710">
        <v>483134839.80058908</v>
      </c>
      <c r="AA13" s="710">
        <v>455100000</v>
      </c>
      <c r="AB13" s="711">
        <v>430886235.42310375</v>
      </c>
      <c r="AC13" s="669"/>
      <c r="AD13" s="669"/>
      <c r="AE13" s="669"/>
      <c r="AF13" s="669"/>
      <c r="AG13" s="669"/>
    </row>
    <row r="14" spans="1:34">
      <c r="A14" s="681"/>
      <c r="B14" s="699" t="s">
        <v>8</v>
      </c>
      <c r="C14" s="692" t="s">
        <v>349</v>
      </c>
      <c r="D14" s="700">
        <f>IF(Dashboard!$C$4,INDEX($W14:$X14,MATCH(Dashboard!$C$3,$W$10:$X$10,0)),'Revenue Summary'!F12)</f>
        <v>799927</v>
      </c>
      <c r="E14" s="701">
        <f>INDEX('COSS Results'!$T6:$V6,MATCH('Lists and Mapping'!$C$11,'COSS Results'!$T$3:$V$3,0))</f>
        <v>2139069.0781345726</v>
      </c>
      <c r="F14" s="702">
        <f>'Revenue Summary'!G12</f>
        <v>987790</v>
      </c>
      <c r="G14" s="694"/>
      <c r="H14" s="703">
        <f>D14/IF(Dashboard!$C$4,$Z14,INDEX($Z14:$AB14,MATCH(model_year,$Z$10:$AB$10,0)))</f>
        <v>4.6026090379365683E-2</v>
      </c>
      <c r="I14" s="704">
        <f t="shared" si="0"/>
        <v>0.13043104134966907</v>
      </c>
      <c r="J14" s="705">
        <f t="shared" si="0"/>
        <v>6.0231097560975611E-2</v>
      </c>
      <c r="K14" s="694"/>
      <c r="L14" s="706">
        <f t="shared" si="4"/>
        <v>4.6662373516305722E-4</v>
      </c>
      <c r="M14" s="707">
        <f t="shared" si="1"/>
        <v>1.1924602421965593E-3</v>
      </c>
      <c r="N14" s="708">
        <f t="shared" si="1"/>
        <v>5.5066024547300424E-4</v>
      </c>
      <c r="O14" s="669"/>
      <c r="P14" s="706">
        <f t="shared" si="5"/>
        <v>0</v>
      </c>
      <c r="Q14" s="707">
        <f t="shared" si="2"/>
        <v>1.8338501114173198</v>
      </c>
      <c r="R14" s="708">
        <f t="shared" si="3"/>
        <v>0.3086294548271753</v>
      </c>
      <c r="S14" s="669"/>
      <c r="T14" s="713">
        <f>($H$12-H14)/$H$12</f>
        <v>0.51927606959159578</v>
      </c>
      <c r="U14" s="714">
        <f>($J$12-J14)/$J$12</f>
        <v>0.43999979238617914</v>
      </c>
      <c r="V14" s="669"/>
      <c r="W14" s="700">
        <v>799927</v>
      </c>
      <c r="X14" s="709">
        <v>466390</v>
      </c>
      <c r="Y14" s="669"/>
      <c r="Z14" s="710">
        <v>17379859.844854899</v>
      </c>
      <c r="AA14" s="710">
        <v>16400000</v>
      </c>
      <c r="AB14" s="711">
        <v>15500315.365005814</v>
      </c>
      <c r="AC14" s="669"/>
      <c r="AD14" s="669"/>
      <c r="AE14" s="669"/>
      <c r="AF14" s="669"/>
      <c r="AG14" s="669"/>
    </row>
    <row r="15" spans="1:34" ht="39.6">
      <c r="A15" s="669"/>
      <c r="B15" s="699" t="s">
        <v>9</v>
      </c>
      <c r="C15" s="715" t="s">
        <v>350</v>
      </c>
      <c r="D15" s="716">
        <f>IF(Dashboard!$C$4,INDEX($W15:$X15,MATCH(Dashboard!$C$3,$W$10:$X$10,0)),'Revenue Summary'!F13)</f>
        <v>33575335</v>
      </c>
      <c r="E15" s="717">
        <f>INDEX('COSS Results'!$T7:$V7,MATCH('Lists and Mapping'!$C$11,'COSS Results'!$T$3:$V$3,0))</f>
        <v>32786605.034380116</v>
      </c>
      <c r="F15" s="718">
        <f>'Revenue Summary'!G13</f>
        <v>31226965</v>
      </c>
      <c r="G15" s="719"/>
      <c r="H15" s="720">
        <f>D15/IF(Dashboard!$C$4,$Z15,INDEX($Z15:$AB15,MATCH(model_year,$Z$10:$AB$10,0)))</f>
        <v>0.12069737395976247</v>
      </c>
      <c r="I15" s="721">
        <f t="shared" si="0"/>
        <v>0.12513971387167983</v>
      </c>
      <c r="J15" s="722">
        <f t="shared" si="0"/>
        <v>0.11918688931297708</v>
      </c>
      <c r="K15" s="719"/>
      <c r="L15" s="723">
        <f t="shared" si="4"/>
        <v>1.9585597469582754E-2</v>
      </c>
      <c r="M15" s="724">
        <f t="shared" si="1"/>
        <v>1.8277447596126768E-2</v>
      </c>
      <c r="N15" s="725">
        <f t="shared" si="1"/>
        <v>1.7407999890945356E-2</v>
      </c>
      <c r="O15" s="669"/>
      <c r="P15" s="723">
        <f t="shared" si="5"/>
        <v>0</v>
      </c>
      <c r="Q15" s="724">
        <f t="shared" si="2"/>
        <v>3.6805605343147807E-2</v>
      </c>
      <c r="R15" s="725">
        <f t="shared" si="3"/>
        <v>-1.2514643833833161E-2</v>
      </c>
      <c r="S15" s="669"/>
      <c r="T15" s="669"/>
      <c r="U15" s="726"/>
      <c r="V15" s="669"/>
      <c r="W15" s="716">
        <v>33575335</v>
      </c>
      <c r="X15" s="727">
        <v>28236823</v>
      </c>
      <c r="Y15" s="669"/>
      <c r="Z15" s="710">
        <v>278177841.80783576</v>
      </c>
      <c r="AA15" s="710">
        <v>262000000.00000003</v>
      </c>
      <c r="AB15" s="711">
        <v>248094306.51735803</v>
      </c>
      <c r="AC15" s="669"/>
      <c r="AD15" s="669"/>
      <c r="AE15" s="669"/>
      <c r="AF15" s="669"/>
      <c r="AG15" s="669"/>
    </row>
    <row r="16" spans="1:34">
      <c r="A16" s="669"/>
      <c r="B16" s="728"/>
      <c r="C16" s="728" t="s">
        <v>351</v>
      </c>
      <c r="D16" s="700">
        <f>IF(Dashboard!$C$4,INDEX($W16:$X16,MATCH(Dashboard!$C$3,$W$10:$X$10,0)),'Revenue Summary'!F14)</f>
        <v>617698285</v>
      </c>
      <c r="E16" s="729">
        <f>INDEX('COSS Results'!$T8:$V8,MATCH('Lists and Mapping'!$C$11,'COSS Results'!$T$3:$V$3,0))</f>
        <v>868355408.61643732</v>
      </c>
      <c r="F16" s="702">
        <f>'Revenue Summary'!G14</f>
        <v>647534988</v>
      </c>
      <c r="G16" s="694"/>
      <c r="H16" s="703">
        <f>D16/IF(Dashboard!$C$4,$Z16,INDEX($Z16:$AB16,MATCH(model_year,$Z$10:$AB$10,0)))</f>
        <v>9.3857185430003875E-2</v>
      </c>
      <c r="I16" s="730">
        <f t="shared" si="0"/>
        <v>0.14006636050978083</v>
      </c>
      <c r="J16" s="705">
        <f t="shared" si="0"/>
        <v>0.10444786566875282</v>
      </c>
      <c r="K16" s="694"/>
      <c r="L16" s="706">
        <f t="shared" si="4"/>
        <v>0.36032373072857227</v>
      </c>
      <c r="M16" s="731">
        <f t="shared" si="1"/>
        <v>0.48407941167307422</v>
      </c>
      <c r="N16" s="708">
        <f t="shared" si="1"/>
        <v>0.36097933310160957</v>
      </c>
      <c r="O16" s="669"/>
      <c r="P16" s="706">
        <f t="shared" si="5"/>
        <v>0</v>
      </c>
      <c r="Q16" s="731">
        <f t="shared" si="2"/>
        <v>0.4923349753998163</v>
      </c>
      <c r="R16" s="708">
        <f t="shared" si="3"/>
        <v>0.11283824664279085</v>
      </c>
      <c r="S16" s="669"/>
      <c r="T16" s="669"/>
      <c r="U16" s="732"/>
      <c r="V16" s="669"/>
      <c r="W16" s="700">
        <v>617698285</v>
      </c>
      <c r="X16" s="709">
        <v>404759281</v>
      </c>
      <c r="Y16" s="669"/>
      <c r="Z16" s="733">
        <v>6581257281.1557674</v>
      </c>
      <c r="AA16" s="733">
        <v>6199600000</v>
      </c>
      <c r="AB16" s="734">
        <v>5869527387.8376207</v>
      </c>
      <c r="AC16" s="669"/>
      <c r="AD16" s="669"/>
      <c r="AE16" s="669"/>
      <c r="AF16" s="669"/>
      <c r="AG16" s="669"/>
    </row>
    <row r="17" spans="1:33">
      <c r="A17" s="669"/>
      <c r="B17" s="692"/>
      <c r="C17" s="692"/>
      <c r="D17" s="700"/>
      <c r="E17" s="729"/>
      <c r="F17" s="702"/>
      <c r="G17" s="694"/>
      <c r="H17" s="703"/>
      <c r="I17" s="730"/>
      <c r="J17" s="705"/>
      <c r="K17" s="694"/>
      <c r="L17" s="706"/>
      <c r="M17" s="731"/>
      <c r="N17" s="708"/>
      <c r="O17" s="669"/>
      <c r="P17" s="706"/>
      <c r="Q17" s="731"/>
      <c r="R17" s="708"/>
      <c r="S17" s="669"/>
      <c r="T17" s="669"/>
      <c r="U17" s="669"/>
      <c r="V17" s="669"/>
      <c r="W17" s="700"/>
      <c r="X17" s="709"/>
      <c r="Y17" s="669"/>
      <c r="Z17" s="710"/>
      <c r="AA17" s="710"/>
      <c r="AB17" s="711"/>
      <c r="AC17" s="669"/>
      <c r="AD17" s="669"/>
      <c r="AE17" s="669"/>
      <c r="AF17" s="669"/>
      <c r="AG17" s="669"/>
    </row>
    <row r="18" spans="1:33">
      <c r="A18" s="681"/>
      <c r="B18" s="699" t="s">
        <v>10</v>
      </c>
      <c r="C18" s="692" t="s">
        <v>352</v>
      </c>
      <c r="D18" s="700">
        <f>IF(Dashboard!$C$4,INDEX($W18:$X18,MATCH(Dashboard!$C$3,$W$10:$X$10,0)),'Revenue Summary'!F16)</f>
        <v>272593334</v>
      </c>
      <c r="E18" s="701">
        <f>INDEX('COSS Results'!$T10:$V10,MATCH('Lists and Mapping'!$C$11,'COSS Results'!$T$3:$V$3,0))</f>
        <v>257426491.86507657</v>
      </c>
      <c r="F18" s="702">
        <f>'Revenue Summary'!G16</f>
        <v>257426492</v>
      </c>
      <c r="G18" s="694"/>
      <c r="H18" s="703">
        <f>D18/IF(Dashboard!$C$4,$Z18,INDEX($Z18:$AB18,MATCH(model_year,$Z$10:$AB$10,0)))</f>
        <v>0.12164995154274325</v>
      </c>
      <c r="I18" s="704">
        <f t="shared" ref="I18:J21" si="6">E18/INDEX($Z18:$AB18,MATCH(model_year,$Z$10:$AB$10,0))</f>
        <v>0.11496873380602768</v>
      </c>
      <c r="J18" s="705">
        <f t="shared" si="6"/>
        <v>0.11496873386628556</v>
      </c>
      <c r="K18" s="694"/>
      <c r="L18" s="706">
        <f t="shared" si="4"/>
        <v>0.15901265951971966</v>
      </c>
      <c r="M18" s="707">
        <f t="shared" si="1"/>
        <v>0.14350675252850706</v>
      </c>
      <c r="N18" s="708">
        <f t="shared" si="1"/>
        <v>0.14350675272676822</v>
      </c>
      <c r="O18" s="669"/>
      <c r="P18" s="706">
        <f t="shared" si="5"/>
        <v>0</v>
      </c>
      <c r="Q18" s="707">
        <f t="shared" si="2"/>
        <v>-5.492166377368457E-2</v>
      </c>
      <c r="R18" s="708">
        <f t="shared" si="3"/>
        <v>-5.4921663278346244E-2</v>
      </c>
      <c r="S18" s="669"/>
      <c r="T18" s="669"/>
      <c r="U18" s="669"/>
      <c r="V18" s="669"/>
      <c r="W18" s="700">
        <v>272593334</v>
      </c>
      <c r="X18" s="709">
        <v>196132722</v>
      </c>
      <c r="Y18" s="669"/>
      <c r="Z18" s="710">
        <v>2240801007.6701174</v>
      </c>
      <c r="AA18" s="710">
        <v>2239100000</v>
      </c>
      <c r="AB18" s="711">
        <v>2248113796.1301975</v>
      </c>
      <c r="AC18" s="669"/>
      <c r="AD18" s="669"/>
      <c r="AE18" s="669"/>
      <c r="AF18" s="669"/>
      <c r="AG18" s="669"/>
    </row>
    <row r="19" spans="1:33">
      <c r="A19" s="669"/>
      <c r="B19" s="699" t="s">
        <v>22</v>
      </c>
      <c r="C19" s="692" t="s">
        <v>353</v>
      </c>
      <c r="D19" s="700">
        <f>IF(Dashboard!$C$4,INDEX($W19:$X19,MATCH(Dashboard!$C$3,$W$10:$X$10,0)),'Revenue Summary'!F17)</f>
        <v>69176</v>
      </c>
      <c r="E19" s="701">
        <f>INDEX('COSS Results'!$T11:$V11,MATCH('Lists and Mapping'!$C$11,'COSS Results'!$T$3:$V$3,0))</f>
        <v>373790.1457955949</v>
      </c>
      <c r="F19" s="702">
        <f>'Revenue Summary'!G17</f>
        <v>94972</v>
      </c>
      <c r="G19" s="694"/>
      <c r="H19" s="703">
        <f>D19/IF(Dashboard!$C$4,$Z19,INDEX($Z19:$AB19,MATCH(model_year,$Z$10:$AB$10,0)))</f>
        <v>0.45018872836131713</v>
      </c>
      <c r="I19" s="704">
        <f t="shared" si="6"/>
        <v>2.4919343053039662</v>
      </c>
      <c r="J19" s="705">
        <f t="shared" si="6"/>
        <v>0.63314666666666664</v>
      </c>
      <c r="K19" s="694"/>
      <c r="L19" s="706">
        <f t="shared" si="4"/>
        <v>4.0352636557635442E-5</v>
      </c>
      <c r="M19" s="707">
        <f t="shared" si="1"/>
        <v>2.0837563982497096E-4</v>
      </c>
      <c r="N19" s="708">
        <f t="shared" si="1"/>
        <v>5.2943747996094477E-5</v>
      </c>
      <c r="O19" s="669"/>
      <c r="P19" s="706">
        <f t="shared" si="5"/>
        <v>0</v>
      </c>
      <c r="Q19" s="707">
        <f t="shared" si="2"/>
        <v>4.5353103005812345</v>
      </c>
      <c r="R19" s="708">
        <f t="shared" si="3"/>
        <v>0.40640275239967627</v>
      </c>
      <c r="S19" s="669"/>
      <c r="T19" s="669"/>
      <c r="U19" s="669"/>
      <c r="V19" s="669"/>
      <c r="W19" s="700">
        <v>69176</v>
      </c>
      <c r="X19" s="709">
        <v>63933</v>
      </c>
      <c r="Y19" s="669"/>
      <c r="Z19" s="710">
        <v>153660.00000000003</v>
      </c>
      <c r="AA19" s="710">
        <v>150000</v>
      </c>
      <c r="AB19" s="711">
        <v>153660.00000000003</v>
      </c>
      <c r="AC19" s="669"/>
      <c r="AD19" s="669"/>
      <c r="AE19" s="669"/>
      <c r="AF19" s="669"/>
      <c r="AG19" s="669"/>
    </row>
    <row r="20" spans="1:33">
      <c r="A20" s="669"/>
      <c r="B20" s="735" t="s">
        <v>21</v>
      </c>
      <c r="C20" s="736" t="s">
        <v>354</v>
      </c>
      <c r="D20" s="716">
        <f>IF(Dashboard!$C$4,INDEX($W20:$X20,MATCH(Dashboard!$C$3,$W$10:$X$10,0)),'Revenue Summary'!F18)</f>
        <v>2099676</v>
      </c>
      <c r="E20" s="717">
        <f>INDEX('COSS Results'!$T12:$V12,MATCH('Lists and Mapping'!$C$11,'COSS Results'!$T$3:$V$3,0))</f>
        <v>2437362.7329466068</v>
      </c>
      <c r="F20" s="718">
        <f>'Revenue Summary'!G18</f>
        <v>2725207</v>
      </c>
      <c r="G20" s="719"/>
      <c r="H20" s="720">
        <f>D20/IF(Dashboard!$C$4,$Z20,INDEX($Z20:$AB20,MATCH(model_year,$Z$10:$AB$10,0)))</f>
        <v>0.1276000703002565</v>
      </c>
      <c r="I20" s="721">
        <f t="shared" si="6"/>
        <v>0.14816794729158705</v>
      </c>
      <c r="J20" s="722">
        <f t="shared" si="6"/>
        <v>0.16566607902735561</v>
      </c>
      <c r="K20" s="719"/>
      <c r="L20" s="723">
        <f t="shared" si="4"/>
        <v>1.2248100861106416E-3</v>
      </c>
      <c r="M20" s="724">
        <f t="shared" si="1"/>
        <v>1.358749086020647E-3</v>
      </c>
      <c r="N20" s="725">
        <f t="shared" si="1"/>
        <v>1.5192127431789648E-3</v>
      </c>
      <c r="O20" s="669"/>
      <c r="P20" s="723">
        <f t="shared" si="5"/>
        <v>0</v>
      </c>
      <c r="Q20" s="724">
        <f t="shared" si="2"/>
        <v>0.16119016974624034</v>
      </c>
      <c r="R20" s="725">
        <f t="shared" si="3"/>
        <v>0.29832278804804546</v>
      </c>
      <c r="S20" s="669"/>
      <c r="T20" s="669"/>
      <c r="U20" s="669"/>
      <c r="V20" s="669"/>
      <c r="W20" s="716">
        <v>2099676</v>
      </c>
      <c r="X20" s="727">
        <v>1538194</v>
      </c>
      <c r="Y20" s="669"/>
      <c r="Z20" s="737">
        <v>16455131.999999998</v>
      </c>
      <c r="AA20" s="737">
        <v>16450000</v>
      </c>
      <c r="AB20" s="738">
        <v>16455131.999999998</v>
      </c>
      <c r="AC20" s="669"/>
      <c r="AD20" s="669"/>
      <c r="AE20" s="669"/>
      <c r="AF20" s="669"/>
      <c r="AG20" s="669"/>
    </row>
    <row r="21" spans="1:33">
      <c r="A21" s="669"/>
      <c r="B21" s="739"/>
      <c r="C21" s="728" t="s">
        <v>355</v>
      </c>
      <c r="D21" s="700">
        <f>IF(Dashboard!$C$4,INDEX($W21:$X21,MATCH(Dashboard!$C$3,$W$10:$X$10,0)),'Revenue Summary'!F19)</f>
        <v>274762186</v>
      </c>
      <c r="E21" s="729">
        <f>INDEX('COSS Results'!$T13:$V13,MATCH('Lists and Mapping'!$C$11,'COSS Results'!$T$3:$V$3,0))</f>
        <v>260237644.74381882</v>
      </c>
      <c r="F21" s="702">
        <f>'Revenue Summary'!G19</f>
        <v>260246671</v>
      </c>
      <c r="G21" s="694"/>
      <c r="H21" s="703">
        <f>D21/IF(Dashboard!$C$4,$Z21,INDEX($Z21:$AB21,MATCH(model_year,$Z$10:$AB$10,0)))</f>
        <v>0.12171568761691028</v>
      </c>
      <c r="I21" s="730">
        <f t="shared" si="6"/>
        <v>0.11536890754258936</v>
      </c>
      <c r="J21" s="705">
        <f t="shared" si="6"/>
        <v>0.11537290907478831</v>
      </c>
      <c r="K21" s="694"/>
      <c r="L21" s="706">
        <f t="shared" si="4"/>
        <v>0.16027782224238796</v>
      </c>
      <c r="M21" s="731">
        <f t="shared" si="1"/>
        <v>0.1450738772543527</v>
      </c>
      <c r="N21" s="708">
        <f t="shared" si="1"/>
        <v>0.14507890921794328</v>
      </c>
      <c r="O21" s="669"/>
      <c r="P21" s="706">
        <f t="shared" si="5"/>
        <v>0</v>
      </c>
      <c r="Q21" s="731">
        <f t="shared" si="2"/>
        <v>-5.2144306116865269E-2</v>
      </c>
      <c r="R21" s="708">
        <f t="shared" si="3"/>
        <v>-5.2111430057276698E-2</v>
      </c>
      <c r="S21" s="669"/>
      <c r="T21" s="669"/>
      <c r="U21" s="669"/>
      <c r="V21" s="669"/>
      <c r="W21" s="700">
        <v>274762186</v>
      </c>
      <c r="X21" s="709">
        <v>197734849</v>
      </c>
      <c r="Y21" s="669"/>
      <c r="Z21" s="733">
        <v>2257409799.6701174</v>
      </c>
      <c r="AA21" s="733">
        <v>2255700000</v>
      </c>
      <c r="AB21" s="734">
        <v>2264722588.1301975</v>
      </c>
      <c r="AC21" s="669"/>
      <c r="AD21" s="669"/>
      <c r="AE21" s="669"/>
      <c r="AF21" s="669"/>
      <c r="AG21" s="669"/>
    </row>
    <row r="22" spans="1:33">
      <c r="A22" s="669"/>
      <c r="B22" s="699"/>
      <c r="C22" s="692"/>
      <c r="D22" s="700"/>
      <c r="E22" s="729"/>
      <c r="F22" s="702"/>
      <c r="G22" s="694"/>
      <c r="H22" s="703"/>
      <c r="I22" s="730"/>
      <c r="J22" s="705"/>
      <c r="K22" s="694"/>
      <c r="L22" s="706"/>
      <c r="M22" s="731"/>
      <c r="N22" s="708"/>
      <c r="O22" s="669"/>
      <c r="P22" s="706"/>
      <c r="Q22" s="731"/>
      <c r="R22" s="708"/>
      <c r="S22" s="669"/>
      <c r="T22" s="669"/>
      <c r="U22" s="669"/>
      <c r="V22" s="669"/>
      <c r="W22" s="700"/>
      <c r="X22" s="709"/>
      <c r="Y22" s="669"/>
      <c r="Z22" s="710"/>
      <c r="AA22" s="710"/>
      <c r="AB22" s="711"/>
      <c r="AC22" s="669"/>
      <c r="AD22" s="669"/>
      <c r="AE22" s="669"/>
      <c r="AF22" s="669"/>
      <c r="AG22" s="669"/>
    </row>
    <row r="23" spans="1:33">
      <c r="A23" s="681"/>
      <c r="B23" s="699" t="s">
        <v>12</v>
      </c>
      <c r="C23" s="692" t="s">
        <v>356</v>
      </c>
      <c r="D23" s="700">
        <f>IF(Dashboard!$C$4,INDEX($W23:$X23,MATCH(Dashboard!$C$3,$W$10:$X$10,0)),'Revenue Summary'!F21)</f>
        <v>465110348</v>
      </c>
      <c r="E23" s="701">
        <f>INDEX('COSS Results'!$T15:$V15,MATCH('Lists and Mapping'!$C$11,'COSS Results'!$T$3:$V$3,0))</f>
        <v>439320522.51105934</v>
      </c>
      <c r="F23" s="702">
        <f>'Revenue Summary'!G21</f>
        <v>564902511</v>
      </c>
      <c r="G23" s="694"/>
      <c r="H23" s="703">
        <f>D23/IF(Dashboard!$C$4,$Z23,INDEX($Z23:$AB23,MATCH(model_year,$Z$10:$AB$10,0)))</f>
        <v>0.12227241062867689</v>
      </c>
      <c r="I23" s="704">
        <f t="shared" ref="I23:J25" si="7">E23/INDEX($Z23:$AB23,MATCH(model_year,$Z$10:$AB$10,0))</f>
        <v>0.11577823758362349</v>
      </c>
      <c r="J23" s="705">
        <f t="shared" si="7"/>
        <v>0.14887403109764133</v>
      </c>
      <c r="K23" s="694"/>
      <c r="L23" s="706">
        <f t="shared" si="4"/>
        <v>0.27131416722619611</v>
      </c>
      <c r="M23" s="707">
        <f t="shared" si="1"/>
        <v>0.24490665683985877</v>
      </c>
      <c r="N23" s="708">
        <f t="shared" si="1"/>
        <v>0.31491446094369907</v>
      </c>
      <c r="O23" s="669"/>
      <c r="P23" s="706">
        <f t="shared" si="5"/>
        <v>0</v>
      </c>
      <c r="Q23" s="707">
        <f t="shared" si="2"/>
        <v>-5.311233345006372E-2</v>
      </c>
      <c r="R23" s="708">
        <f t="shared" si="3"/>
        <v>0.21756028471336508</v>
      </c>
      <c r="S23" s="669"/>
      <c r="T23" s="669"/>
      <c r="U23" s="669"/>
      <c r="V23" s="669"/>
      <c r="W23" s="700">
        <v>465110348</v>
      </c>
      <c r="X23" s="709">
        <v>335314139</v>
      </c>
      <c r="Y23" s="669"/>
      <c r="Z23" s="710">
        <v>3803886302.7937751</v>
      </c>
      <c r="AA23" s="710">
        <v>3794500000</v>
      </c>
      <c r="AB23" s="711">
        <v>3806932611.5108409</v>
      </c>
      <c r="AC23" s="669"/>
      <c r="AD23" s="669"/>
      <c r="AE23" s="669"/>
      <c r="AF23" s="669"/>
      <c r="AG23" s="669"/>
    </row>
    <row r="24" spans="1:33">
      <c r="A24" s="669"/>
      <c r="B24" s="699" t="s">
        <v>14</v>
      </c>
      <c r="C24" s="692" t="s">
        <v>357</v>
      </c>
      <c r="D24" s="716">
        <f>IF(Dashboard!$C$4,INDEX($W24:$X24,MATCH(Dashboard!$C$3,$W$10:$X$10,0)),'Revenue Summary'!F22)</f>
        <v>613678</v>
      </c>
      <c r="E24" s="717">
        <f>INDEX('COSS Results'!$T16:$V16,MATCH('Lists and Mapping'!$C$11,'COSS Results'!$T$3:$V$3,0))</f>
        <v>545722.79079109454</v>
      </c>
      <c r="F24" s="718">
        <f>'Revenue Summary'!G22</f>
        <v>733518</v>
      </c>
      <c r="G24" s="719"/>
      <c r="H24" s="720">
        <f>D24/IF(Dashboard!$C$4,$Z24,INDEX($Z24:$AB24,MATCH(model_year,$Z$10:$AB$10,0)))</f>
        <v>0.1012889066456671</v>
      </c>
      <c r="I24" s="721">
        <f t="shared" si="7"/>
        <v>8.9462752588704023E-2</v>
      </c>
      <c r="J24" s="722">
        <f t="shared" si="7"/>
        <v>0.1202488524590164</v>
      </c>
      <c r="K24" s="719"/>
      <c r="L24" s="740">
        <f t="shared" si="4"/>
        <v>3.579785662284116E-4</v>
      </c>
      <c r="M24" s="741">
        <f t="shared" si="1"/>
        <v>3.0422240119820518E-4</v>
      </c>
      <c r="N24" s="742">
        <f t="shared" si="1"/>
        <v>4.0891201767467492E-4</v>
      </c>
      <c r="O24" s="669"/>
      <c r="P24" s="723">
        <f t="shared" si="5"/>
        <v>0</v>
      </c>
      <c r="Q24" s="724">
        <f t="shared" si="2"/>
        <v>-0.11675665626773724</v>
      </c>
      <c r="R24" s="725">
        <f t="shared" si="3"/>
        <v>0.1871867950917443</v>
      </c>
      <c r="S24" s="669"/>
      <c r="T24" s="669"/>
      <c r="U24" s="669"/>
      <c r="V24" s="669"/>
      <c r="W24" s="716">
        <v>613678</v>
      </c>
      <c r="X24" s="727">
        <v>406944</v>
      </c>
      <c r="Y24" s="669"/>
      <c r="Z24" s="710">
        <v>6058689.1528683677</v>
      </c>
      <c r="AA24" s="710">
        <v>6100000</v>
      </c>
      <c r="AB24" s="711">
        <v>6079358.2266506385</v>
      </c>
      <c r="AC24" s="669"/>
      <c r="AD24" s="669"/>
      <c r="AE24" s="669"/>
      <c r="AF24" s="669"/>
      <c r="AG24" s="669"/>
    </row>
    <row r="25" spans="1:33">
      <c r="A25" s="669"/>
      <c r="B25" s="728"/>
      <c r="C25" s="728" t="s">
        <v>358</v>
      </c>
      <c r="D25" s="700">
        <f>IF(Dashboard!$C$4,INDEX($W25:$X25,MATCH(Dashboard!$C$3,$W$10:$X$10,0)),'Revenue Summary'!F23)</f>
        <v>465724026</v>
      </c>
      <c r="E25" s="729">
        <f>INDEX('COSS Results'!$T17:$V17,MATCH('Lists and Mapping'!$C$11,'COSS Results'!$T$3:$V$3,0))</f>
        <v>439866245.30185044</v>
      </c>
      <c r="F25" s="702">
        <f>'Revenue Summary'!G23</f>
        <v>565636029</v>
      </c>
      <c r="G25" s="694"/>
      <c r="H25" s="703">
        <f>D25/IF(Dashboard!$C$4,$Z25,INDEX($Z25:$AB25,MATCH(model_year,$Z$10:$AB$10,0)))</f>
        <v>0.12223904202932971</v>
      </c>
      <c r="I25" s="730">
        <f t="shared" si="7"/>
        <v>0.11573600097401737</v>
      </c>
      <c r="J25" s="705">
        <f t="shared" si="7"/>
        <v>0.14882808740725148</v>
      </c>
      <c r="K25" s="694"/>
      <c r="L25" s="706">
        <f t="shared" si="4"/>
        <v>0.27167214579242449</v>
      </c>
      <c r="M25" s="731">
        <f t="shared" si="1"/>
        <v>0.24521087924105697</v>
      </c>
      <c r="N25" s="708">
        <f t="shared" si="1"/>
        <v>0.31532337296137375</v>
      </c>
      <c r="O25" s="669"/>
      <c r="P25" s="706">
        <f t="shared" si="5"/>
        <v>0</v>
      </c>
      <c r="Q25" s="731">
        <f t="shared" si="2"/>
        <v>-5.3199378425691668E-2</v>
      </c>
      <c r="R25" s="708">
        <f t="shared" si="3"/>
        <v>0.21751680098688975</v>
      </c>
      <c r="S25" s="669"/>
      <c r="T25" s="669"/>
      <c r="U25" s="669"/>
      <c r="V25" s="669"/>
      <c r="W25" s="700">
        <v>465724026</v>
      </c>
      <c r="X25" s="709">
        <v>335721083</v>
      </c>
      <c r="Y25" s="669"/>
      <c r="Z25" s="733">
        <v>3809944991.9466434</v>
      </c>
      <c r="AA25" s="733">
        <v>3800600000</v>
      </c>
      <c r="AB25" s="734">
        <v>3813011969.7374916</v>
      </c>
      <c r="AC25" s="669"/>
      <c r="AD25" s="669"/>
      <c r="AE25" s="669"/>
      <c r="AF25" s="669"/>
      <c r="AG25" s="669"/>
    </row>
    <row r="26" spans="1:33">
      <c r="A26" s="669"/>
      <c r="B26" s="692"/>
      <c r="C26" s="692"/>
      <c r="D26" s="700"/>
      <c r="E26" s="729"/>
      <c r="F26" s="702"/>
      <c r="G26" s="694"/>
      <c r="H26" s="703"/>
      <c r="I26" s="730"/>
      <c r="J26" s="705"/>
      <c r="K26" s="694"/>
      <c r="L26" s="706"/>
      <c r="M26" s="731"/>
      <c r="N26" s="708"/>
      <c r="O26" s="669"/>
      <c r="P26" s="706"/>
      <c r="Q26" s="731"/>
      <c r="R26" s="708"/>
      <c r="S26" s="669"/>
      <c r="T26" s="669"/>
      <c r="U26" s="669"/>
      <c r="V26" s="669"/>
      <c r="W26" s="700"/>
      <c r="X26" s="709"/>
      <c r="Y26" s="669"/>
      <c r="Z26" s="710"/>
      <c r="AA26" s="710"/>
      <c r="AB26" s="711"/>
      <c r="AC26" s="669"/>
      <c r="AD26" s="669"/>
      <c r="AE26" s="669"/>
      <c r="AF26" s="669"/>
      <c r="AG26" s="669"/>
    </row>
    <row r="27" spans="1:33">
      <c r="A27" s="681"/>
      <c r="B27" s="699" t="s">
        <v>13</v>
      </c>
      <c r="C27" s="743" t="s">
        <v>359</v>
      </c>
      <c r="D27" s="700">
        <f>IF(Dashboard!$C$4,INDEX($W27:$X27,MATCH(Dashboard!$C$3,$W$10:$X$10,0)),'Revenue Summary'!F25)</f>
        <v>248791435</v>
      </c>
      <c r="E27" s="701">
        <f>INDEX('COSS Results'!$T19:$V19,MATCH('Lists and Mapping'!$C$11,'COSS Results'!$T$3:$V$3,0))</f>
        <v>139959974.72851682</v>
      </c>
      <c r="F27" s="702">
        <f>'Revenue Summary'!G25</f>
        <v>212130616</v>
      </c>
      <c r="G27" s="694"/>
      <c r="H27" s="703">
        <f>D27/IF(Dashboard!$C$4,$Z27,INDEX($Z27:$AB27,MATCH(model_year,$Z$10:$AB$10,0)))</f>
        <v>9.2602500785072775E-2</v>
      </c>
      <c r="I27" s="704">
        <f t="shared" ref="I27:J31" si="8">E27/INDEX($Z27:$AB27,MATCH(model_year,$Z$10:$AB$10,0))</f>
        <v>5.3328373452504477E-2</v>
      </c>
      <c r="J27" s="705">
        <f t="shared" si="8"/>
        <v>8.082725602588213E-2</v>
      </c>
      <c r="K27" s="694"/>
      <c r="L27" s="706">
        <f t="shared" si="4"/>
        <v>0.14512822879622386</v>
      </c>
      <c r="M27" s="707">
        <f t="shared" si="1"/>
        <v>7.8023055481750897E-2</v>
      </c>
      <c r="N27" s="708">
        <f t="shared" si="1"/>
        <v>0.11825580040180565</v>
      </c>
      <c r="O27" s="669"/>
      <c r="P27" s="706">
        <f t="shared" si="5"/>
        <v>0</v>
      </c>
      <c r="Q27" s="707">
        <f t="shared" si="2"/>
        <v>-0.42411519127028974</v>
      </c>
      <c r="R27" s="708">
        <f t="shared" si="3"/>
        <v>-0.12715903630422021</v>
      </c>
      <c r="S27" s="669"/>
      <c r="T27" s="669"/>
      <c r="U27" s="669"/>
      <c r="V27" s="669"/>
      <c r="W27" s="700">
        <v>248791435</v>
      </c>
      <c r="X27" s="709">
        <v>157117222</v>
      </c>
      <c r="Y27" s="669"/>
      <c r="Z27" s="710">
        <v>2686660002.6001067</v>
      </c>
      <c r="AA27" s="710">
        <v>2624493598.1999998</v>
      </c>
      <c r="AB27" s="711">
        <v>2607211512.7923584</v>
      </c>
      <c r="AC27" s="669"/>
      <c r="AD27" s="669"/>
      <c r="AE27" s="669"/>
      <c r="AF27" s="669"/>
      <c r="AG27" s="669"/>
    </row>
    <row r="28" spans="1:33">
      <c r="A28" s="669"/>
      <c r="B28" s="699" t="s">
        <v>16</v>
      </c>
      <c r="C28" s="692" t="s">
        <v>360</v>
      </c>
      <c r="D28" s="700">
        <f>IF(Dashboard!$C$4,INDEX($W28:$X28,MATCH(Dashboard!$C$3,$W$10:$X$10,0)),'Revenue Summary'!F26)</f>
        <v>27822811</v>
      </c>
      <c r="E28" s="701">
        <f>INDEX('COSS Results'!$T20:$V20,MATCH('Lists and Mapping'!$C$11,'COSS Results'!$T$3:$V$3,0))</f>
        <v>17363772.402614214</v>
      </c>
      <c r="F28" s="702">
        <f>'Revenue Summary'!G26</f>
        <v>23913990</v>
      </c>
      <c r="G28" s="694"/>
      <c r="H28" s="703">
        <f>D28/IF(Dashboard!$C$4,$Z28,INDEX($Z28:$AB28,MATCH(model_year,$Z$10:$AB$10,0)))</f>
        <v>9.0137659646049681E-2</v>
      </c>
      <c r="I28" s="704">
        <f t="shared" si="8"/>
        <v>6.0040706786356202E-2</v>
      </c>
      <c r="J28" s="705">
        <f t="shared" si="8"/>
        <v>8.2690145228215772E-2</v>
      </c>
      <c r="K28" s="694"/>
      <c r="L28" s="744">
        <f t="shared" si="4"/>
        <v>1.6229960973383563E-2</v>
      </c>
      <c r="M28" s="707">
        <f t="shared" ref="M28:M40" si="9">E28/E$40</f>
        <v>9.6797286522060846E-3</v>
      </c>
      <c r="N28" s="745">
        <f t="shared" ref="N28:N40" si="10">F28/F$40</f>
        <v>1.3331258267080016E-2</v>
      </c>
      <c r="O28" s="669"/>
      <c r="P28" s="706">
        <f t="shared" si="5"/>
        <v>0</v>
      </c>
      <c r="Q28" s="707">
        <f t="shared" si="2"/>
        <v>-0.33389987024155543</v>
      </c>
      <c r="R28" s="708">
        <f t="shared" si="3"/>
        <v>-8.262378285700589E-2</v>
      </c>
      <c r="S28" s="669"/>
      <c r="T28" s="669"/>
      <c r="U28" s="669"/>
      <c r="V28" s="669"/>
      <c r="W28" s="700">
        <v>27822811</v>
      </c>
      <c r="X28" s="709">
        <v>17290366</v>
      </c>
      <c r="Y28" s="669"/>
      <c r="Z28" s="710">
        <v>308670217.41249907</v>
      </c>
      <c r="AA28" s="710">
        <v>289200000</v>
      </c>
      <c r="AB28" s="711">
        <v>281505068.63848573</v>
      </c>
      <c r="AC28" s="669"/>
      <c r="AD28" s="669"/>
      <c r="AE28" s="669"/>
      <c r="AF28" s="669"/>
      <c r="AG28" s="669"/>
    </row>
    <row r="29" spans="1:33">
      <c r="A29" s="681"/>
      <c r="B29" s="699" t="s">
        <v>17</v>
      </c>
      <c r="C29" s="692" t="s">
        <v>361</v>
      </c>
      <c r="D29" s="700">
        <f>IF(Dashboard!$C$4,INDEX($W29:$X29,MATCH(Dashboard!$C$3,$W$10:$X$10,0)),'Revenue Summary'!F27)</f>
        <v>4926930</v>
      </c>
      <c r="E29" s="701">
        <f>INDEX('COSS Results'!$T21:$V21,MATCH('Lists and Mapping'!$C$11,'COSS Results'!$T$3:$V$3,0))</f>
        <v>3807678.1218383648</v>
      </c>
      <c r="F29" s="702">
        <f>'Revenue Summary'!G27</f>
        <v>4055459</v>
      </c>
      <c r="G29" s="694"/>
      <c r="H29" s="703">
        <f>D29/IF(Dashboard!$C$4,$Z29,INDEX($Z29:$AB29,MATCH(model_year,$Z$10:$AB$10,0)))</f>
        <v>7.6041754830772926E-2</v>
      </c>
      <c r="I29" s="704">
        <f t="shared" si="8"/>
        <v>6.2729458349890688E-2</v>
      </c>
      <c r="J29" s="705">
        <f t="shared" si="8"/>
        <v>6.6811515650741352E-2</v>
      </c>
      <c r="K29" s="694"/>
      <c r="L29" s="744">
        <f t="shared" si="4"/>
        <v>2.8740403555410948E-3</v>
      </c>
      <c r="M29" s="707">
        <f t="shared" si="9"/>
        <v>2.1226545798762025E-3</v>
      </c>
      <c r="N29" s="745">
        <f t="shared" si="10"/>
        <v>2.2607842238185289E-3</v>
      </c>
      <c r="O29" s="669"/>
      <c r="P29" s="706">
        <f t="shared" si="5"/>
        <v>0</v>
      </c>
      <c r="Q29" s="707">
        <f t="shared" si="2"/>
        <v>-0.17506561376059881</v>
      </c>
      <c r="R29" s="708">
        <f t="shared" si="3"/>
        <v>-0.12138382656440538</v>
      </c>
      <c r="S29" s="669"/>
      <c r="T29" s="669"/>
      <c r="U29" s="669"/>
      <c r="V29" s="669"/>
      <c r="W29" s="700">
        <v>4926930</v>
      </c>
      <c r="X29" s="709">
        <v>2716083</v>
      </c>
      <c r="Y29" s="669"/>
      <c r="Z29" s="710">
        <v>64792428.988055743</v>
      </c>
      <c r="AA29" s="710">
        <v>60700000</v>
      </c>
      <c r="AB29" s="711">
        <v>59090239.811384767</v>
      </c>
      <c r="AC29" s="669"/>
      <c r="AD29" s="669"/>
      <c r="AE29" s="669"/>
      <c r="AF29" s="669"/>
      <c r="AG29" s="669"/>
    </row>
    <row r="30" spans="1:33">
      <c r="A30" s="669"/>
      <c r="B30" s="699" t="s">
        <v>24</v>
      </c>
      <c r="C30" s="692" t="s">
        <v>362</v>
      </c>
      <c r="D30" s="716">
        <f>IF(Dashboard!$C$4,INDEX($W30:$X30,MATCH(Dashboard!$C$3,$W$10:$X$10,0)),'Revenue Summary'!F28)</f>
        <v>1408152</v>
      </c>
      <c r="E30" s="717">
        <f>INDEX('COSS Results'!$T22:$V22,MATCH('Lists and Mapping'!$C$11,'COSS Results'!$T$3:$V$3,0))</f>
        <v>3751643.4614770208</v>
      </c>
      <c r="F30" s="718">
        <f>'Revenue Summary'!G28</f>
        <v>1727175</v>
      </c>
      <c r="G30" s="719"/>
      <c r="H30" s="720">
        <f>D30/IF(Dashboard!$C$4,$Z30,INDEX($Z30:$AB30,MATCH(model_year,$Z$10:$AB$10,0)))</f>
        <v>0.3176038563675016</v>
      </c>
      <c r="I30" s="721">
        <f t="shared" si="8"/>
        <v>0.89324844320881447</v>
      </c>
      <c r="J30" s="722">
        <f t="shared" si="8"/>
        <v>0.41123214285714288</v>
      </c>
      <c r="K30" s="719"/>
      <c r="L30" s="746">
        <f t="shared" si="4"/>
        <v>8.2142138709823435E-4</v>
      </c>
      <c r="M30" s="724">
        <f t="shared" si="9"/>
        <v>2.0914171105728915E-3</v>
      </c>
      <c r="N30" s="747">
        <f t="shared" si="10"/>
        <v>9.6284292154692416E-4</v>
      </c>
      <c r="O30" s="669"/>
      <c r="P30" s="723">
        <f t="shared" si="5"/>
        <v>0</v>
      </c>
      <c r="Q30" s="724">
        <f t="shared" si="2"/>
        <v>1.8124609487588543</v>
      </c>
      <c r="R30" s="725">
        <f t="shared" si="3"/>
        <v>0.29479581123632004</v>
      </c>
      <c r="S30" s="669"/>
      <c r="T30" s="669"/>
      <c r="U30" s="669"/>
      <c r="V30" s="669"/>
      <c r="W30" s="716">
        <v>1408152</v>
      </c>
      <c r="X30" s="727">
        <v>1256867</v>
      </c>
      <c r="Y30" s="669"/>
      <c r="Z30" s="710">
        <v>4433674.1250730203</v>
      </c>
      <c r="AA30" s="710">
        <v>4200000</v>
      </c>
      <c r="AB30" s="711">
        <v>4043479.6377890506</v>
      </c>
      <c r="AC30" s="669"/>
      <c r="AD30" s="669"/>
      <c r="AE30" s="669"/>
      <c r="AF30" s="669"/>
      <c r="AG30" s="669"/>
    </row>
    <row r="31" spans="1:33">
      <c r="A31" s="669"/>
      <c r="B31" s="728"/>
      <c r="C31" s="728" t="s">
        <v>363</v>
      </c>
      <c r="D31" s="700">
        <f>IF(Dashboard!$C$4,INDEX($W31:$X31,MATCH(Dashboard!$C$3,$W$10:$X$10,0)),'Revenue Summary'!F29)</f>
        <v>282949328</v>
      </c>
      <c r="E31" s="729">
        <f>INDEX('COSS Results'!$T23:$V23,MATCH('Lists and Mapping'!$C$11,'COSS Results'!$T$3:$V$3,0))</f>
        <v>164883068.71444634</v>
      </c>
      <c r="F31" s="702">
        <f>'Revenue Summary'!G29</f>
        <v>241827240</v>
      </c>
      <c r="G31" s="694"/>
      <c r="H31" s="703">
        <f>D31/IF(Dashboard!$C$4,$Z31,INDEX($Z31:$AB31,MATCH(model_year,$Z$10:$AB$10,0)))</f>
        <v>9.2329622355056651E-2</v>
      </c>
      <c r="I31" s="730">
        <f t="shared" si="8"/>
        <v>5.5356013930227731E-2</v>
      </c>
      <c r="J31" s="705">
        <f t="shared" si="8"/>
        <v>8.1188397150299102E-2</v>
      </c>
      <c r="K31" s="694"/>
      <c r="L31" s="706">
        <f t="shared" si="4"/>
        <v>0.16505365151224674</v>
      </c>
      <c r="M31" s="731">
        <f t="shared" si="9"/>
        <v>9.1916855824406021E-2</v>
      </c>
      <c r="N31" s="708">
        <f t="shared" si="10"/>
        <v>0.13481068581425112</v>
      </c>
      <c r="O31" s="669"/>
      <c r="P31" s="706">
        <f t="shared" si="5"/>
        <v>0</v>
      </c>
      <c r="Q31" s="731">
        <f t="shared" si="2"/>
        <v>-0.40045228694476487</v>
      </c>
      <c r="R31" s="708">
        <f t="shared" si="3"/>
        <v>-0.1206679386374353</v>
      </c>
      <c r="S31" s="669"/>
      <c r="T31" s="669"/>
      <c r="U31" s="669"/>
      <c r="V31" s="669"/>
      <c r="W31" s="700">
        <v>282949328</v>
      </c>
      <c r="X31" s="709">
        <v>178380538</v>
      </c>
      <c r="Y31" s="669"/>
      <c r="Z31" s="733">
        <v>3064556323.1257343</v>
      </c>
      <c r="AA31" s="733">
        <v>2978593598.1999998</v>
      </c>
      <c r="AB31" s="734">
        <v>2951850300.8800182</v>
      </c>
      <c r="AC31" s="669"/>
      <c r="AD31" s="669"/>
      <c r="AE31" s="669"/>
      <c r="AF31" s="669"/>
      <c r="AG31" s="669"/>
    </row>
    <row r="32" spans="1:33">
      <c r="A32" s="669"/>
      <c r="B32" s="692"/>
      <c r="C32" s="692"/>
      <c r="D32" s="700"/>
      <c r="E32" s="729"/>
      <c r="F32" s="702"/>
      <c r="G32" s="694"/>
      <c r="H32" s="703"/>
      <c r="I32" s="730"/>
      <c r="J32" s="705"/>
      <c r="K32" s="694"/>
      <c r="L32" s="706"/>
      <c r="M32" s="731"/>
      <c r="N32" s="708"/>
      <c r="O32" s="669"/>
      <c r="P32" s="706"/>
      <c r="Q32" s="731"/>
      <c r="R32" s="708"/>
      <c r="S32" s="669"/>
      <c r="T32" s="669"/>
      <c r="U32" s="669"/>
      <c r="V32" s="669"/>
      <c r="W32" s="700"/>
      <c r="X32" s="709"/>
      <c r="Y32" s="669"/>
      <c r="Z32" s="748"/>
      <c r="AA32" s="748"/>
      <c r="AB32" s="749"/>
      <c r="AC32" s="669"/>
      <c r="AD32" s="669"/>
      <c r="AE32" s="669"/>
      <c r="AF32" s="669"/>
      <c r="AG32" s="669"/>
    </row>
    <row r="33" spans="1:34">
      <c r="A33" s="669"/>
      <c r="B33" s="699" t="s">
        <v>1</v>
      </c>
      <c r="C33" s="743" t="s">
        <v>364</v>
      </c>
      <c r="D33" s="700">
        <f>IF(Dashboard!$C$4,INDEX($W33:$X33,MATCH(Dashboard!$C$3,$W$10:$X$10,0)),'Revenue Summary'!F31)</f>
        <v>70407983.39623864</v>
      </c>
      <c r="E33" s="701"/>
      <c r="F33" s="702">
        <f>'Revenue Summary'!G31</f>
        <v>75410466.880217254</v>
      </c>
      <c r="G33" s="694"/>
      <c r="H33" s="703">
        <f>D33/IF(Dashboard!$C$4,$Z33,INDEX($Z33:$AB33,MATCH(model_year,$Z$10:$AB$10,0)))</f>
        <v>0.24891167168925321</v>
      </c>
      <c r="I33" s="704"/>
      <c r="J33" s="705">
        <f>F33/INDEX($Z33:$AB33,MATCH(model_year,$Z$10:$AB$10,0))</f>
        <v>0.28383976738724426</v>
      </c>
      <c r="K33" s="694"/>
      <c r="L33" s="706">
        <f t="shared" si="4"/>
        <v>4.1071293002550718E-2</v>
      </c>
      <c r="M33" s="707"/>
      <c r="N33" s="708">
        <f t="shared" si="10"/>
        <v>4.2038840445331793E-2</v>
      </c>
      <c r="O33" s="669"/>
      <c r="P33" s="706">
        <f t="shared" si="5"/>
        <v>0</v>
      </c>
      <c r="Q33" s="707"/>
      <c r="R33" s="708">
        <f t="shared" si="3"/>
        <v>0.14032325387134126</v>
      </c>
      <c r="S33" s="669"/>
      <c r="T33" s="669"/>
      <c r="U33" s="669"/>
      <c r="V33" s="669"/>
      <c r="W33" s="700">
        <v>70407983.39623864</v>
      </c>
      <c r="X33" s="709">
        <v>60756120.715656772</v>
      </c>
      <c r="Y33" s="669"/>
      <c r="Z33" s="710">
        <v>282863326.24907005</v>
      </c>
      <c r="AA33" s="710">
        <v>265679709.2753191</v>
      </c>
      <c r="AB33" s="711">
        <v>272169075.20520312</v>
      </c>
      <c r="AC33" s="669"/>
      <c r="AD33" s="669"/>
      <c r="AE33" s="669"/>
      <c r="AF33" s="669"/>
      <c r="AG33" s="669"/>
    </row>
    <row r="34" spans="1:34">
      <c r="A34" s="669"/>
      <c r="B34" s="699" t="s">
        <v>20</v>
      </c>
      <c r="C34" s="750" t="s">
        <v>365</v>
      </c>
      <c r="D34" s="716">
        <f>IF(Dashboard!$C$4,INDEX($W34:$X34,MATCH(Dashboard!$C$3,$W$10:$X$10,0)),'Revenue Summary'!F32)</f>
        <v>398856</v>
      </c>
      <c r="E34" s="717"/>
      <c r="F34" s="718">
        <f>'Revenue Summary'!G32</f>
        <v>357493.58171515202</v>
      </c>
      <c r="G34" s="719"/>
      <c r="H34" s="720">
        <f>D34/IF(Dashboard!$C$4,$Z34,INDEX($Z34:$AB34,MATCH(model_year,$Z$10:$AB$10,0)))</f>
        <v>0.12828426722571842</v>
      </c>
      <c r="I34" s="721"/>
      <c r="J34" s="722">
        <f>F34/INDEX($Z34:$AB34,MATCH(model_year,$Z$10:$AB$10,0))</f>
        <v>0.11498085065343325</v>
      </c>
      <c r="K34" s="719"/>
      <c r="L34" s="723">
        <f t="shared" si="4"/>
        <v>2.3266582639690415E-4</v>
      </c>
      <c r="M34" s="724"/>
      <c r="N34" s="725">
        <f t="shared" si="10"/>
        <v>1.9929084467578041E-4</v>
      </c>
      <c r="O34" s="669"/>
      <c r="P34" s="723">
        <f t="shared" si="5"/>
        <v>0</v>
      </c>
      <c r="Q34" s="724"/>
      <c r="R34" s="725">
        <f t="shared" si="3"/>
        <v>-0.10370263524893186</v>
      </c>
      <c r="S34" s="669"/>
      <c r="T34" s="669"/>
      <c r="U34" s="669"/>
      <c r="V34" s="669"/>
      <c r="W34" s="716">
        <v>398856</v>
      </c>
      <c r="X34" s="727">
        <v>292765</v>
      </c>
      <c r="Y34" s="669"/>
      <c r="Z34" s="751">
        <v>3109157.565660065</v>
      </c>
      <c r="AA34" s="751">
        <v>3109157.565660065</v>
      </c>
      <c r="AB34" s="752">
        <v>3109157.565660065</v>
      </c>
      <c r="AC34" s="669"/>
      <c r="AD34" s="669"/>
      <c r="AE34" s="669"/>
      <c r="AF34" s="669"/>
      <c r="AG34" s="669"/>
    </row>
    <row r="35" spans="1:34">
      <c r="A35" s="669"/>
      <c r="B35" s="728"/>
      <c r="C35" s="728" t="s">
        <v>366</v>
      </c>
      <c r="D35" s="700">
        <f>IF(Dashboard!$C$4,INDEX($W35:$X35,MATCH(Dashboard!$C$3,$W$10:$X$10,0)),'Revenue Summary'!F33)</f>
        <v>70806839.39623864</v>
      </c>
      <c r="E35" s="729">
        <f>INDEX('COSS Results'!$T27:$V27,MATCH('Lists and Mapping'!$C$11,'COSS Results'!$T$3:$V$3,0))</f>
        <v>52896699.7971064</v>
      </c>
      <c r="F35" s="702">
        <f>'Revenue Summary'!G33</f>
        <v>75767960.461932406</v>
      </c>
      <c r="G35" s="694"/>
      <c r="H35" s="703">
        <f>D35/IF(Dashboard!$C$4,$Z35,INDEX($Z35:$AB35,MATCH(model_year,$Z$10:$AB$10,0)))</f>
        <v>0.24760018324739069</v>
      </c>
      <c r="I35" s="730">
        <f>E35/INDEX($Z35:$AB35,MATCH(model_year,$Z$10:$AB$10,0))</f>
        <v>0.19679646861416006</v>
      </c>
      <c r="J35" s="705">
        <f>F35/INDEX($Z35:$AB35,MATCH(model_year,$Z$10:$AB$10,0))</f>
        <v>0.28188652808584608</v>
      </c>
      <c r="K35" s="694"/>
      <c r="L35" s="706">
        <f t="shared" si="4"/>
        <v>4.1303958828947621E-2</v>
      </c>
      <c r="M35" s="731">
        <f t="shared" si="9"/>
        <v>2.9488160104892084E-2</v>
      </c>
      <c r="N35" s="708">
        <f t="shared" si="10"/>
        <v>4.2238131290007572E-2</v>
      </c>
      <c r="O35" s="669"/>
      <c r="P35" s="706">
        <f t="shared" si="5"/>
        <v>0</v>
      </c>
      <c r="Q35" s="731">
        <f t="shared" si="2"/>
        <v>-0.20518447913453242</v>
      </c>
      <c r="R35" s="708">
        <f t="shared" si="3"/>
        <v>0.13847463434305318</v>
      </c>
      <c r="S35" s="669"/>
      <c r="T35" s="669"/>
      <c r="U35" s="669"/>
      <c r="V35" s="669"/>
      <c r="W35" s="700">
        <v>70806839.39623864</v>
      </c>
      <c r="X35" s="709">
        <v>61048885.715656772</v>
      </c>
      <c r="Y35" s="669"/>
      <c r="Z35" s="733">
        <v>285972483.81473011</v>
      </c>
      <c r="AA35" s="733">
        <v>268788866.84097916</v>
      </c>
      <c r="AB35" s="734">
        <v>275278232.77086318</v>
      </c>
      <c r="AC35" s="669"/>
      <c r="AD35" s="669"/>
      <c r="AE35" s="669"/>
      <c r="AF35" s="669"/>
      <c r="AG35" s="669"/>
    </row>
    <row r="36" spans="1:34">
      <c r="A36" s="669"/>
      <c r="B36" s="692"/>
      <c r="C36" s="692"/>
      <c r="D36" s="700"/>
      <c r="E36" s="729"/>
      <c r="F36" s="702"/>
      <c r="G36" s="694"/>
      <c r="H36" s="703"/>
      <c r="I36" s="730"/>
      <c r="J36" s="705"/>
      <c r="K36" s="694"/>
      <c r="L36" s="706"/>
      <c r="M36" s="731"/>
      <c r="N36" s="708"/>
      <c r="O36" s="669"/>
      <c r="P36" s="706"/>
      <c r="Q36" s="731"/>
      <c r="R36" s="708"/>
      <c r="S36" s="669"/>
      <c r="T36" s="669"/>
      <c r="U36" s="669"/>
      <c r="V36" s="669"/>
      <c r="W36" s="700"/>
      <c r="X36" s="709"/>
      <c r="Y36" s="669"/>
      <c r="Z36" s="748"/>
      <c r="AA36" s="748"/>
      <c r="AB36" s="749"/>
      <c r="AC36" s="669"/>
      <c r="AD36" s="669"/>
      <c r="AE36" s="669"/>
      <c r="AF36" s="669"/>
      <c r="AG36" s="669"/>
    </row>
    <row r="37" spans="1:34" ht="39.6">
      <c r="A37" s="669"/>
      <c r="B37" s="699" t="s">
        <v>19</v>
      </c>
      <c r="C37" s="715" t="s">
        <v>367</v>
      </c>
      <c r="D37" s="716">
        <f>IF(Dashboard!$C$4,INDEX($W37:$X37,MATCH(Dashboard!$C$3,$W$10:$X$10,0)),'Revenue Summary'!F35)</f>
        <v>2346329</v>
      </c>
      <c r="E37" s="717"/>
      <c r="F37" s="718">
        <f>'Revenue Summary'!G35</f>
        <v>2815535</v>
      </c>
      <c r="G37" s="719"/>
      <c r="H37" s="720">
        <f>D37/IF(Dashboard!$C$4,$Z37,INDEX($Z37:$AB37,MATCH(model_year,$Z$10:$AB$10,0)))</f>
        <v>0.10153042389916421</v>
      </c>
      <c r="I37" s="721"/>
      <c r="J37" s="722">
        <f>F37/INDEX($Z37:$AB37,MATCH(model_year,$Z$10:$AB$10,0))</f>
        <v>0.12183392101147507</v>
      </c>
      <c r="K37" s="719"/>
      <c r="L37" s="723">
        <f t="shared" si="4"/>
        <v>1.3686908954209582E-3</v>
      </c>
      <c r="M37" s="724"/>
      <c r="N37" s="725">
        <f t="shared" si="10"/>
        <v>1.569567614814723E-3</v>
      </c>
      <c r="O37" s="669"/>
      <c r="P37" s="723">
        <f t="shared" si="5"/>
        <v>0</v>
      </c>
      <c r="Q37" s="724"/>
      <c r="R37" s="725">
        <f t="shared" si="3"/>
        <v>0.19997451337813232</v>
      </c>
      <c r="S37" s="669"/>
      <c r="T37" s="669"/>
      <c r="U37" s="669"/>
      <c r="V37" s="669"/>
      <c r="W37" s="716">
        <v>2346329</v>
      </c>
      <c r="X37" s="727">
        <v>1557783</v>
      </c>
      <c r="Y37" s="669"/>
      <c r="Z37" s="710">
        <v>23109614.930104855</v>
      </c>
      <c r="AA37" s="710">
        <v>23109614.930104855</v>
      </c>
      <c r="AB37" s="711">
        <v>23157846.738615796</v>
      </c>
      <c r="AC37" s="669"/>
      <c r="AD37" s="669"/>
      <c r="AE37" s="669"/>
      <c r="AF37" s="669"/>
      <c r="AG37" s="669"/>
    </row>
    <row r="38" spans="1:34">
      <c r="A38" s="692"/>
      <c r="B38" s="728"/>
      <c r="C38" s="728" t="s">
        <v>368</v>
      </c>
      <c r="D38" s="700">
        <f>IF(Dashboard!$C$4,INDEX($W38:$X38,MATCH(Dashboard!$C$3,$W$10:$X$10,0)),'Revenue Summary'!F36)</f>
        <v>2346329</v>
      </c>
      <c r="E38" s="729">
        <f>INDEX('COSS Results'!$T30:$V30,MATCH('Lists and Mapping'!$C$11,'COSS Results'!$T$3:$V$3,0))</f>
        <v>7589357.8263404863</v>
      </c>
      <c r="F38" s="702">
        <f>'Revenue Summary'!G36</f>
        <v>2815535</v>
      </c>
      <c r="G38" s="694"/>
      <c r="H38" s="703">
        <f>D38/IF(Dashboard!$C$4,$Z38,INDEX($Z38:$AB38,MATCH(model_year,$Z$10:$AB$10,0)))</f>
        <v>0.10153042389916421</v>
      </c>
      <c r="I38" s="730">
        <f>E38/INDEX($Z38:$AB38,MATCH(model_year,$Z$10:$AB$10,0))</f>
        <v>0.32840693578385172</v>
      </c>
      <c r="J38" s="705">
        <f>F38/INDEX($Z38:$AB38,MATCH(model_year,$Z$10:$AB$10,0))</f>
        <v>0.12183392101147507</v>
      </c>
      <c r="K38" s="694"/>
      <c r="L38" s="706">
        <f t="shared" si="4"/>
        <v>1.3686908954209582E-3</v>
      </c>
      <c r="M38" s="731">
        <f t="shared" si="9"/>
        <v>4.2308159022178982E-3</v>
      </c>
      <c r="N38" s="708">
        <f t="shared" si="10"/>
        <v>1.569567614814723E-3</v>
      </c>
      <c r="O38" s="669"/>
      <c r="P38" s="706">
        <f t="shared" si="5"/>
        <v>0</v>
      </c>
      <c r="Q38" s="731">
        <f t="shared" si="2"/>
        <v>2.2345667748813085</v>
      </c>
      <c r="R38" s="708">
        <f t="shared" si="3"/>
        <v>0.19997451337813232</v>
      </c>
      <c r="S38" s="669"/>
      <c r="T38" s="669"/>
      <c r="U38" s="669"/>
      <c r="V38" s="669"/>
      <c r="W38" s="700">
        <v>2346329</v>
      </c>
      <c r="X38" s="709">
        <v>1557783</v>
      </c>
      <c r="Y38" s="669"/>
      <c r="Z38" s="733">
        <v>23109614.930104855</v>
      </c>
      <c r="AA38" s="733">
        <v>23109614.930104855</v>
      </c>
      <c r="AB38" s="734">
        <v>23157846.738615796</v>
      </c>
      <c r="AC38" s="669"/>
      <c r="AD38" s="669"/>
      <c r="AE38" s="669"/>
      <c r="AF38" s="669"/>
      <c r="AG38" s="669"/>
    </row>
    <row r="39" spans="1:34">
      <c r="A39" s="692"/>
      <c r="B39" s="692"/>
      <c r="C39" s="692"/>
      <c r="D39" s="700"/>
      <c r="E39" s="729"/>
      <c r="F39" s="702"/>
      <c r="G39" s="694"/>
      <c r="H39" s="703"/>
      <c r="I39" s="730"/>
      <c r="J39" s="705"/>
      <c r="K39" s="694"/>
      <c r="L39" s="706"/>
      <c r="M39" s="731"/>
      <c r="N39" s="708"/>
      <c r="O39" s="669"/>
      <c r="P39" s="706"/>
      <c r="Q39" s="731"/>
      <c r="R39" s="708"/>
      <c r="S39" s="669"/>
      <c r="T39" s="669"/>
      <c r="U39" s="669"/>
      <c r="V39" s="669"/>
      <c r="W39" s="700"/>
      <c r="X39" s="709"/>
      <c r="Y39" s="669"/>
      <c r="Z39" s="748"/>
      <c r="AA39" s="748"/>
      <c r="AB39" s="749"/>
      <c r="AC39" s="669"/>
      <c r="AD39" s="669"/>
      <c r="AE39" s="669"/>
      <c r="AF39" s="669"/>
      <c r="AG39" s="669"/>
    </row>
    <row r="40" spans="1:34" ht="14.4" thickBot="1">
      <c r="A40" s="681"/>
      <c r="B40" s="753" t="s">
        <v>369</v>
      </c>
      <c r="C40" s="754"/>
      <c r="D40" s="755">
        <f>IF(Dashboard!$C$4,INDEX($W40:$X40,MATCH(Dashboard!$C$3,$W$10:$X$10,0)),'Revenue Summary'!F38)</f>
        <v>1714286993.3962386</v>
      </c>
      <c r="E40" s="756">
        <f>INDEX('COSS Results'!$T32:$V32,MATCH('Lists and Mapping'!$C$11,'COSS Results'!$T$3:$V$3,0))</f>
        <v>1793828425</v>
      </c>
      <c r="F40" s="757">
        <f>'Revenue Summary'!G38</f>
        <v>1793828423.4619324</v>
      </c>
      <c r="G40" s="758"/>
      <c r="H40" s="759">
        <f>D40/IF(Dashboard!$C$4,$Z40,INDEX($Z40:$AB40,MATCH(model_year,$Z$10:$AB$10,0)))</f>
        <v>0.10699414504656482</v>
      </c>
      <c r="I40" s="760">
        <f>E40/INDEX($Z40:$AB40,MATCH(model_year,$Z$10:$AB$10,0))</f>
        <v>0.11553414442715404</v>
      </c>
      <c r="J40" s="761">
        <f>F40/INDEX($Z40:$AB40,MATCH(model_year,$Z$10:$AB$10,0))</f>
        <v>0.11553414432809256</v>
      </c>
      <c r="K40" s="758"/>
      <c r="L40" s="762">
        <f t="shared" si="4"/>
        <v>1</v>
      </c>
      <c r="M40" s="763">
        <f t="shared" si="9"/>
        <v>1</v>
      </c>
      <c r="N40" s="764">
        <f t="shared" si="10"/>
        <v>1</v>
      </c>
      <c r="O40" s="669"/>
      <c r="P40" s="762">
        <f t="shared" si="5"/>
        <v>0</v>
      </c>
      <c r="Q40" s="763">
        <f t="shared" si="2"/>
        <v>7.981744586932793E-2</v>
      </c>
      <c r="R40" s="764">
        <f t="shared" si="3"/>
        <v>7.9817444943469207E-2</v>
      </c>
      <c r="S40" s="669"/>
      <c r="T40" s="669"/>
      <c r="U40" s="669"/>
      <c r="V40" s="669"/>
      <c r="W40" s="755">
        <v>1714286993.3962386</v>
      </c>
      <c r="X40" s="765">
        <v>1179202419.7156568</v>
      </c>
      <c r="Y40" s="669"/>
      <c r="Z40" s="766">
        <v>16022250494.643099</v>
      </c>
      <c r="AA40" s="766">
        <v>15526392079.971085</v>
      </c>
      <c r="AB40" s="767">
        <v>15197548326.094807</v>
      </c>
      <c r="AC40" s="669"/>
      <c r="AD40" s="669"/>
      <c r="AE40" s="669"/>
      <c r="AF40" s="669"/>
      <c r="AG40" s="669"/>
    </row>
    <row r="41" spans="1:34" ht="14.4" thickTop="1">
      <c r="A41" s="669"/>
      <c r="B41" s="669"/>
      <c r="C41" s="669"/>
      <c r="D41" s="768"/>
      <c r="E41" s="768"/>
      <c r="F41" s="731"/>
      <c r="G41" s="694"/>
      <c r="H41" s="694"/>
      <c r="I41" s="694"/>
      <c r="J41" s="694"/>
      <c r="K41" s="694"/>
      <c r="L41" s="669"/>
      <c r="M41" s="669"/>
      <c r="N41" s="669"/>
      <c r="O41" s="669"/>
      <c r="P41" s="669"/>
      <c r="Q41" s="669"/>
      <c r="R41" s="669"/>
      <c r="S41" s="669"/>
      <c r="T41" s="669"/>
      <c r="U41" s="669"/>
      <c r="V41" s="669"/>
      <c r="Y41" s="669"/>
      <c r="Z41" s="669"/>
      <c r="AA41" s="669"/>
      <c r="AB41" s="669"/>
      <c r="AC41" s="669"/>
      <c r="AD41" s="669"/>
      <c r="AE41" s="669"/>
      <c r="AF41" s="669"/>
      <c r="AG41" s="669"/>
    </row>
    <row r="42" spans="1:34" s="641" customFormat="1">
      <c r="A42" s="769"/>
      <c r="B42" s="679" t="s">
        <v>640</v>
      </c>
      <c r="C42" s="679"/>
      <c r="D42" s="680"/>
      <c r="E42" s="679"/>
      <c r="F42" s="679"/>
      <c r="G42" s="680"/>
      <c r="H42" s="680"/>
      <c r="I42" s="679"/>
      <c r="J42" s="679"/>
      <c r="K42" s="680"/>
      <c r="L42" s="678"/>
      <c r="M42" s="678"/>
      <c r="N42" s="678"/>
      <c r="O42" s="678"/>
      <c r="P42" s="678"/>
      <c r="Q42" s="678"/>
      <c r="R42" s="678"/>
      <c r="S42" s="678"/>
      <c r="T42" s="678"/>
      <c r="U42" s="678"/>
      <c r="V42" s="678"/>
      <c r="W42" s="678"/>
      <c r="X42" s="678"/>
      <c r="Y42" s="678"/>
      <c r="Z42" s="678"/>
      <c r="AA42" s="678"/>
      <c r="AB42" s="678"/>
      <c r="AC42" s="678"/>
      <c r="AD42" s="678"/>
      <c r="AE42" s="678"/>
      <c r="AF42" s="678"/>
      <c r="AG42" s="678"/>
      <c r="AH42" s="678"/>
    </row>
    <row r="43" spans="1:34" ht="27.45" customHeight="1">
      <c r="A43" s="681"/>
      <c r="B43" s="669"/>
      <c r="C43" s="669"/>
      <c r="D43" s="1564" t="s">
        <v>551</v>
      </c>
      <c r="E43" s="1565"/>
      <c r="F43" s="1566"/>
      <c r="G43" s="694"/>
      <c r="H43" s="1567" t="s">
        <v>565</v>
      </c>
      <c r="I43" s="1565"/>
      <c r="J43" s="1568"/>
      <c r="K43" s="694"/>
      <c r="L43" s="1567" t="s">
        <v>568</v>
      </c>
      <c r="M43" s="1569"/>
      <c r="N43" s="1568"/>
      <c r="O43" s="669"/>
      <c r="P43" s="1567" t="s">
        <v>569</v>
      </c>
      <c r="Q43" s="1569"/>
      <c r="R43" s="1568"/>
      <c r="S43" s="669"/>
      <c r="T43" s="1570" t="s">
        <v>571</v>
      </c>
      <c r="U43" s="1570"/>
      <c r="V43" s="669"/>
      <c r="W43" s="1561" t="s">
        <v>562</v>
      </c>
      <c r="X43" s="1562"/>
      <c r="Y43" s="669"/>
      <c r="Z43" s="1561" t="s">
        <v>564</v>
      </c>
      <c r="AA43" s="1563"/>
      <c r="AB43" s="1562"/>
      <c r="AC43" s="669"/>
      <c r="AD43" s="669"/>
      <c r="AE43" s="669"/>
      <c r="AF43" s="669"/>
      <c r="AG43" s="669"/>
    </row>
    <row r="44" spans="1:34">
      <c r="A44" s="681"/>
      <c r="B44" s="669"/>
      <c r="C44" s="687" t="s">
        <v>343</v>
      </c>
      <c r="D44" s="685" t="s">
        <v>340</v>
      </c>
      <c r="E44" s="682" t="s">
        <v>338</v>
      </c>
      <c r="F44" s="688" t="s">
        <v>697</v>
      </c>
      <c r="G44" s="689"/>
      <c r="H44" s="685" t="s">
        <v>340</v>
      </c>
      <c r="I44" s="682" t="s">
        <v>338</v>
      </c>
      <c r="J44" s="688" t="s">
        <v>697</v>
      </c>
      <c r="K44" s="689"/>
      <c r="L44" s="685" t="s">
        <v>340</v>
      </c>
      <c r="M44" s="682" t="s">
        <v>338</v>
      </c>
      <c r="N44" s="688" t="s">
        <v>697</v>
      </c>
      <c r="O44" s="669"/>
      <c r="P44" s="685" t="s">
        <v>340</v>
      </c>
      <c r="Q44" s="682" t="s">
        <v>338</v>
      </c>
      <c r="R44" s="688" t="s">
        <v>697</v>
      </c>
      <c r="S44" s="669"/>
      <c r="T44" s="685" t="s">
        <v>340</v>
      </c>
      <c r="U44" s="688" t="s">
        <v>697</v>
      </c>
      <c r="V44" s="690" t="s">
        <v>555</v>
      </c>
      <c r="W44" s="691" t="b">
        <f>TRUE()</f>
        <v>1</v>
      </c>
      <c r="X44" s="691" t="b">
        <f>FALSE()</f>
        <v>0</v>
      </c>
      <c r="Y44" s="669"/>
      <c r="Z44" s="691">
        <v>2026</v>
      </c>
      <c r="AA44" s="691">
        <v>2027</v>
      </c>
      <c r="AB44" s="686">
        <v>2028</v>
      </c>
      <c r="AC44" s="669"/>
      <c r="AD44" s="669"/>
      <c r="AE44" s="669"/>
      <c r="AF44" s="669"/>
      <c r="AG44" s="669"/>
    </row>
    <row r="45" spans="1:34">
      <c r="A45" s="669"/>
      <c r="B45" s="692"/>
      <c r="C45" s="692"/>
      <c r="D45" s="693"/>
      <c r="E45" s="694"/>
      <c r="F45" s="695"/>
      <c r="G45" s="694"/>
      <c r="H45" s="693"/>
      <c r="I45" s="694"/>
      <c r="J45" s="695"/>
      <c r="K45" s="694"/>
      <c r="L45" s="693"/>
      <c r="M45" s="669"/>
      <c r="N45" s="695"/>
      <c r="O45" s="669"/>
      <c r="P45" s="693"/>
      <c r="Q45" s="669"/>
      <c r="R45" s="695"/>
      <c r="S45" s="669"/>
      <c r="T45" s="669"/>
      <c r="U45" s="669"/>
      <c r="V45" s="669"/>
      <c r="W45" s="693"/>
      <c r="X45" s="770"/>
      <c r="Y45" s="669"/>
      <c r="Z45" s="697"/>
      <c r="AA45" s="697"/>
      <c r="AB45" s="698"/>
      <c r="AC45" s="669"/>
      <c r="AD45" s="669"/>
      <c r="AE45" s="669"/>
      <c r="AF45" s="669"/>
      <c r="AG45" s="669"/>
    </row>
    <row r="46" spans="1:34">
      <c r="A46" s="681"/>
      <c r="B46" s="699" t="s">
        <v>3</v>
      </c>
      <c r="C46" s="692" t="s">
        <v>347</v>
      </c>
      <c r="D46" s="700">
        <f>IF(Dashboard!$C$4,INDEX($W46:$X46,MATCH(Dashboard!$C$3,$W$10:$X$10,0)),D12+Riders!$F10)</f>
        <v>1553945924.1132102</v>
      </c>
      <c r="E46" s="701">
        <f>E12+Riders!$F10</f>
        <v>1737787474.8417711</v>
      </c>
      <c r="F46" s="702">
        <f>F12+Riders!$F10</f>
        <v>1558447923.6000001</v>
      </c>
      <c r="G46" s="694"/>
      <c r="H46" s="703">
        <f>D46/IF(Dashboard!$C$4,$Z46,INDEX($Z46:$AB46,MATCH(model_year,$Z$44:$AB$44,0)))</f>
        <v>0.26780328937663606</v>
      </c>
      <c r="I46" s="704">
        <f t="shared" ref="I46:J50" si="11">E46/INDEX($Z46:$AB46,MATCH(model_year,$Z$44:$AB$44,0))</f>
        <v>0.31792090793102418</v>
      </c>
      <c r="J46" s="705">
        <f t="shared" si="11"/>
        <v>0.28511149148387338</v>
      </c>
      <c r="K46" s="694"/>
      <c r="L46" s="706">
        <f>D46/D$74</f>
        <v>0.34755529271987651</v>
      </c>
      <c r="M46" s="707">
        <f t="shared" ref="M46:M74" si="12">E46/E$74</f>
        <v>0.38187822812095024</v>
      </c>
      <c r="N46" s="708">
        <f>F46/F$74</f>
        <v>0.34246842062115845</v>
      </c>
      <c r="O46" s="669"/>
      <c r="P46" s="706">
        <f t="shared" ref="P46:P50" si="13">D46/$D46-1</f>
        <v>0</v>
      </c>
      <c r="Q46" s="707">
        <f t="shared" ref="Q46:R50" si="14">I46/$H46-1</f>
        <v>0.18714340167757681</v>
      </c>
      <c r="R46" s="771">
        <f t="shared" si="14"/>
        <v>6.4630281978707238E-2</v>
      </c>
      <c r="S46" s="669"/>
      <c r="T46" s="669"/>
      <c r="U46" s="669"/>
      <c r="V46" s="669"/>
      <c r="W46" s="700">
        <v>1553945924.1132102</v>
      </c>
      <c r="X46" s="709">
        <v>1355950810.1132102</v>
      </c>
      <c r="Y46" s="669"/>
      <c r="Z46" s="710">
        <v>5802564739.7024879</v>
      </c>
      <c r="AA46" s="710">
        <v>5466100000</v>
      </c>
      <c r="AB46" s="711">
        <v>5175046530.5321541</v>
      </c>
      <c r="AC46" s="669"/>
      <c r="AD46" s="669"/>
      <c r="AE46" s="669"/>
      <c r="AF46" s="669"/>
      <c r="AG46" s="669"/>
    </row>
    <row r="47" spans="1:34">
      <c r="A47" s="681"/>
      <c r="B47" s="699" t="s">
        <v>6</v>
      </c>
      <c r="C47" s="692" t="s">
        <v>348</v>
      </c>
      <c r="D47" s="700">
        <f>IF(Dashboard!$C$4,INDEX($W47:$X47,MATCH(Dashboard!$C$3,$W$10:$X$10,0)),D13+Riders!$F11)</f>
        <v>110894568.53608936</v>
      </c>
      <c r="E47" s="701">
        <f>E13+Riders!$F11</f>
        <v>146986846.86215174</v>
      </c>
      <c r="F47" s="702">
        <f>F13+Riders!$F11</f>
        <v>108216896.60000001</v>
      </c>
      <c r="G47" s="694"/>
      <c r="H47" s="703">
        <f>D47/IF(Dashboard!$C$4,$Z47,INDEX($Z47:$AB47,MATCH(model_year,$Z$44:$AB$44,0)))</f>
        <v>0.22953130141030692</v>
      </c>
      <c r="I47" s="704">
        <f t="shared" si="11"/>
        <v>0.32297703111876891</v>
      </c>
      <c r="J47" s="705">
        <f t="shared" si="11"/>
        <v>0.23778707229180401</v>
      </c>
      <c r="K47" s="694"/>
      <c r="L47" s="706">
        <f t="shared" ref="L47:L74" si="15">D47/D$74</f>
        <v>2.4802661167633418E-2</v>
      </c>
      <c r="M47" s="707">
        <f t="shared" si="12"/>
        <v>3.2300311430150455E-2</v>
      </c>
      <c r="N47" s="708">
        <f t="shared" ref="N47:N74" si="16">F47/F$74</f>
        <v>2.3780627573050338E-2</v>
      </c>
      <c r="O47" s="669"/>
      <c r="P47" s="706">
        <f t="shared" si="13"/>
        <v>0</v>
      </c>
      <c r="Q47" s="707">
        <f t="shared" si="14"/>
        <v>0.40711540924616507</v>
      </c>
      <c r="R47" s="771">
        <f t="shared" si="14"/>
        <v>3.596795221728466E-2</v>
      </c>
      <c r="S47" s="669"/>
      <c r="T47" s="713">
        <f>($H$46-H47)/$H$46</f>
        <v>0.14291082105606168</v>
      </c>
      <c r="U47" s="713">
        <f>($J$46-J47)/$J$46</f>
        <v>0.16598566036664347</v>
      </c>
      <c r="V47" s="669"/>
      <c r="W47" s="700">
        <v>110894568.53608936</v>
      </c>
      <c r="X47" s="709">
        <v>101622727.53608936</v>
      </c>
      <c r="Y47" s="669"/>
      <c r="Z47" s="710">
        <v>483134839.80058908</v>
      </c>
      <c r="AA47" s="710">
        <v>455100000</v>
      </c>
      <c r="AB47" s="711">
        <v>430886235.42310375</v>
      </c>
      <c r="AC47" s="669"/>
      <c r="AD47" s="669"/>
      <c r="AE47" s="669"/>
      <c r="AF47" s="669"/>
      <c r="AG47" s="669"/>
    </row>
    <row r="48" spans="1:34">
      <c r="A48" s="681"/>
      <c r="B48" s="699" t="s">
        <v>8</v>
      </c>
      <c r="C48" s="692" t="s">
        <v>349</v>
      </c>
      <c r="D48" s="700">
        <f>IF(Dashboard!$C$4,INDEX($W48:$X48,MATCH(Dashboard!$C$3,$W$10:$X$10,0)),D14+Riders!$F12)</f>
        <v>3790305.6849057344</v>
      </c>
      <c r="E48" s="701">
        <f>E14+Riders!$F12</f>
        <v>5050987.4781345725</v>
      </c>
      <c r="F48" s="702">
        <f>F14+Riders!$F12</f>
        <v>3899708.4000000004</v>
      </c>
      <c r="G48" s="694"/>
      <c r="H48" s="703">
        <f>D48/IF(Dashboard!$C$4,$Z48,INDEX($Z48:$AB48,MATCH(model_year,$Z$44:$AB$44,0)))</f>
        <v>0.21808609037936572</v>
      </c>
      <c r="I48" s="704">
        <f t="shared" si="11"/>
        <v>0.30798704134966903</v>
      </c>
      <c r="J48" s="705">
        <f t="shared" si="11"/>
        <v>0.23778709756097563</v>
      </c>
      <c r="K48" s="694"/>
      <c r="L48" s="706">
        <f t="shared" si="15"/>
        <v>8.4773915319285708E-4</v>
      </c>
      <c r="M48" s="707">
        <f t="shared" si="12"/>
        <v>1.1099528431039957E-3</v>
      </c>
      <c r="N48" s="708">
        <f t="shared" si="16"/>
        <v>8.5695964324942607E-4</v>
      </c>
      <c r="O48" s="669"/>
      <c r="P48" s="706">
        <f t="shared" si="13"/>
        <v>0</v>
      </c>
      <c r="Q48" s="707">
        <f t="shared" si="14"/>
        <v>0.41222689082975705</v>
      </c>
      <c r="R48" s="771">
        <f t="shared" si="14"/>
        <v>9.0335918019070149E-2</v>
      </c>
      <c r="S48" s="669"/>
      <c r="T48" s="713">
        <f>($H$46-H48)/$H$46</f>
        <v>0.1856482013831747</v>
      </c>
      <c r="U48" s="713">
        <f>($J$46-J48)/$J$46</f>
        <v>0.16598557173755493</v>
      </c>
      <c r="V48" s="669"/>
      <c r="W48" s="700">
        <v>3790305.6849057344</v>
      </c>
      <c r="X48" s="709">
        <v>3456768.6849057344</v>
      </c>
      <c r="Y48" s="669"/>
      <c r="Z48" s="710">
        <v>17379859.844854899</v>
      </c>
      <c r="AA48" s="710">
        <v>16400000</v>
      </c>
      <c r="AB48" s="711">
        <v>15500315.365005814</v>
      </c>
      <c r="AC48" s="669"/>
      <c r="AD48" s="669"/>
      <c r="AE48" s="669"/>
      <c r="AF48" s="669"/>
      <c r="AG48" s="669"/>
    </row>
    <row r="49" spans="1:33" ht="39.6">
      <c r="A49" s="669"/>
      <c r="B49" s="699" t="s">
        <v>9</v>
      </c>
      <c r="C49" s="715" t="s">
        <v>350</v>
      </c>
      <c r="D49" s="716">
        <f>IF(Dashboard!$C$4,INDEX($W49:$X49,MATCH(Dashboard!$C$3,$W$10:$X$10,0)),D15+Riders!$F13)</f>
        <v>81438614.461456224</v>
      </c>
      <c r="E49" s="717">
        <f>E15+Riders!$F13</f>
        <v>79306277.034380123</v>
      </c>
      <c r="F49" s="718">
        <f>F15+Riders!$F13</f>
        <v>77746637</v>
      </c>
      <c r="G49" s="719"/>
      <c r="H49" s="720">
        <f>D49/IF(Dashboard!$C$4,$Z49,INDEX($Z49:$AB49,MATCH(model_year,$Z$44:$AB$44,0)))</f>
        <v>0.29275737395976248</v>
      </c>
      <c r="I49" s="721">
        <f t="shared" si="11"/>
        <v>0.30269571387167982</v>
      </c>
      <c r="J49" s="722">
        <f t="shared" si="11"/>
        <v>0.29674288931297704</v>
      </c>
      <c r="K49" s="719"/>
      <c r="L49" s="723">
        <f t="shared" si="15"/>
        <v>1.8214547268757156E-2</v>
      </c>
      <c r="M49" s="724">
        <f t="shared" si="12"/>
        <v>1.7427528389520604E-2</v>
      </c>
      <c r="N49" s="725">
        <f t="shared" si="16"/>
        <v>1.7084798008836409E-2</v>
      </c>
      <c r="O49" s="669"/>
      <c r="P49" s="723">
        <f t="shared" si="13"/>
        <v>0</v>
      </c>
      <c r="Q49" s="724">
        <f t="shared" si="14"/>
        <v>3.3947359813670364E-2</v>
      </c>
      <c r="R49" s="772">
        <f t="shared" si="14"/>
        <v>1.3613714658344822E-2</v>
      </c>
      <c r="S49" s="669"/>
      <c r="T49" s="669"/>
      <c r="U49" s="669"/>
      <c r="V49" s="669"/>
      <c r="W49" s="716">
        <v>81438614.461456224</v>
      </c>
      <c r="X49" s="727">
        <v>76100102.461456224</v>
      </c>
      <c r="Y49" s="669"/>
      <c r="Z49" s="710">
        <v>278177841.80783576</v>
      </c>
      <c r="AA49" s="710">
        <v>262000000.00000003</v>
      </c>
      <c r="AB49" s="711">
        <v>248094306.51735803</v>
      </c>
      <c r="AC49" s="669"/>
      <c r="AD49" s="669"/>
      <c r="AE49" s="669"/>
      <c r="AF49" s="669"/>
      <c r="AG49" s="669"/>
    </row>
    <row r="50" spans="1:33">
      <c r="A50" s="669"/>
      <c r="B50" s="728"/>
      <c r="C50" s="728" t="s">
        <v>351</v>
      </c>
      <c r="D50" s="700">
        <f>IF(Dashboard!$C$4,INDEX($W50:$X50,MATCH(Dashboard!$C$3,$W$10:$X$10,0)),D16+Riders!$F14)</f>
        <v>1750069412.7956617</v>
      </c>
      <c r="E50" s="729">
        <f>E16+Riders!$F14</f>
        <v>1969131586.2164373</v>
      </c>
      <c r="F50" s="702">
        <f t="shared" ref="F50" si="17">SUM(F46:F49)</f>
        <v>1748311165.6000001</v>
      </c>
      <c r="G50" s="694"/>
      <c r="H50" s="703">
        <f>D50/IF(Dashboard!$C$4,$Z50,INDEX($Z50:$AB50,MATCH(model_year,$Z$44:$AB$44,0)))</f>
        <v>0.26591718543000392</v>
      </c>
      <c r="I50" s="730">
        <f t="shared" si="11"/>
        <v>0.31762236050978082</v>
      </c>
      <c r="J50" s="705">
        <f t="shared" si="11"/>
        <v>0.28200386566875285</v>
      </c>
      <c r="K50" s="694"/>
      <c r="L50" s="706">
        <f t="shared" si="15"/>
        <v>0.39142024030945999</v>
      </c>
      <c r="M50" s="731">
        <f t="shared" si="12"/>
        <v>0.43271602078372523</v>
      </c>
      <c r="N50" s="708">
        <f t="shared" si="16"/>
        <v>0.38419080584629461</v>
      </c>
      <c r="O50" s="669"/>
      <c r="P50" s="706">
        <f t="shared" si="13"/>
        <v>0</v>
      </c>
      <c r="Q50" s="731">
        <f t="shared" si="14"/>
        <v>0.19444089330355441</v>
      </c>
      <c r="R50" s="708">
        <f t="shared" si="14"/>
        <v>6.0495075610610849E-2</v>
      </c>
      <c r="S50" s="669"/>
      <c r="T50" s="669"/>
      <c r="U50" s="669"/>
      <c r="V50" s="669"/>
      <c r="W50" s="700">
        <v>1750069412.7956617</v>
      </c>
      <c r="X50" s="709">
        <v>1537130408.7956617</v>
      </c>
      <c r="Y50" s="669"/>
      <c r="Z50" s="733">
        <v>6581257281.1557674</v>
      </c>
      <c r="AA50" s="733">
        <v>6199600000</v>
      </c>
      <c r="AB50" s="734">
        <v>5869527387.8376207</v>
      </c>
      <c r="AC50" s="669"/>
      <c r="AD50" s="669"/>
      <c r="AE50" s="669"/>
      <c r="AF50" s="669"/>
      <c r="AG50" s="669"/>
    </row>
    <row r="51" spans="1:33">
      <c r="A51" s="669"/>
      <c r="B51" s="692"/>
      <c r="C51" s="692"/>
      <c r="D51" s="700"/>
      <c r="E51" s="729"/>
      <c r="F51" s="702"/>
      <c r="G51" s="694"/>
      <c r="H51" s="703"/>
      <c r="I51" s="730"/>
      <c r="J51" s="705"/>
      <c r="K51" s="694"/>
      <c r="L51" s="706"/>
      <c r="M51" s="731"/>
      <c r="N51" s="708"/>
      <c r="O51" s="669"/>
      <c r="P51" s="706"/>
      <c r="Q51" s="731"/>
      <c r="R51" s="708"/>
      <c r="S51" s="669"/>
      <c r="T51" s="669"/>
      <c r="U51" s="669"/>
      <c r="V51" s="669"/>
      <c r="W51" s="700"/>
      <c r="X51" s="709"/>
      <c r="Y51" s="669"/>
      <c r="Z51" s="710"/>
      <c r="AA51" s="710"/>
      <c r="AB51" s="711"/>
      <c r="AC51" s="669"/>
      <c r="AD51" s="669"/>
      <c r="AE51" s="669"/>
      <c r="AF51" s="669"/>
      <c r="AG51" s="669"/>
    </row>
    <row r="52" spans="1:33">
      <c r="A52" s="681"/>
      <c r="B52" s="699" t="s">
        <v>10</v>
      </c>
      <c r="C52" s="692" t="s">
        <v>352</v>
      </c>
      <c r="D52" s="700">
        <f>IF(Dashboard!$C$4,INDEX($W52:$X52,MATCH(Dashboard!$C$3,$W$10:$X$10,0)),D18+Riders!$F16)</f>
        <v>658145555.37972045</v>
      </c>
      <c r="E52" s="701">
        <f>E18+Riders!$F16</f>
        <v>654992131.46507657</v>
      </c>
      <c r="F52" s="702">
        <f>F18+Riders!$F16</f>
        <v>654992131.60000002</v>
      </c>
      <c r="G52" s="694"/>
      <c r="H52" s="703">
        <f>D52/IF(Dashboard!$C$4,$Z52,INDEX($Z52:$AB52,MATCH(model_year,$Z$44:$AB$44,0)))</f>
        <v>0.29370995154274326</v>
      </c>
      <c r="I52" s="704">
        <f t="shared" ref="I52:J55" si="18">E52/INDEX($Z52:$AB52,MATCH(model_year,$Z$44:$AB$44,0))</f>
        <v>0.29252473380602767</v>
      </c>
      <c r="J52" s="705">
        <f t="shared" si="18"/>
        <v>0.29252473386628558</v>
      </c>
      <c r="K52" s="694"/>
      <c r="L52" s="706">
        <f t="shared" si="15"/>
        <v>0.14720072790359198</v>
      </c>
      <c r="M52" s="707">
        <f t="shared" si="12"/>
        <v>0.14393430624755912</v>
      </c>
      <c r="N52" s="708">
        <f t="shared" si="16"/>
        <v>0.14393430632585685</v>
      </c>
      <c r="O52" s="669"/>
      <c r="P52" s="706">
        <f t="shared" ref="P52:P55" si="19">D52/$D52-1</f>
        <v>0</v>
      </c>
      <c r="Q52" s="707">
        <f t="shared" ref="Q52:R55" si="20">I52/$H52-1</f>
        <v>-4.0353339425174273E-3</v>
      </c>
      <c r="R52" s="708">
        <f t="shared" si="20"/>
        <v>-4.0353337373562059E-3</v>
      </c>
      <c r="S52" s="669"/>
      <c r="T52" s="669"/>
      <c r="U52" s="669"/>
      <c r="V52" s="669"/>
      <c r="W52" s="700">
        <v>658145555.37972045</v>
      </c>
      <c r="X52" s="709">
        <v>581684943.37972045</v>
      </c>
      <c r="Y52" s="669"/>
      <c r="Z52" s="710">
        <v>2240801007.6701174</v>
      </c>
      <c r="AA52" s="710">
        <v>2239100000</v>
      </c>
      <c r="AB52" s="711">
        <v>2248113796.1301975</v>
      </c>
      <c r="AC52" s="669"/>
      <c r="AD52" s="669"/>
      <c r="AE52" s="669"/>
      <c r="AF52" s="669"/>
      <c r="AG52" s="669"/>
    </row>
    <row r="53" spans="1:33">
      <c r="A53" s="669"/>
      <c r="B53" s="699" t="s">
        <v>22</v>
      </c>
      <c r="C53" s="692" t="s">
        <v>353</v>
      </c>
      <c r="D53" s="700">
        <f>IF(Dashboard!$C$4,INDEX($W53:$X53,MATCH(Dashboard!$C$3,$W$10:$X$10,0)),D19+Riders!$F17)</f>
        <v>95614.739600000001</v>
      </c>
      <c r="E53" s="701">
        <f>E19+Riders!$F17</f>
        <v>400423.54579559492</v>
      </c>
      <c r="F53" s="702">
        <f>F19+Riders!$F17</f>
        <v>121605.4</v>
      </c>
      <c r="G53" s="694"/>
      <c r="H53" s="703">
        <f>D53/IF(Dashboard!$C$4,$Z53,INDEX($Z53:$AB53,MATCH(model_year,$Z$44:$AB$44,0)))</f>
        <v>0.62224872836131706</v>
      </c>
      <c r="I53" s="704">
        <f t="shared" si="18"/>
        <v>2.6694903053039662</v>
      </c>
      <c r="J53" s="705">
        <f t="shared" si="18"/>
        <v>0.81070266666666668</v>
      </c>
      <c r="K53" s="694"/>
      <c r="L53" s="706">
        <f t="shared" si="15"/>
        <v>2.1385177112245347E-5</v>
      </c>
      <c r="M53" s="707">
        <f t="shared" si="12"/>
        <v>8.7992942969193039E-5</v>
      </c>
      <c r="N53" s="708">
        <f t="shared" si="16"/>
        <v>2.6722746808762352E-5</v>
      </c>
      <c r="O53" s="669"/>
      <c r="P53" s="706">
        <f t="shared" si="19"/>
        <v>0</v>
      </c>
      <c r="Q53" s="707">
        <f t="shared" si="20"/>
        <v>3.2900695230571708</v>
      </c>
      <c r="R53" s="708">
        <f t="shared" si="20"/>
        <v>0.30285949929000311</v>
      </c>
      <c r="S53" s="669"/>
      <c r="T53" s="669"/>
      <c r="U53" s="669"/>
      <c r="V53" s="669"/>
      <c r="W53" s="700">
        <v>95614.739600000001</v>
      </c>
      <c r="X53" s="709">
        <v>90371.739600000001</v>
      </c>
      <c r="Y53" s="669"/>
      <c r="Z53" s="710">
        <v>153660.00000000003</v>
      </c>
      <c r="AA53" s="710">
        <v>150000</v>
      </c>
      <c r="AB53" s="711">
        <v>153660.00000000003</v>
      </c>
      <c r="AC53" s="669"/>
      <c r="AD53" s="669"/>
      <c r="AE53" s="669"/>
      <c r="AF53" s="669"/>
      <c r="AG53" s="669"/>
    </row>
    <row r="54" spans="1:33">
      <c r="A54" s="669"/>
      <c r="B54" s="735" t="s">
        <v>21</v>
      </c>
      <c r="C54" s="736" t="s">
        <v>354</v>
      </c>
      <c r="D54" s="716">
        <f>IF(Dashboard!$C$4,INDEX($W54:$X54,MATCH(Dashboard!$C$3,$W$10:$X$10,0)),D20+Riders!$F18)</f>
        <v>4930946.0119199995</v>
      </c>
      <c r="E54" s="717">
        <f>E20+Riders!$F18</f>
        <v>5358158.9329466075</v>
      </c>
      <c r="F54" s="718">
        <f>F20+Riders!$F18</f>
        <v>5646003.2000000002</v>
      </c>
      <c r="G54" s="719"/>
      <c r="H54" s="720">
        <f>D54/IF(Dashboard!$C$4,$Z54,INDEX($Z54:$AB54,MATCH(model_year,$Z$44:$AB$44,0)))</f>
        <v>0.29966007030025649</v>
      </c>
      <c r="I54" s="721">
        <f t="shared" si="18"/>
        <v>0.3257239472915871</v>
      </c>
      <c r="J54" s="722">
        <f t="shared" si="18"/>
        <v>0.34322207902735563</v>
      </c>
      <c r="K54" s="719"/>
      <c r="L54" s="723">
        <f t="shared" si="15"/>
        <v>1.1028545832679239E-3</v>
      </c>
      <c r="M54" s="724">
        <f t="shared" si="12"/>
        <v>1.1774536696383998E-3</v>
      </c>
      <c r="N54" s="725">
        <f t="shared" si="16"/>
        <v>1.2407073534157367E-3</v>
      </c>
      <c r="O54" s="669"/>
      <c r="P54" s="723">
        <f t="shared" si="19"/>
        <v>0</v>
      </c>
      <c r="Q54" s="724">
        <f t="shared" si="20"/>
        <v>8.6978144819944925E-2</v>
      </c>
      <c r="R54" s="725">
        <f t="shared" si="20"/>
        <v>0.14537141596292913</v>
      </c>
      <c r="S54" s="669"/>
      <c r="T54" s="669"/>
      <c r="U54" s="669"/>
      <c r="V54" s="669"/>
      <c r="W54" s="716">
        <v>4930946.0119199995</v>
      </c>
      <c r="X54" s="727">
        <v>4369464.0119199995</v>
      </c>
      <c r="Y54" s="669"/>
      <c r="Z54" s="737">
        <v>16455131.999999998</v>
      </c>
      <c r="AA54" s="737">
        <v>16450000</v>
      </c>
      <c r="AB54" s="738">
        <v>16455131.999999998</v>
      </c>
      <c r="AC54" s="669"/>
      <c r="AD54" s="669"/>
      <c r="AE54" s="669"/>
      <c r="AF54" s="669"/>
      <c r="AG54" s="669"/>
    </row>
    <row r="55" spans="1:33">
      <c r="A55" s="669"/>
      <c r="B55" s="739"/>
      <c r="C55" s="728" t="s">
        <v>355</v>
      </c>
      <c r="D55" s="700">
        <f>IF(Dashboard!$C$4,INDEX($W55:$X55,MATCH(Dashboard!$C$3,$W$10:$X$10,0)),D21+Riders!$F19)</f>
        <v>663172116.13124037</v>
      </c>
      <c r="E55" s="729">
        <f>E21+Riders!$F19</f>
        <v>660750713.94381881</v>
      </c>
      <c r="F55" s="702">
        <f>SUM(F52:F54)</f>
        <v>660759740.20000005</v>
      </c>
      <c r="G55" s="694"/>
      <c r="H55" s="703">
        <f>D55/IF(Dashboard!$C$4,$Z55,INDEX($Z55:$AB55,MATCH(model_year,$Z$44:$AB$44,0)))</f>
        <v>0.29377568761691025</v>
      </c>
      <c r="I55" s="730">
        <f t="shared" si="18"/>
        <v>0.29292490754258937</v>
      </c>
      <c r="J55" s="705">
        <f t="shared" si="18"/>
        <v>0.29292890907478836</v>
      </c>
      <c r="K55" s="694"/>
      <c r="L55" s="706">
        <f t="shared" si="15"/>
        <v>0.14832496766397213</v>
      </c>
      <c r="M55" s="731">
        <f t="shared" si="12"/>
        <v>0.14519975286016673</v>
      </c>
      <c r="N55" s="708">
        <f t="shared" si="16"/>
        <v>0.14520173642608136</v>
      </c>
      <c r="O55" s="669"/>
      <c r="P55" s="706">
        <f t="shared" si="19"/>
        <v>0</v>
      </c>
      <c r="Q55" s="731">
        <f t="shared" si="20"/>
        <v>-2.8960193446311289E-3</v>
      </c>
      <c r="R55" s="708">
        <f t="shared" si="20"/>
        <v>-2.8823982984803598E-3</v>
      </c>
      <c r="S55" s="669"/>
      <c r="T55" s="669"/>
      <c r="U55" s="669"/>
      <c r="V55" s="669"/>
      <c r="W55" s="700">
        <v>663172116.13124037</v>
      </c>
      <c r="X55" s="709">
        <v>586144779.13124037</v>
      </c>
      <c r="Y55" s="669"/>
      <c r="Z55" s="733">
        <v>2257409799.6701174</v>
      </c>
      <c r="AA55" s="733">
        <v>2255700000</v>
      </c>
      <c r="AB55" s="734">
        <v>2264722588.1301975</v>
      </c>
      <c r="AC55" s="669"/>
      <c r="AD55" s="669"/>
      <c r="AE55" s="669"/>
      <c r="AF55" s="669"/>
      <c r="AG55" s="669"/>
    </row>
    <row r="56" spans="1:33">
      <c r="A56" s="669"/>
      <c r="B56" s="699"/>
      <c r="C56" s="692"/>
      <c r="D56" s="700"/>
      <c r="E56" s="729"/>
      <c r="F56" s="702"/>
      <c r="G56" s="694"/>
      <c r="H56" s="703"/>
      <c r="I56" s="730"/>
      <c r="J56" s="705"/>
      <c r="K56" s="694"/>
      <c r="L56" s="706"/>
      <c r="M56" s="731"/>
      <c r="N56" s="708"/>
      <c r="O56" s="669"/>
      <c r="P56" s="706"/>
      <c r="Q56" s="731"/>
      <c r="R56" s="708"/>
      <c r="S56" s="669"/>
      <c r="T56" s="669"/>
      <c r="U56" s="669"/>
      <c r="V56" s="669"/>
      <c r="W56" s="700"/>
      <c r="X56" s="709"/>
      <c r="Y56" s="669"/>
      <c r="Z56" s="710"/>
      <c r="AA56" s="710"/>
      <c r="AB56" s="711"/>
      <c r="AC56" s="669"/>
      <c r="AD56" s="669"/>
      <c r="AE56" s="669"/>
      <c r="AF56" s="669"/>
      <c r="AG56" s="669"/>
    </row>
    <row r="57" spans="1:33">
      <c r="A57" s="681"/>
      <c r="B57" s="699" t="s">
        <v>12</v>
      </c>
      <c r="C57" s="692" t="s">
        <v>356</v>
      </c>
      <c r="D57" s="700">
        <f>IF(Dashboard!$C$4,INDEX($W57:$X57,MATCH(Dashboard!$C$3,$W$10:$X$10,0)),D23+Riders!$F21)</f>
        <v>1119607025.258697</v>
      </c>
      <c r="E57" s="701">
        <f>E23+Riders!$F21</f>
        <v>1113056764.5110595</v>
      </c>
      <c r="F57" s="702">
        <f>F23+Riders!$F21</f>
        <v>1238638753</v>
      </c>
      <c r="G57" s="694"/>
      <c r="H57" s="703">
        <f>D57/IF(Dashboard!$C$4,$Z57,INDEX($Z57:$AB57,MATCH(model_year,$Z$44:$AB$44,0)))</f>
        <v>0.29433241062867693</v>
      </c>
      <c r="I57" s="704">
        <f t="shared" ref="I57:J59" si="21">E57/INDEX($Z57:$AB57,MATCH(model_year,$Z$44:$AB$44,0))</f>
        <v>0.29333423758362354</v>
      </c>
      <c r="J57" s="705">
        <f t="shared" si="21"/>
        <v>0.32643003109764135</v>
      </c>
      <c r="K57" s="694"/>
      <c r="L57" s="706">
        <f t="shared" si="15"/>
        <v>0.2504111252243727</v>
      </c>
      <c r="M57" s="707">
        <f t="shared" si="12"/>
        <v>0.24459385925095528</v>
      </c>
      <c r="N57" s="708">
        <f t="shared" si="16"/>
        <v>0.27219046015999399</v>
      </c>
      <c r="O57" s="669"/>
      <c r="P57" s="706">
        <f t="shared" ref="P57:P59" si="22">D57/$D57-1</f>
        <v>0</v>
      </c>
      <c r="Q57" s="707">
        <f t="shared" ref="Q57:R59" si="23">I57/$H57-1</f>
        <v>-3.3913120302360156E-3</v>
      </c>
      <c r="R57" s="708">
        <f t="shared" si="23"/>
        <v>0.10905228004080758</v>
      </c>
      <c r="S57" s="669"/>
      <c r="T57" s="669"/>
      <c r="U57" s="669"/>
      <c r="V57" s="669"/>
      <c r="W57" s="700">
        <v>1119607025.258697</v>
      </c>
      <c r="X57" s="709">
        <v>989810816.25869703</v>
      </c>
      <c r="Y57" s="669"/>
      <c r="Z57" s="710">
        <v>3803886302.7937751</v>
      </c>
      <c r="AA57" s="710">
        <v>3794500000</v>
      </c>
      <c r="AB57" s="711">
        <v>3806932611.5108409</v>
      </c>
      <c r="AC57" s="669"/>
      <c r="AD57" s="669"/>
      <c r="AE57" s="669"/>
      <c r="AF57" s="669"/>
      <c r="AG57" s="669"/>
    </row>
    <row r="58" spans="1:33">
      <c r="A58" s="669"/>
      <c r="B58" s="699" t="s">
        <v>14</v>
      </c>
      <c r="C58" s="692" t="s">
        <v>357</v>
      </c>
      <c r="D58" s="716">
        <f>IF(Dashboard!$C$4,INDEX($W58:$X58,MATCH(Dashboard!$C$3,$W$10:$X$10,0)),D24+Riders!$F22)</f>
        <v>1656136.0556425315</v>
      </c>
      <c r="E58" s="717">
        <f>E24+Riders!$F22</f>
        <v>1628814.3907910946</v>
      </c>
      <c r="F58" s="718">
        <f>F24+Riders!$F22</f>
        <v>1816609.6</v>
      </c>
      <c r="G58" s="719"/>
      <c r="H58" s="720">
        <f>D58/IF(Dashboard!$C$4,$Z58,INDEX($Z58:$AB58,MATCH(model_year,$Z$44:$AB$44,0)))</f>
        <v>0.27334890664566713</v>
      </c>
      <c r="I58" s="721">
        <f t="shared" si="21"/>
        <v>0.26701875258870406</v>
      </c>
      <c r="J58" s="722">
        <f t="shared" si="21"/>
        <v>0.29780485245901639</v>
      </c>
      <c r="K58" s="719"/>
      <c r="L58" s="723">
        <f t="shared" si="15"/>
        <v>3.7041112092189344E-4</v>
      </c>
      <c r="M58" s="724">
        <f t="shared" si="12"/>
        <v>3.5793142861145506E-4</v>
      </c>
      <c r="N58" s="725">
        <f t="shared" si="16"/>
        <v>3.9919936442926924E-4</v>
      </c>
      <c r="O58" s="669"/>
      <c r="P58" s="723">
        <f t="shared" si="22"/>
        <v>0</v>
      </c>
      <c r="Q58" s="724">
        <f t="shared" si="23"/>
        <v>-2.3157780781499993E-2</v>
      </c>
      <c r="R58" s="725">
        <f t="shared" si="23"/>
        <v>8.946787500800446E-2</v>
      </c>
      <c r="S58" s="669"/>
      <c r="T58" s="669"/>
      <c r="U58" s="669"/>
      <c r="V58" s="669"/>
      <c r="W58" s="716">
        <v>1656136.0556425315</v>
      </c>
      <c r="X58" s="727">
        <v>1449402.0556425315</v>
      </c>
      <c r="Y58" s="669"/>
      <c r="Z58" s="710">
        <v>6058689.1528683677</v>
      </c>
      <c r="AA58" s="710">
        <v>6100000</v>
      </c>
      <c r="AB58" s="711">
        <v>6079358.2266506385</v>
      </c>
      <c r="AC58" s="669"/>
      <c r="AD58" s="669"/>
      <c r="AE58" s="669"/>
      <c r="AF58" s="669"/>
      <c r="AG58" s="669"/>
    </row>
    <row r="59" spans="1:33">
      <c r="A59" s="669"/>
      <c r="B59" s="728"/>
      <c r="C59" s="728" t="s">
        <v>358</v>
      </c>
      <c r="D59" s="700">
        <f>IF(Dashboard!$C$4,INDEX($W59:$X59,MATCH(Dashboard!$C$3,$W$10:$X$10,0)),D25+Riders!$F23)</f>
        <v>1121263161.3143396</v>
      </c>
      <c r="E59" s="729">
        <f>E25+Riders!$F23</f>
        <v>1114685578.9018507</v>
      </c>
      <c r="F59" s="702">
        <f t="shared" ref="F59" si="24">SUM(F57:F58)</f>
        <v>1240455362.5999999</v>
      </c>
      <c r="G59" s="694"/>
      <c r="H59" s="703">
        <f>D59/IF(Dashboard!$C$4,$Z59,INDEX($Z59:$AB59,MATCH(model_year,$Z$44:$AB$44,0)))</f>
        <v>0.29429904202932977</v>
      </c>
      <c r="I59" s="730">
        <f t="shared" si="21"/>
        <v>0.29329200097401742</v>
      </c>
      <c r="J59" s="705">
        <f t="shared" si="21"/>
        <v>0.32638408740725144</v>
      </c>
      <c r="K59" s="694"/>
      <c r="L59" s="706">
        <f t="shared" si="15"/>
        <v>0.2507815363452946</v>
      </c>
      <c r="M59" s="731">
        <f t="shared" si="12"/>
        <v>0.24495179067956674</v>
      </c>
      <c r="N59" s="708">
        <f t="shared" si="16"/>
        <v>0.27258965952442321</v>
      </c>
      <c r="O59" s="669"/>
      <c r="P59" s="706">
        <f t="shared" si="22"/>
        <v>0</v>
      </c>
      <c r="Q59" s="731">
        <f t="shared" si="23"/>
        <v>-3.4218291991993111E-3</v>
      </c>
      <c r="R59" s="708">
        <f t="shared" si="23"/>
        <v>0.10902191579245479</v>
      </c>
      <c r="S59" s="669"/>
      <c r="T59" s="669"/>
      <c r="U59" s="669"/>
      <c r="V59" s="669"/>
      <c r="W59" s="700">
        <v>1121263161.3143396</v>
      </c>
      <c r="X59" s="709">
        <v>991260218.31433952</v>
      </c>
      <c r="Y59" s="669"/>
      <c r="Z59" s="733">
        <v>3809944991.9466434</v>
      </c>
      <c r="AA59" s="733">
        <v>3800600000</v>
      </c>
      <c r="AB59" s="734">
        <v>3813011969.7374916</v>
      </c>
      <c r="AC59" s="669"/>
      <c r="AD59" s="669"/>
      <c r="AE59" s="669"/>
      <c r="AF59" s="669"/>
      <c r="AG59" s="669"/>
    </row>
    <row r="60" spans="1:33">
      <c r="A60" s="669"/>
      <c r="B60" s="692"/>
      <c r="C60" s="692"/>
      <c r="D60" s="700"/>
      <c r="E60" s="729"/>
      <c r="F60" s="702"/>
      <c r="G60" s="694"/>
      <c r="H60" s="703"/>
      <c r="I60" s="730"/>
      <c r="J60" s="705"/>
      <c r="K60" s="694"/>
      <c r="L60" s="706"/>
      <c r="M60" s="731"/>
      <c r="N60" s="708"/>
      <c r="O60" s="669"/>
      <c r="P60" s="706"/>
      <c r="Q60" s="731"/>
      <c r="R60" s="708"/>
      <c r="S60" s="669"/>
      <c r="T60" s="669"/>
      <c r="U60" s="669"/>
      <c r="V60" s="669"/>
      <c r="W60" s="700"/>
      <c r="X60" s="709"/>
      <c r="Y60" s="669"/>
      <c r="Z60" s="710"/>
      <c r="AA60" s="710"/>
      <c r="AB60" s="711"/>
      <c r="AC60" s="669"/>
      <c r="AD60" s="669"/>
      <c r="AE60" s="669"/>
      <c r="AF60" s="669"/>
      <c r="AG60" s="669"/>
    </row>
    <row r="61" spans="1:33">
      <c r="A61" s="681"/>
      <c r="B61" s="699" t="s">
        <v>13</v>
      </c>
      <c r="C61" s="743" t="s">
        <v>359</v>
      </c>
      <c r="D61" s="700">
        <f>IF(Dashboard!$C$4,INDEX($W61:$X61,MATCH(Dashboard!$C$3,$W$10:$X$10,0)),D27+Riders!$F25)</f>
        <v>711058155.04737449</v>
      </c>
      <c r="E61" s="701">
        <f>E27+Riders!$F25</f>
        <v>605954560.05051601</v>
      </c>
      <c r="F61" s="702">
        <f>F27+Riders!$F25</f>
        <v>678125201.32199919</v>
      </c>
      <c r="G61" s="694"/>
      <c r="H61" s="703">
        <f>D61/IF(Dashboard!$C$4,$Z61,INDEX($Z61:$AB61,MATCH(model_year,$Z$44:$AB$44,0)))</f>
        <v>0.26466250078507281</v>
      </c>
      <c r="I61" s="704">
        <f t="shared" ref="I61:J65" si="25">E61/INDEX($Z61:$AB61,MATCH(model_year,$Z$44:$AB$44,0))</f>
        <v>0.23088437345250448</v>
      </c>
      <c r="J61" s="705">
        <f t="shared" si="25"/>
        <v>0.25838325602588214</v>
      </c>
      <c r="K61" s="694"/>
      <c r="L61" s="706">
        <f t="shared" si="15"/>
        <v>0.15903515134181798</v>
      </c>
      <c r="M61" s="707">
        <f t="shared" si="12"/>
        <v>0.13315831599889422</v>
      </c>
      <c r="N61" s="708">
        <f t="shared" si="16"/>
        <v>0.14901779081824312</v>
      </c>
      <c r="O61" s="669"/>
      <c r="P61" s="706">
        <f t="shared" ref="P61:P65" si="26">D61/$D61-1</f>
        <v>0</v>
      </c>
      <c r="Q61" s="707">
        <f t="shared" ref="Q61:R65" si="27">I61/$H61-1</f>
        <v>-0.12762717510932486</v>
      </c>
      <c r="R61" s="708">
        <f t="shared" si="27"/>
        <v>-2.3725479584619791E-2</v>
      </c>
      <c r="S61" s="669"/>
      <c r="T61" s="669"/>
      <c r="U61" s="669"/>
      <c r="V61" s="669"/>
      <c r="W61" s="700">
        <v>711058155.04737449</v>
      </c>
      <c r="X61" s="709">
        <v>619383942.04737449</v>
      </c>
      <c r="Y61" s="669"/>
      <c r="Z61" s="710">
        <v>2686660002.6001067</v>
      </c>
      <c r="AA61" s="710">
        <v>2624493598.1999998</v>
      </c>
      <c r="AB61" s="711">
        <v>2607211512.7923584</v>
      </c>
      <c r="AC61" s="669"/>
      <c r="AD61" s="669"/>
      <c r="AE61" s="669"/>
      <c r="AF61" s="669"/>
      <c r="AG61" s="669"/>
    </row>
    <row r="62" spans="1:33">
      <c r="A62" s="669"/>
      <c r="B62" s="699" t="s">
        <v>16</v>
      </c>
      <c r="C62" s="692" t="s">
        <v>360</v>
      </c>
      <c r="D62" s="700">
        <f>IF(Dashboard!$C$4,INDEX($W62:$X62,MATCH(Dashboard!$C$3,$W$10:$X$10,0)),D28+Riders!$F26)</f>
        <v>80932608.607994586</v>
      </c>
      <c r="E62" s="701">
        <f>E28+Riders!$F26</f>
        <v>68712967.602614224</v>
      </c>
      <c r="F62" s="702">
        <f>F28+Riders!$F26</f>
        <v>75263185.200000003</v>
      </c>
      <c r="G62" s="694"/>
      <c r="H62" s="703">
        <f>D62/IF(Dashboard!$C$4,$Z62,INDEX($Z62:$AB62,MATCH(model_year,$Z$44:$AB$44,0)))</f>
        <v>0.26219765964604969</v>
      </c>
      <c r="I62" s="704">
        <f t="shared" si="25"/>
        <v>0.23759670678635625</v>
      </c>
      <c r="J62" s="705">
        <f t="shared" si="25"/>
        <v>0.26024614522821576</v>
      </c>
      <c r="K62" s="694"/>
      <c r="L62" s="706">
        <f t="shared" si="15"/>
        <v>1.8101374081847071E-2</v>
      </c>
      <c r="M62" s="707">
        <f t="shared" si="12"/>
        <v>1.5099652113333235E-2</v>
      </c>
      <c r="N62" s="708">
        <f t="shared" si="16"/>
        <v>1.6539060289432788E-2</v>
      </c>
      <c r="O62" s="669"/>
      <c r="P62" s="706">
        <f t="shared" si="26"/>
        <v>0</v>
      </c>
      <c r="Q62" s="707">
        <f t="shared" si="27"/>
        <v>-9.3825981867661112E-2</v>
      </c>
      <c r="R62" s="708">
        <f t="shared" si="27"/>
        <v>-7.4429131841540208E-3</v>
      </c>
      <c r="S62" s="669"/>
      <c r="T62" s="669"/>
      <c r="U62" s="669"/>
      <c r="V62" s="669"/>
      <c r="W62" s="700">
        <v>80932608.607994586</v>
      </c>
      <c r="X62" s="709">
        <v>70400163.607994586</v>
      </c>
      <c r="Y62" s="669"/>
      <c r="Z62" s="710">
        <v>308670217.41249907</v>
      </c>
      <c r="AA62" s="710">
        <v>289200000</v>
      </c>
      <c r="AB62" s="711">
        <v>281505068.63848573</v>
      </c>
      <c r="AC62" s="669"/>
      <c r="AD62" s="669"/>
      <c r="AE62" s="669"/>
      <c r="AF62" s="669"/>
      <c r="AG62" s="669"/>
    </row>
    <row r="63" spans="1:33">
      <c r="A63" s="669"/>
      <c r="B63" s="699" t="s">
        <v>17</v>
      </c>
      <c r="C63" s="692" t="s">
        <v>361</v>
      </c>
      <c r="D63" s="700">
        <f>IF(Dashboard!$C$4,INDEX($W63:$X63,MATCH(Dashboard!$C$3,$W$10:$X$10,0)),D29+Riders!$F27)</f>
        <v>16075115.331684873</v>
      </c>
      <c r="E63" s="701">
        <f>E29+Riders!$F27</f>
        <v>14585327.321838366</v>
      </c>
      <c r="F63" s="702">
        <f>F29+Riders!$F27</f>
        <v>14833108.200000001</v>
      </c>
      <c r="G63" s="694"/>
      <c r="H63" s="703">
        <f>D63/IF(Dashboard!$C$4,$Z63,INDEX($Z63:$AB63,MATCH(model_year,$Z$44:$AB$44,0)))</f>
        <v>0.24810175483077296</v>
      </c>
      <c r="I63" s="704">
        <f t="shared" si="25"/>
        <v>0.24028545834989071</v>
      </c>
      <c r="J63" s="705">
        <f t="shared" si="25"/>
        <v>0.24436751565074136</v>
      </c>
      <c r="K63" s="694"/>
      <c r="L63" s="706">
        <f t="shared" si="15"/>
        <v>3.5953576813156076E-3</v>
      </c>
      <c r="M63" s="707">
        <f t="shared" si="12"/>
        <v>3.2051208993406181E-3</v>
      </c>
      <c r="N63" s="708">
        <f t="shared" si="16"/>
        <v>3.2595706672201787E-3</v>
      </c>
      <c r="O63" s="669"/>
      <c r="P63" s="706">
        <f t="shared" si="26"/>
        <v>0</v>
      </c>
      <c r="Q63" s="707">
        <f t="shared" si="27"/>
        <v>-3.1504398210377982E-2</v>
      </c>
      <c r="R63" s="708">
        <f t="shared" si="27"/>
        <v>-1.5051240498394236E-2</v>
      </c>
      <c r="S63" s="669"/>
      <c r="T63" s="669"/>
      <c r="U63" s="669"/>
      <c r="V63" s="669"/>
      <c r="W63" s="700">
        <v>16075115.331684873</v>
      </c>
      <c r="X63" s="709">
        <v>13864268.331684873</v>
      </c>
      <c r="Y63" s="669"/>
      <c r="Z63" s="710">
        <v>64792428.988055743</v>
      </c>
      <c r="AA63" s="710">
        <v>60700000</v>
      </c>
      <c r="AB63" s="711">
        <v>59090239.811384767</v>
      </c>
      <c r="AC63" s="669"/>
      <c r="AD63" s="669"/>
      <c r="AE63" s="669"/>
      <c r="AF63" s="669"/>
      <c r="AG63" s="669"/>
    </row>
    <row r="64" spans="1:33">
      <c r="A64" s="669"/>
      <c r="B64" s="699" t="s">
        <v>24</v>
      </c>
      <c r="C64" s="692" t="s">
        <v>362</v>
      </c>
      <c r="D64" s="716">
        <f>IF(Dashboard!$C$4,INDEX($W64:$X64,MATCH(Dashboard!$C$3,$W$10:$X$10,0)),D30+Riders!$F28)</f>
        <v>2171009.9699600637</v>
      </c>
      <c r="E64" s="717">
        <f>E30+Riders!$F28</f>
        <v>4497378.6614770209</v>
      </c>
      <c r="F64" s="718">
        <f>F30+Riders!$F28</f>
        <v>2472910.2000000002</v>
      </c>
      <c r="G64" s="719"/>
      <c r="H64" s="720">
        <f>D64/IF(Dashboard!$C$4,$Z64,INDEX($Z64:$AB64,MATCH(model_year,$Z$44:$AB$44,0)))</f>
        <v>0.48966385636750159</v>
      </c>
      <c r="I64" s="721">
        <f t="shared" si="25"/>
        <v>1.0708044432088144</v>
      </c>
      <c r="J64" s="722">
        <f t="shared" si="25"/>
        <v>0.58878814285714287</v>
      </c>
      <c r="K64" s="719"/>
      <c r="L64" s="723">
        <f t="shared" si="15"/>
        <v>4.8556773688108665E-4</v>
      </c>
      <c r="M64" s="724">
        <f t="shared" si="12"/>
        <v>9.8829748706192786E-4</v>
      </c>
      <c r="N64" s="725">
        <f t="shared" si="16"/>
        <v>5.4342120625733628E-4</v>
      </c>
      <c r="O64" s="669"/>
      <c r="P64" s="723">
        <f t="shared" si="26"/>
        <v>0</v>
      </c>
      <c r="Q64" s="724">
        <f t="shared" si="27"/>
        <v>1.1868153617716808</v>
      </c>
      <c r="R64" s="725">
        <f t="shared" si="27"/>
        <v>0.20243333299088073</v>
      </c>
      <c r="S64" s="669"/>
      <c r="T64" s="669"/>
      <c r="U64" s="669"/>
      <c r="V64" s="669"/>
      <c r="W64" s="716">
        <v>2171009.9699600637</v>
      </c>
      <c r="X64" s="727">
        <v>2019724.9699600639</v>
      </c>
      <c r="Y64" s="669"/>
      <c r="Z64" s="710">
        <v>4433674.1250730203</v>
      </c>
      <c r="AA64" s="710">
        <v>4200000</v>
      </c>
      <c r="AB64" s="711">
        <v>4043479.6377890506</v>
      </c>
      <c r="AC64" s="669"/>
      <c r="AD64" s="669"/>
      <c r="AE64" s="669"/>
      <c r="AF64" s="669"/>
      <c r="AG64" s="669"/>
    </row>
    <row r="65" spans="1:33">
      <c r="A65" s="669"/>
      <c r="B65" s="728"/>
      <c r="C65" s="728" t="s">
        <v>363</v>
      </c>
      <c r="D65" s="700">
        <f>IF(Dashboard!$C$4,INDEX($W65:$X65,MATCH(Dashboard!$C$3,$W$10:$X$10,0)),D31+Riders!$F29)</f>
        <v>810236888.95701408</v>
      </c>
      <c r="E65" s="729">
        <f>E31+Riders!$F29</f>
        <v>693750233.63644552</v>
      </c>
      <c r="F65" s="702">
        <f t="shared" ref="F65" si="28">SUM(F61:F64)</f>
        <v>770694404.92199934</v>
      </c>
      <c r="G65" s="694"/>
      <c r="H65" s="703">
        <f>D65/IF(Dashboard!$C$4,$Z65,INDEX($Z65:$AB65,MATCH(model_year,$Z$44:$AB$44,0)))</f>
        <v>0.2643896223550567</v>
      </c>
      <c r="I65" s="730">
        <f t="shared" si="25"/>
        <v>0.23291201393022773</v>
      </c>
      <c r="J65" s="705">
        <f t="shared" si="25"/>
        <v>0.25874439715029918</v>
      </c>
      <c r="K65" s="694"/>
      <c r="L65" s="706">
        <f t="shared" si="15"/>
        <v>0.18121745084186175</v>
      </c>
      <c r="M65" s="731">
        <f t="shared" si="12"/>
        <v>0.15245138649862996</v>
      </c>
      <c r="N65" s="708">
        <f t="shared" si="16"/>
        <v>0.16935984298115345</v>
      </c>
      <c r="O65" s="669"/>
      <c r="P65" s="706">
        <f t="shared" si="26"/>
        <v>0</v>
      </c>
      <c r="Q65" s="731">
        <f t="shared" si="27"/>
        <v>-0.11905765492775944</v>
      </c>
      <c r="R65" s="708">
        <f t="shared" si="27"/>
        <v>-2.1351916744963506E-2</v>
      </c>
      <c r="S65" s="669"/>
      <c r="T65" s="669"/>
      <c r="U65" s="669"/>
      <c r="V65" s="669"/>
      <c r="W65" s="700">
        <v>810236888.95701408</v>
      </c>
      <c r="X65" s="709">
        <v>705668098.95701408</v>
      </c>
      <c r="Y65" s="669"/>
      <c r="Z65" s="733">
        <v>3064556323.1257343</v>
      </c>
      <c r="AA65" s="733">
        <v>2978593598.1999998</v>
      </c>
      <c r="AB65" s="734">
        <v>2951850300.8800182</v>
      </c>
      <c r="AC65" s="669"/>
      <c r="AD65" s="669"/>
      <c r="AE65" s="669"/>
      <c r="AF65" s="669"/>
      <c r="AG65" s="669"/>
    </row>
    <row r="66" spans="1:33">
      <c r="A66" s="669"/>
      <c r="B66" s="692"/>
      <c r="C66" s="692"/>
      <c r="D66" s="700"/>
      <c r="E66" s="729"/>
      <c r="F66" s="702"/>
      <c r="G66" s="694"/>
      <c r="H66" s="703"/>
      <c r="I66" s="730"/>
      <c r="J66" s="705"/>
      <c r="K66" s="694"/>
      <c r="L66" s="706"/>
      <c r="M66" s="731"/>
      <c r="N66" s="708"/>
      <c r="O66" s="669"/>
      <c r="P66" s="706"/>
      <c r="Q66" s="731"/>
      <c r="R66" s="708"/>
      <c r="S66" s="669"/>
      <c r="T66" s="669"/>
      <c r="U66" s="669"/>
      <c r="V66" s="669"/>
      <c r="W66" s="700"/>
      <c r="X66" s="709"/>
      <c r="Y66" s="669"/>
      <c r="Z66" s="748"/>
      <c r="AA66" s="748"/>
      <c r="AB66" s="749"/>
      <c r="AC66" s="669"/>
      <c r="AD66" s="669"/>
      <c r="AE66" s="669"/>
      <c r="AF66" s="669"/>
      <c r="AG66" s="669"/>
    </row>
    <row r="67" spans="1:33">
      <c r="A67" s="669"/>
      <c r="B67" s="699" t="s">
        <v>1</v>
      </c>
      <c r="C67" s="743" t="s">
        <v>364</v>
      </c>
      <c r="D67" s="700">
        <f>IF(Dashboard!$C$4,INDEX($W67:$X67,MATCH(Dashboard!$C$3,$W$10:$X$10,0)),D33+Riders!$F31)</f>
        <v>119077447.31065363</v>
      </c>
      <c r="E67" s="701"/>
      <c r="F67" s="702">
        <f>F33+Riders!$F31</f>
        <v>122583493.34030582</v>
      </c>
      <c r="G67" s="694"/>
      <c r="H67" s="703">
        <f>D67/IF(Dashboard!$C$4,$Z67,INDEX($Z67:$AB67,MATCH(model_year,$Z$44:$AB$44,0)))</f>
        <v>0.4209716716892532</v>
      </c>
      <c r="I67" s="704"/>
      <c r="J67" s="705">
        <f>F67/INDEX($Z67:$AB67,MATCH(model_year,$Z$44:$AB$44,0))</f>
        <v>0.4613957673872443</v>
      </c>
      <c r="K67" s="694"/>
      <c r="L67" s="706">
        <f t="shared" si="15"/>
        <v>2.6632842503839141E-2</v>
      </c>
      <c r="M67" s="707"/>
      <c r="N67" s="708">
        <f t="shared" si="16"/>
        <v>2.6937682499844566E-2</v>
      </c>
      <c r="O67" s="669"/>
      <c r="P67" s="706">
        <f t="shared" ref="P67:P69" si="29">D67/$D67-1</f>
        <v>0</v>
      </c>
      <c r="Q67" s="707"/>
      <c r="R67" s="708">
        <f t="shared" ref="Q67:R69" si="30">J67/$H67-1</f>
        <v>9.6025691077452846E-2</v>
      </c>
      <c r="S67" s="669"/>
      <c r="T67" s="669"/>
      <c r="U67" s="669"/>
      <c r="V67" s="669"/>
      <c r="W67" s="700">
        <v>119077447.31065363</v>
      </c>
      <c r="X67" s="709">
        <v>109425584.63007176</v>
      </c>
      <c r="Y67" s="669"/>
      <c r="Z67" s="710">
        <v>282863326.24907005</v>
      </c>
      <c r="AA67" s="710">
        <v>265679709.2753191</v>
      </c>
      <c r="AB67" s="711">
        <v>272169075.20520312</v>
      </c>
      <c r="AC67" s="669"/>
      <c r="AD67" s="669"/>
      <c r="AE67" s="669"/>
      <c r="AF67" s="669"/>
      <c r="AG67" s="669"/>
    </row>
    <row r="68" spans="1:33">
      <c r="A68" s="669"/>
      <c r="B68" s="699" t="s">
        <v>20</v>
      </c>
      <c r="C68" s="750" t="s">
        <v>365</v>
      </c>
      <c r="D68" s="716">
        <f>IF(Dashboard!$C$4,INDEX($W68:$X68,MATCH(Dashboard!$C$3,$W$10:$X$10,0)),D34+Riders!$F32)</f>
        <v>933817.65074747079</v>
      </c>
      <c r="E68" s="717"/>
      <c r="F68" s="718">
        <f>F34+Riders!$F32</f>
        <v>909543.16244349058</v>
      </c>
      <c r="G68" s="719"/>
      <c r="H68" s="720">
        <f>D68/IF(Dashboard!$C$4,$Z68,INDEX($Z68:$AB68,MATCH(model_year,$Z$44:$AB$44,0)))</f>
        <v>0.30034426722571844</v>
      </c>
      <c r="I68" s="721"/>
      <c r="J68" s="722">
        <f>F68/INDEX($Z68:$AB68,MATCH(model_year,$Z$44:$AB$44,0))</f>
        <v>0.29253685065343327</v>
      </c>
      <c r="K68" s="719"/>
      <c r="L68" s="723">
        <f t="shared" si="15"/>
        <v>2.0885750393002725E-4</v>
      </c>
      <c r="M68" s="724"/>
      <c r="N68" s="725">
        <f t="shared" si="16"/>
        <v>1.9987181195587044E-4</v>
      </c>
      <c r="O68" s="669"/>
      <c r="P68" s="723">
        <f t="shared" si="29"/>
        <v>0</v>
      </c>
      <c r="Q68" s="724"/>
      <c r="R68" s="725">
        <f t="shared" si="30"/>
        <v>-2.5994891277274279E-2</v>
      </c>
      <c r="S68" s="669"/>
      <c r="T68" s="669"/>
      <c r="U68" s="669"/>
      <c r="V68" s="669"/>
      <c r="W68" s="716">
        <v>933817.65074747079</v>
      </c>
      <c r="X68" s="727">
        <v>827726.65074747079</v>
      </c>
      <c r="Y68" s="669"/>
      <c r="Z68" s="751">
        <v>3109157.565660065</v>
      </c>
      <c r="AA68" s="751">
        <v>3109157.565660065</v>
      </c>
      <c r="AB68" s="752">
        <v>3109157.565660065</v>
      </c>
      <c r="AC68" s="669"/>
      <c r="AD68" s="669"/>
      <c r="AE68" s="669"/>
      <c r="AF68" s="669"/>
      <c r="AG68" s="669"/>
    </row>
    <row r="69" spans="1:33">
      <c r="A69" s="669"/>
      <c r="B69" s="728"/>
      <c r="C69" s="728" t="s">
        <v>366</v>
      </c>
      <c r="D69" s="700">
        <f>IF(Dashboard!$C$4,INDEX($W69:$X69,MATCH(Dashboard!$C$3,$W$10:$X$10,0)),D35+Riders!$F33)</f>
        <v>120011264.9614011</v>
      </c>
      <c r="E69" s="729">
        <f>E35+Riders!$F33</f>
        <v>100621775.8379233</v>
      </c>
      <c r="F69" s="702">
        <f t="shared" ref="F69" si="31">SUM(F67:F68)</f>
        <v>123493036.50274931</v>
      </c>
      <c r="G69" s="694"/>
      <c r="H69" s="703">
        <f>D69/IF(Dashboard!$C$4,$Z69,INDEX($Z69:$AB69,MATCH(model_year,$Z$44:$AB$44,0)))</f>
        <v>0.41966018324739068</v>
      </c>
      <c r="I69" s="730">
        <f>E69/INDEX($Z69:$AB69,MATCH(model_year,$Z$44:$AB$44,0))</f>
        <v>0.37435246861416011</v>
      </c>
      <c r="J69" s="705">
        <f>F69/INDEX($Z69:$AB69,MATCH(model_year,$Z$44:$AB$44,0))</f>
        <v>0.45944252808584607</v>
      </c>
      <c r="K69" s="694"/>
      <c r="L69" s="706">
        <f t="shared" si="15"/>
        <v>2.6841700007769167E-2</v>
      </c>
      <c r="M69" s="731">
        <f t="shared" si="12"/>
        <v>2.2111602266478694E-2</v>
      </c>
      <c r="N69" s="708">
        <f t="shared" si="16"/>
        <v>2.7137554311800437E-2</v>
      </c>
      <c r="O69" s="669"/>
      <c r="P69" s="706">
        <f t="shared" si="29"/>
        <v>0</v>
      </c>
      <c r="Q69" s="731">
        <f t="shared" si="30"/>
        <v>-0.10796286243463216</v>
      </c>
      <c r="R69" s="708">
        <f t="shared" si="30"/>
        <v>9.4796567381289165E-2</v>
      </c>
      <c r="S69" s="669"/>
      <c r="T69" s="669"/>
      <c r="U69" s="669"/>
      <c r="V69" s="669"/>
      <c r="W69" s="700">
        <v>120011264.9614011</v>
      </c>
      <c r="X69" s="709">
        <v>110253311.28081924</v>
      </c>
      <c r="Y69" s="669"/>
      <c r="Z69" s="733">
        <v>285972483.81473011</v>
      </c>
      <c r="AA69" s="733">
        <v>268788866.84097916</v>
      </c>
      <c r="AB69" s="734">
        <v>275278232.77086318</v>
      </c>
      <c r="AC69" s="669"/>
      <c r="AD69" s="669"/>
      <c r="AE69" s="669"/>
      <c r="AF69" s="669"/>
      <c r="AG69" s="669"/>
    </row>
    <row r="70" spans="1:33">
      <c r="A70" s="669"/>
      <c r="B70" s="692"/>
      <c r="C70" s="692"/>
      <c r="D70" s="700"/>
      <c r="E70" s="729"/>
      <c r="F70" s="702"/>
      <c r="G70" s="694"/>
      <c r="H70" s="703"/>
      <c r="I70" s="730"/>
      <c r="J70" s="705"/>
      <c r="K70" s="694"/>
      <c r="L70" s="706"/>
      <c r="M70" s="731"/>
      <c r="N70" s="708"/>
      <c r="O70" s="669"/>
      <c r="P70" s="706"/>
      <c r="Q70" s="731"/>
      <c r="R70" s="708"/>
      <c r="S70" s="669"/>
      <c r="T70" s="669"/>
      <c r="U70" s="669"/>
      <c r="V70" s="669"/>
      <c r="W70" s="700"/>
      <c r="X70" s="709"/>
      <c r="Y70" s="669"/>
      <c r="Z70" s="748"/>
      <c r="AA70" s="748"/>
      <c r="AB70" s="749"/>
      <c r="AC70" s="669"/>
      <c r="AD70" s="669"/>
      <c r="AE70" s="669"/>
      <c r="AF70" s="669"/>
      <c r="AG70" s="669"/>
    </row>
    <row r="71" spans="1:33" ht="39.6">
      <c r="A71" s="669"/>
      <c r="B71" s="699" t="s">
        <v>19</v>
      </c>
      <c r="C71" s="715" t="s">
        <v>367</v>
      </c>
      <c r="D71" s="716">
        <f>IF(Dashboard!$C$4,INDEX($W71:$X71,MATCH(Dashboard!$C$3,$W$10:$X$10,0)),D37+Riders!$F35)</f>
        <v>6322569.3448738419</v>
      </c>
      <c r="E71" s="717"/>
      <c r="F71" s="718">
        <f>F37+Riders!$F35</f>
        <v>6918785.7885296978</v>
      </c>
      <c r="G71" s="719"/>
      <c r="H71" s="720">
        <f>D71/IF(Dashboard!$C$4,$Z71,INDEX($Z71:$AB71,MATCH(model_year,$Z$44:$AB$44,0)))</f>
        <v>0.27359042389916421</v>
      </c>
      <c r="I71" s="721"/>
      <c r="J71" s="722">
        <f>F71/INDEX($Z71:$AB71,MATCH(model_year,$Z$44:$AB$44,0))</f>
        <v>0.2993899210114751</v>
      </c>
      <c r="K71" s="719"/>
      <c r="L71" s="723">
        <f t="shared" si="15"/>
        <v>1.4141048316422978E-3</v>
      </c>
      <c r="M71" s="724"/>
      <c r="N71" s="725">
        <f t="shared" si="16"/>
        <v>1.5204009102469324E-3</v>
      </c>
      <c r="O71" s="669"/>
      <c r="P71" s="723">
        <f t="shared" ref="P71:P72" si="32">D71/$D71-1</f>
        <v>0</v>
      </c>
      <c r="Q71" s="724"/>
      <c r="R71" s="725">
        <f>J71/$H71-1</f>
        <v>9.4299708098773527E-2</v>
      </c>
      <c r="S71" s="669"/>
      <c r="T71" s="669"/>
      <c r="U71" s="669"/>
      <c r="V71" s="669"/>
      <c r="W71" s="716">
        <v>6322569.3448738419</v>
      </c>
      <c r="X71" s="727">
        <v>5534023.3448738419</v>
      </c>
      <c r="Y71" s="669"/>
      <c r="Z71" s="710">
        <v>23109614.930104855</v>
      </c>
      <c r="AA71" s="710">
        <v>23109614.930104855</v>
      </c>
      <c r="AB71" s="711">
        <v>23157846.738615796</v>
      </c>
      <c r="AC71" s="669"/>
      <c r="AD71" s="669"/>
      <c r="AE71" s="669"/>
      <c r="AF71" s="669"/>
      <c r="AG71" s="669"/>
    </row>
    <row r="72" spans="1:33">
      <c r="A72" s="692"/>
      <c r="B72" s="728"/>
      <c r="C72" s="728" t="s">
        <v>368</v>
      </c>
      <c r="D72" s="700">
        <f>IF(Dashboard!$C$4,INDEX($W72:$X72,MATCH(Dashboard!$C$3,$W$10:$X$10,0)),D38+Riders!$F36)</f>
        <v>6322569.3448738419</v>
      </c>
      <c r="E72" s="729">
        <f>E38+Riders!$F36</f>
        <v>11692608.614870185</v>
      </c>
      <c r="F72" s="702">
        <f t="shared" ref="F72" si="33">F71</f>
        <v>6918785.7885296978</v>
      </c>
      <c r="G72" s="694"/>
      <c r="H72" s="703">
        <f>D72/IF(Dashboard!$C$4,$Z72,INDEX($Z72:$AB72,MATCH(model_year,$Z$44:$AB$44,0)))</f>
        <v>0.27359042389916421</v>
      </c>
      <c r="I72" s="730">
        <f>E72/INDEX($Z72:$AB72,MATCH(model_year,$Z$44:$AB$44,0))</f>
        <v>0.50596293578385176</v>
      </c>
      <c r="J72" s="705">
        <f>F72/INDEX($Z72:$AB72,MATCH(model_year,$Z$44:$AB$44,0))</f>
        <v>0.2993899210114751</v>
      </c>
      <c r="K72" s="694"/>
      <c r="L72" s="706">
        <f t="shared" si="15"/>
        <v>1.4141048316422978E-3</v>
      </c>
      <c r="M72" s="731">
        <f t="shared" si="12"/>
        <v>2.5694469114325644E-3</v>
      </c>
      <c r="N72" s="708">
        <f t="shared" si="16"/>
        <v>1.5204009102469324E-3</v>
      </c>
      <c r="O72" s="669"/>
      <c r="P72" s="706">
        <f t="shared" si="32"/>
        <v>0</v>
      </c>
      <c r="Q72" s="731">
        <f>I72/$H72-1</f>
        <v>0.84934446378990169</v>
      </c>
      <c r="R72" s="708">
        <f>J72/$H72-1</f>
        <v>9.4299708098773527E-2</v>
      </c>
      <c r="S72" s="669"/>
      <c r="T72" s="669"/>
      <c r="U72" s="669"/>
      <c r="V72" s="669"/>
      <c r="W72" s="700">
        <v>6322569.3448738419</v>
      </c>
      <c r="X72" s="709">
        <v>5534023.3448738419</v>
      </c>
      <c r="Y72" s="669"/>
      <c r="Z72" s="733">
        <v>23109614.930104855</v>
      </c>
      <c r="AA72" s="733">
        <v>23109614.930104855</v>
      </c>
      <c r="AB72" s="734">
        <v>23157846.738615796</v>
      </c>
      <c r="AC72" s="669"/>
      <c r="AD72" s="669"/>
      <c r="AE72" s="669"/>
      <c r="AF72" s="669"/>
      <c r="AG72" s="669"/>
    </row>
    <row r="73" spans="1:33">
      <c r="A73" s="692"/>
      <c r="B73" s="692"/>
      <c r="C73" s="692"/>
      <c r="D73" s="700">
        <f>IF(Dashboard!$C$4,INDEX($W73:$X73,MATCH(Dashboard!$C$3,$W$10:$X$10,0)),D39+Riders!$F37)</f>
        <v>0</v>
      </c>
      <c r="E73" s="729"/>
      <c r="F73" s="702"/>
      <c r="G73" s="694"/>
      <c r="H73" s="703"/>
      <c r="I73" s="730"/>
      <c r="J73" s="705"/>
      <c r="K73" s="694"/>
      <c r="L73" s="706"/>
      <c r="M73" s="731"/>
      <c r="N73" s="708"/>
      <c r="O73" s="669"/>
      <c r="P73" s="706"/>
      <c r="Q73" s="731"/>
      <c r="R73" s="708"/>
      <c r="S73" s="669"/>
      <c r="T73" s="669"/>
      <c r="U73" s="669"/>
      <c r="V73" s="669"/>
      <c r="W73" s="700">
        <v>0</v>
      </c>
      <c r="X73" s="709">
        <v>0</v>
      </c>
      <c r="Y73" s="669"/>
      <c r="Z73" s="748"/>
      <c r="AA73" s="748"/>
      <c r="AB73" s="749"/>
      <c r="AC73" s="669"/>
      <c r="AD73" s="669"/>
      <c r="AE73" s="669"/>
      <c r="AF73" s="669"/>
      <c r="AG73" s="669"/>
    </row>
    <row r="74" spans="1:33" ht="14.4" thickBot="1">
      <c r="A74" s="681"/>
      <c r="B74" s="753" t="s">
        <v>369</v>
      </c>
      <c r="C74" s="754"/>
      <c r="D74" s="755">
        <f>IF(Dashboard!$C$4,INDEX($W74:$X74,MATCH(Dashboard!$C$3,$W$10:$X$10,0)),D40+Riders!$F38)</f>
        <v>4471075413.5045309</v>
      </c>
      <c r="E74" s="756">
        <f t="shared" ref="E74:F74" si="34">SUM(E50,E55,E59,E65,E69,E72)</f>
        <v>4550632497.1513462</v>
      </c>
      <c r="F74" s="757">
        <f t="shared" si="34"/>
        <v>4550632495.6132784</v>
      </c>
      <c r="G74" s="758"/>
      <c r="H74" s="759">
        <f>D74/IF(Dashboard!$C$4,$Z74,INDEX($Z74:$AB74,MATCH(model_year,$Z$44:$AB$44,0)))</f>
        <v>0.27905414504656484</v>
      </c>
      <c r="I74" s="760">
        <f>E74/INDEX($Z74:$AB74,MATCH(model_year,$Z$44:$AB$44,0))</f>
        <v>0.29309014442715409</v>
      </c>
      <c r="J74" s="761">
        <f>F74/INDEX($Z74:$AB74,MATCH(model_year,$Z$44:$AB$44,0))</f>
        <v>0.29309014432809255</v>
      </c>
      <c r="K74" s="758"/>
      <c r="L74" s="762">
        <f t="shared" si="15"/>
        <v>1</v>
      </c>
      <c r="M74" s="763">
        <f t="shared" si="12"/>
        <v>1</v>
      </c>
      <c r="N74" s="764">
        <f t="shared" si="16"/>
        <v>1</v>
      </c>
      <c r="O74" s="669"/>
      <c r="P74" s="762">
        <f>D74/$D74-1</f>
        <v>0</v>
      </c>
      <c r="Q74" s="763">
        <f>I74/$H74-1</f>
        <v>5.0298480168596393E-2</v>
      </c>
      <c r="R74" s="764">
        <f>J74/$H74-1</f>
        <v>5.0298479813605912E-2</v>
      </c>
      <c r="S74" s="669"/>
      <c r="T74" s="669"/>
      <c r="U74" s="669"/>
      <c r="V74" s="669"/>
      <c r="W74" s="755">
        <v>4471075413.5045309</v>
      </c>
      <c r="X74" s="765">
        <v>3935990839.8239489</v>
      </c>
      <c r="Y74" s="669"/>
      <c r="Z74" s="766">
        <v>16022250494.643099</v>
      </c>
      <c r="AA74" s="766">
        <v>15526392079.971085</v>
      </c>
      <c r="AB74" s="767">
        <v>15197548326.094807</v>
      </c>
      <c r="AC74" s="669"/>
      <c r="AD74" s="669"/>
      <c r="AE74" s="669"/>
      <c r="AF74" s="669"/>
      <c r="AG74" s="669"/>
    </row>
    <row r="75" spans="1:33" ht="14.4" thickTop="1">
      <c r="A75" s="669"/>
      <c r="B75" s="669"/>
      <c r="C75" s="669"/>
      <c r="D75" s="694"/>
      <c r="E75" s="694"/>
      <c r="F75" s="694"/>
      <c r="G75" s="694"/>
      <c r="H75" s="694"/>
      <c r="I75" s="694"/>
      <c r="J75" s="694"/>
      <c r="K75" s="694"/>
      <c r="L75" s="669"/>
      <c r="M75" s="669"/>
      <c r="N75" s="669"/>
      <c r="O75" s="669"/>
      <c r="P75" s="669"/>
      <c r="Q75" s="669"/>
      <c r="R75" s="669"/>
      <c r="S75" s="669"/>
      <c r="T75" s="669"/>
      <c r="U75" s="669"/>
      <c r="V75" s="669"/>
      <c r="Y75" s="669"/>
      <c r="Z75" s="669"/>
      <c r="AA75" s="669"/>
      <c r="AB75" s="669"/>
      <c r="AC75" s="669"/>
      <c r="AD75" s="669"/>
      <c r="AE75" s="669"/>
      <c r="AF75" s="669"/>
      <c r="AG75" s="669"/>
    </row>
    <row r="76" spans="1:33">
      <c r="A76" s="669"/>
      <c r="B76" s="669"/>
      <c r="C76" s="669"/>
      <c r="D76" s="694"/>
      <c r="E76" s="694"/>
      <c r="F76" s="694"/>
      <c r="G76" s="694"/>
      <c r="H76" s="694"/>
      <c r="I76" s="694"/>
      <c r="J76" s="694"/>
      <c r="K76" s="694"/>
      <c r="L76" s="669"/>
      <c r="M76" s="669"/>
      <c r="N76" s="669"/>
      <c r="O76" s="669"/>
      <c r="P76" s="669"/>
      <c r="Q76" s="669"/>
      <c r="R76" s="669"/>
      <c r="S76" s="669"/>
      <c r="T76" s="669"/>
      <c r="U76" s="669"/>
      <c r="V76" s="669"/>
      <c r="Y76" s="669"/>
      <c r="Z76" s="669"/>
      <c r="AA76" s="669"/>
      <c r="AB76" s="669"/>
      <c r="AC76" s="669"/>
      <c r="AD76" s="669"/>
      <c r="AE76" s="669"/>
      <c r="AF76" s="669"/>
      <c r="AG76" s="669"/>
    </row>
    <row r="77" spans="1:33">
      <c r="A77" s="669"/>
      <c r="B77" s="669"/>
      <c r="C77" s="669"/>
      <c r="D77" s="694"/>
      <c r="E77" s="694"/>
      <c r="F77" s="694"/>
      <c r="G77" s="694"/>
      <c r="H77" s="694"/>
      <c r="I77" s="694"/>
      <c r="J77" s="694"/>
      <c r="K77" s="694"/>
      <c r="L77" s="669"/>
      <c r="M77" s="669"/>
      <c r="N77" s="669"/>
      <c r="O77" s="669"/>
      <c r="P77" s="669"/>
      <c r="Q77" s="669"/>
      <c r="R77" s="669"/>
      <c r="S77" s="669"/>
      <c r="T77" s="669"/>
      <c r="U77" s="669"/>
      <c r="V77" s="669"/>
      <c r="Y77" s="669"/>
      <c r="Z77" s="669"/>
      <c r="AA77" s="669"/>
      <c r="AB77" s="669"/>
      <c r="AC77" s="669"/>
      <c r="AD77" s="669"/>
      <c r="AE77" s="669"/>
      <c r="AF77" s="669"/>
      <c r="AG77" s="669"/>
    </row>
    <row r="78" spans="1:33">
      <c r="A78" s="669"/>
      <c r="B78" s="669"/>
      <c r="C78" s="669"/>
      <c r="D78" s="694"/>
      <c r="E78" s="694"/>
      <c r="F78" s="694"/>
      <c r="G78" s="694"/>
      <c r="H78" s="694"/>
      <c r="I78" s="694"/>
      <c r="J78" s="694"/>
      <c r="K78" s="694"/>
      <c r="L78" s="669"/>
      <c r="M78" s="669"/>
      <c r="N78" s="669"/>
      <c r="O78" s="669"/>
      <c r="P78" s="669"/>
      <c r="Q78" s="669"/>
      <c r="R78" s="669"/>
      <c r="S78" s="669"/>
      <c r="T78" s="669"/>
      <c r="U78" s="669"/>
      <c r="V78" s="669"/>
      <c r="Y78" s="669"/>
      <c r="Z78" s="669"/>
      <c r="AA78" s="669"/>
      <c r="AB78" s="669"/>
      <c r="AC78" s="669"/>
      <c r="AD78" s="669"/>
      <c r="AE78" s="669"/>
      <c r="AF78" s="669"/>
      <c r="AG78" s="669"/>
    </row>
    <row r="79" spans="1:33">
      <c r="A79" s="669"/>
      <c r="B79" s="669"/>
      <c r="C79" s="669"/>
      <c r="D79" s="694"/>
      <c r="E79" s="694"/>
      <c r="F79" s="694"/>
      <c r="G79" s="694"/>
      <c r="H79" s="694"/>
      <c r="I79" s="694"/>
      <c r="J79" s="694"/>
      <c r="K79" s="694"/>
      <c r="L79" s="669"/>
      <c r="M79" s="669"/>
      <c r="N79" s="669"/>
      <c r="O79" s="669"/>
      <c r="P79" s="669"/>
      <c r="Q79" s="669"/>
      <c r="R79" s="669"/>
      <c r="S79" s="669"/>
      <c r="T79" s="669"/>
      <c r="U79" s="669"/>
      <c r="V79" s="669"/>
      <c r="Y79" s="669"/>
      <c r="Z79" s="669"/>
      <c r="AA79" s="669"/>
      <c r="AB79" s="669"/>
      <c r="AC79" s="669"/>
      <c r="AD79" s="669"/>
      <c r="AE79" s="669"/>
      <c r="AF79" s="669"/>
      <c r="AG79" s="669"/>
    </row>
    <row r="80" spans="1:33">
      <c r="A80" s="669"/>
      <c r="B80" s="669"/>
      <c r="C80" s="669"/>
      <c r="D80" s="694"/>
      <c r="E80" s="694"/>
      <c r="F80" s="694"/>
      <c r="G80" s="694"/>
      <c r="H80" s="694"/>
      <c r="I80" s="694"/>
      <c r="J80" s="694"/>
      <c r="K80" s="694"/>
      <c r="L80" s="669"/>
      <c r="M80" s="669"/>
      <c r="N80" s="669"/>
      <c r="O80" s="669"/>
      <c r="P80" s="669"/>
      <c r="Q80" s="669"/>
      <c r="R80" s="669"/>
      <c r="S80" s="669"/>
      <c r="T80" s="669"/>
      <c r="U80" s="669"/>
      <c r="V80" s="669"/>
      <c r="Y80" s="669"/>
      <c r="Z80" s="669"/>
      <c r="AA80" s="669"/>
      <c r="AB80" s="669"/>
      <c r="AC80" s="669"/>
      <c r="AD80" s="669"/>
      <c r="AE80" s="669"/>
      <c r="AF80" s="669"/>
      <c r="AG80" s="669"/>
    </row>
    <row r="81" spans="1:33">
      <c r="A81" s="669"/>
      <c r="B81" s="669"/>
      <c r="C81" s="669"/>
      <c r="D81" s="694"/>
      <c r="E81" s="694"/>
      <c r="F81" s="694"/>
      <c r="G81" s="694"/>
      <c r="H81" s="694"/>
      <c r="I81" s="694"/>
      <c r="J81" s="694"/>
      <c r="K81" s="694"/>
      <c r="L81" s="669"/>
      <c r="M81" s="669"/>
      <c r="N81" s="669"/>
      <c r="O81" s="669"/>
      <c r="P81" s="669"/>
      <c r="Q81" s="669"/>
      <c r="R81" s="669"/>
      <c r="S81" s="669"/>
      <c r="T81" s="669"/>
      <c r="U81" s="669"/>
      <c r="V81" s="669"/>
      <c r="Y81" s="669"/>
      <c r="Z81" s="669"/>
      <c r="AA81" s="669"/>
      <c r="AB81" s="669"/>
      <c r="AC81" s="669"/>
      <c r="AD81" s="669"/>
      <c r="AE81" s="669"/>
      <c r="AF81" s="669"/>
      <c r="AG81" s="669"/>
    </row>
    <row r="82" spans="1:33">
      <c r="A82" s="669"/>
      <c r="B82" s="669"/>
      <c r="C82" s="669"/>
      <c r="D82" s="694"/>
      <c r="E82" s="694"/>
      <c r="F82" s="694"/>
      <c r="G82" s="694"/>
      <c r="H82" s="694"/>
      <c r="I82" s="694"/>
      <c r="J82" s="694"/>
      <c r="K82" s="694"/>
      <c r="L82" s="669"/>
      <c r="M82" s="669"/>
      <c r="N82" s="669"/>
      <c r="O82" s="669"/>
      <c r="P82" s="669"/>
      <c r="Q82" s="669"/>
      <c r="R82" s="669"/>
      <c r="S82" s="669"/>
      <c r="T82" s="669"/>
      <c r="U82" s="669"/>
      <c r="V82" s="669"/>
      <c r="Y82" s="669"/>
      <c r="Z82" s="669"/>
      <c r="AA82" s="669"/>
      <c r="AB82" s="669"/>
      <c r="AC82" s="669"/>
      <c r="AD82" s="669"/>
      <c r="AE82" s="669"/>
      <c r="AF82" s="669"/>
      <c r="AG82" s="669"/>
    </row>
    <row r="83" spans="1:33">
      <c r="A83" s="669"/>
      <c r="B83" s="669"/>
      <c r="C83" s="669"/>
      <c r="D83" s="694"/>
      <c r="E83" s="694"/>
      <c r="F83" s="694"/>
      <c r="G83" s="694"/>
      <c r="H83" s="694"/>
      <c r="I83" s="694"/>
      <c r="J83" s="694"/>
      <c r="K83" s="694"/>
      <c r="L83" s="669"/>
      <c r="M83" s="669"/>
      <c r="N83" s="669"/>
      <c r="O83" s="669"/>
      <c r="P83" s="669"/>
      <c r="Q83" s="669"/>
      <c r="R83" s="669"/>
      <c r="S83" s="669"/>
      <c r="T83" s="669"/>
      <c r="U83" s="669"/>
      <c r="V83" s="669"/>
      <c r="Y83" s="669"/>
      <c r="Z83" s="669"/>
      <c r="AA83" s="669"/>
      <c r="AB83" s="669"/>
      <c r="AC83" s="669"/>
      <c r="AD83" s="669"/>
      <c r="AE83" s="669"/>
      <c r="AF83" s="669"/>
      <c r="AG83" s="669"/>
    </row>
    <row r="84" spans="1:33">
      <c r="A84" s="669"/>
      <c r="B84" s="669"/>
      <c r="C84" s="669"/>
      <c r="D84" s="694"/>
      <c r="E84" s="694"/>
      <c r="F84" s="694"/>
      <c r="G84" s="694"/>
      <c r="H84" s="694"/>
      <c r="I84" s="694"/>
      <c r="J84" s="694"/>
      <c r="K84" s="694"/>
      <c r="L84" s="669"/>
      <c r="M84" s="669"/>
      <c r="N84" s="669"/>
      <c r="O84" s="669"/>
      <c r="P84" s="669"/>
      <c r="Q84" s="669"/>
      <c r="R84" s="669"/>
      <c r="S84" s="669"/>
      <c r="T84" s="669"/>
      <c r="U84" s="669"/>
      <c r="V84" s="669"/>
      <c r="Y84" s="669"/>
      <c r="Z84" s="669"/>
      <c r="AA84" s="669"/>
      <c r="AB84" s="669"/>
      <c r="AC84" s="669"/>
      <c r="AD84" s="669"/>
      <c r="AE84" s="669"/>
      <c r="AF84" s="669"/>
      <c r="AG84" s="669"/>
    </row>
    <row r="85" spans="1:33">
      <c r="A85" s="669"/>
      <c r="B85" s="669"/>
      <c r="C85" s="669"/>
      <c r="D85" s="694"/>
      <c r="E85" s="694"/>
      <c r="F85" s="694"/>
      <c r="G85" s="694"/>
      <c r="H85" s="694"/>
      <c r="I85" s="694"/>
      <c r="J85" s="694"/>
      <c r="K85" s="694"/>
      <c r="L85" s="669"/>
      <c r="M85" s="669"/>
      <c r="N85" s="669"/>
      <c r="O85" s="669"/>
      <c r="P85" s="669"/>
      <c r="Q85" s="669"/>
      <c r="R85" s="669"/>
      <c r="S85" s="669"/>
      <c r="T85" s="669"/>
      <c r="U85" s="669"/>
      <c r="V85" s="669"/>
      <c r="Y85" s="669"/>
      <c r="Z85" s="669"/>
      <c r="AA85" s="669"/>
      <c r="AB85" s="669"/>
      <c r="AC85" s="669"/>
      <c r="AD85" s="669"/>
      <c r="AE85" s="669"/>
      <c r="AF85" s="669"/>
      <c r="AG85" s="669"/>
    </row>
    <row r="86" spans="1:33">
      <c r="A86" s="669"/>
      <c r="B86" s="669"/>
      <c r="C86" s="669"/>
      <c r="D86" s="694"/>
      <c r="E86" s="694"/>
      <c r="F86" s="694"/>
      <c r="G86" s="694"/>
      <c r="H86" s="694"/>
      <c r="I86" s="694"/>
      <c r="J86" s="694"/>
      <c r="K86" s="694"/>
      <c r="L86" s="669"/>
      <c r="M86" s="669"/>
      <c r="N86" s="669"/>
      <c r="O86" s="669"/>
      <c r="P86" s="669"/>
      <c r="Q86" s="669"/>
      <c r="R86" s="669"/>
      <c r="S86" s="669"/>
      <c r="T86" s="669"/>
      <c r="U86" s="669"/>
      <c r="V86" s="669"/>
      <c r="Y86" s="669"/>
      <c r="Z86" s="669"/>
      <c r="AA86" s="669"/>
      <c r="AB86" s="669"/>
      <c r="AC86" s="669"/>
      <c r="AD86" s="669"/>
      <c r="AE86" s="669"/>
      <c r="AF86" s="669"/>
      <c r="AG86" s="669"/>
    </row>
    <row r="87" spans="1:33">
      <c r="A87" s="669"/>
      <c r="B87" s="669"/>
      <c r="C87" s="669"/>
      <c r="D87" s="694"/>
      <c r="E87" s="694"/>
      <c r="F87" s="694"/>
      <c r="G87" s="694"/>
      <c r="H87" s="694"/>
      <c r="I87" s="694"/>
      <c r="J87" s="694"/>
      <c r="K87" s="694"/>
      <c r="L87" s="669"/>
      <c r="M87" s="669"/>
      <c r="N87" s="669"/>
      <c r="O87" s="669"/>
      <c r="P87" s="669"/>
      <c r="Q87" s="669"/>
      <c r="R87" s="669"/>
      <c r="S87" s="669"/>
      <c r="T87" s="669"/>
      <c r="U87" s="669"/>
      <c r="V87" s="669"/>
      <c r="Y87" s="669"/>
      <c r="Z87" s="669"/>
      <c r="AA87" s="669"/>
      <c r="AB87" s="669"/>
      <c r="AC87" s="669"/>
      <c r="AD87" s="669"/>
      <c r="AE87" s="669"/>
      <c r="AF87" s="669"/>
      <c r="AG87" s="669"/>
    </row>
    <row r="88" spans="1:33">
      <c r="A88" s="669"/>
      <c r="B88" s="669"/>
      <c r="C88" s="669"/>
      <c r="D88" s="694"/>
      <c r="E88" s="694"/>
      <c r="F88" s="694"/>
      <c r="G88" s="694"/>
      <c r="H88" s="694"/>
      <c r="I88" s="694"/>
      <c r="J88" s="694"/>
      <c r="K88" s="694"/>
      <c r="L88" s="669"/>
      <c r="M88" s="669"/>
      <c r="N88" s="669"/>
      <c r="O88" s="669"/>
      <c r="P88" s="669"/>
      <c r="Q88" s="669"/>
      <c r="R88" s="669"/>
      <c r="S88" s="669"/>
      <c r="T88" s="669"/>
      <c r="U88" s="669"/>
      <c r="V88" s="669"/>
      <c r="Y88" s="669"/>
      <c r="Z88" s="669"/>
      <c r="AA88" s="669"/>
      <c r="AB88" s="669"/>
      <c r="AC88" s="669"/>
      <c r="AD88" s="669"/>
      <c r="AE88" s="669"/>
      <c r="AF88" s="669"/>
      <c r="AG88" s="669"/>
    </row>
    <row r="89" spans="1:33">
      <c r="A89" s="669"/>
      <c r="B89" s="669"/>
      <c r="C89" s="669"/>
      <c r="D89" s="694"/>
      <c r="E89" s="694"/>
      <c r="F89" s="694"/>
      <c r="G89" s="694"/>
      <c r="H89" s="694"/>
      <c r="I89" s="694"/>
      <c r="J89" s="694"/>
      <c r="K89" s="694"/>
      <c r="L89" s="669"/>
      <c r="M89" s="669"/>
      <c r="N89" s="669"/>
      <c r="O89" s="669"/>
      <c r="P89" s="669"/>
      <c r="Q89" s="669"/>
      <c r="R89" s="669"/>
      <c r="S89" s="669"/>
      <c r="T89" s="669"/>
      <c r="U89" s="669"/>
      <c r="V89" s="669"/>
      <c r="Y89" s="669"/>
      <c r="Z89" s="669"/>
      <c r="AA89" s="669"/>
      <c r="AB89" s="669"/>
      <c r="AC89" s="669"/>
      <c r="AD89" s="669"/>
      <c r="AE89" s="669"/>
      <c r="AF89" s="669"/>
      <c r="AG89" s="669"/>
    </row>
    <row r="90" spans="1:33">
      <c r="A90" s="669"/>
      <c r="B90" s="669"/>
      <c r="C90" s="669"/>
      <c r="D90" s="694"/>
      <c r="E90" s="694"/>
      <c r="F90" s="694"/>
      <c r="G90" s="694"/>
      <c r="H90" s="694"/>
      <c r="I90" s="694"/>
      <c r="J90" s="694"/>
      <c r="K90" s="694"/>
      <c r="L90" s="669"/>
      <c r="M90" s="669"/>
      <c r="N90" s="669"/>
      <c r="O90" s="669"/>
      <c r="P90" s="669"/>
      <c r="Q90" s="669"/>
      <c r="R90" s="669"/>
      <c r="S90" s="669"/>
      <c r="T90" s="669"/>
      <c r="U90" s="669"/>
      <c r="V90" s="669"/>
      <c r="Y90" s="669"/>
      <c r="Z90" s="669"/>
      <c r="AA90" s="669"/>
      <c r="AB90" s="669"/>
      <c r="AC90" s="669"/>
      <c r="AD90" s="669"/>
      <c r="AE90" s="669"/>
      <c r="AF90" s="669"/>
      <c r="AG90" s="669"/>
    </row>
    <row r="91" spans="1:33">
      <c r="A91" s="669"/>
      <c r="B91" s="669"/>
      <c r="C91" s="669"/>
      <c r="D91" s="694"/>
      <c r="E91" s="694"/>
      <c r="F91" s="694"/>
      <c r="G91" s="694"/>
      <c r="H91" s="694"/>
      <c r="I91" s="694"/>
      <c r="J91" s="694"/>
      <c r="K91" s="694"/>
      <c r="L91" s="669"/>
      <c r="M91" s="669"/>
      <c r="N91" s="669"/>
      <c r="O91" s="669"/>
      <c r="P91" s="669"/>
      <c r="Q91" s="669"/>
      <c r="R91" s="669"/>
      <c r="S91" s="669"/>
      <c r="T91" s="669"/>
      <c r="U91" s="669"/>
      <c r="V91" s="669"/>
      <c r="Y91" s="669"/>
      <c r="Z91" s="669"/>
      <c r="AA91" s="669"/>
      <c r="AB91" s="669"/>
      <c r="AC91" s="669"/>
      <c r="AD91" s="669"/>
      <c r="AE91" s="669"/>
      <c r="AF91" s="669"/>
      <c r="AG91" s="669"/>
    </row>
    <row r="92" spans="1:33">
      <c r="A92" s="669"/>
      <c r="B92" s="669"/>
      <c r="C92" s="669"/>
      <c r="D92" s="694"/>
      <c r="E92" s="694"/>
      <c r="F92" s="694"/>
      <c r="G92" s="694"/>
      <c r="H92" s="694"/>
      <c r="I92" s="694"/>
      <c r="J92" s="694"/>
      <c r="K92" s="694"/>
      <c r="L92" s="669"/>
      <c r="M92" s="669"/>
      <c r="N92" s="669"/>
      <c r="O92" s="669"/>
      <c r="P92" s="669"/>
      <c r="Q92" s="669"/>
      <c r="R92" s="669"/>
      <c r="S92" s="669"/>
      <c r="T92" s="669"/>
      <c r="U92" s="669"/>
      <c r="V92" s="669"/>
      <c r="Y92" s="669"/>
      <c r="Z92" s="669"/>
      <c r="AA92" s="669"/>
      <c r="AB92" s="669"/>
      <c r="AC92" s="669"/>
      <c r="AD92" s="669"/>
      <c r="AE92" s="669"/>
      <c r="AF92" s="669"/>
      <c r="AG92" s="669"/>
    </row>
    <row r="93" spans="1:33">
      <c r="A93" s="669"/>
      <c r="B93" s="669"/>
      <c r="C93" s="669"/>
      <c r="D93" s="694"/>
      <c r="E93" s="694"/>
      <c r="F93" s="694"/>
      <c r="G93" s="694"/>
      <c r="H93" s="694"/>
      <c r="I93" s="694"/>
      <c r="J93" s="694"/>
      <c r="K93" s="694"/>
      <c r="L93" s="669"/>
      <c r="M93" s="669"/>
      <c r="N93" s="669"/>
      <c r="O93" s="669"/>
      <c r="P93" s="669"/>
      <c r="Q93" s="669"/>
      <c r="R93" s="669"/>
      <c r="S93" s="669"/>
      <c r="T93" s="669"/>
      <c r="U93" s="669"/>
      <c r="V93" s="669"/>
      <c r="Y93" s="669"/>
      <c r="Z93" s="669"/>
      <c r="AA93" s="669"/>
      <c r="AB93" s="669"/>
      <c r="AC93" s="669"/>
      <c r="AD93" s="669"/>
      <c r="AE93" s="669"/>
      <c r="AF93" s="669"/>
      <c r="AG93" s="669"/>
    </row>
    <row r="94" spans="1:33">
      <c r="A94" s="669"/>
      <c r="B94" s="669"/>
      <c r="C94" s="669"/>
      <c r="D94" s="694"/>
      <c r="E94" s="694"/>
      <c r="F94" s="694"/>
      <c r="G94" s="694"/>
      <c r="H94" s="694"/>
      <c r="I94" s="694"/>
      <c r="J94" s="694"/>
      <c r="K94" s="694"/>
      <c r="L94" s="669"/>
      <c r="M94" s="669"/>
      <c r="N94" s="669"/>
      <c r="O94" s="669"/>
      <c r="P94" s="669"/>
      <c r="Q94" s="669"/>
      <c r="R94" s="669"/>
      <c r="S94" s="669"/>
      <c r="T94" s="669"/>
      <c r="U94" s="669"/>
      <c r="V94" s="669"/>
      <c r="Y94" s="669"/>
      <c r="Z94" s="669"/>
      <c r="AA94" s="669"/>
      <c r="AB94" s="669"/>
      <c r="AC94" s="669"/>
      <c r="AD94" s="669"/>
      <c r="AE94" s="669"/>
      <c r="AF94" s="669"/>
      <c r="AG94" s="669"/>
    </row>
    <row r="95" spans="1:33">
      <c r="A95" s="669"/>
      <c r="B95" s="669"/>
      <c r="C95" s="669"/>
      <c r="D95" s="694"/>
      <c r="E95" s="694"/>
      <c r="F95" s="694"/>
      <c r="G95" s="694"/>
      <c r="H95" s="694"/>
      <c r="I95" s="694"/>
      <c r="J95" s="694"/>
      <c r="K95" s="694"/>
      <c r="L95" s="669"/>
      <c r="M95" s="669"/>
      <c r="N95" s="669"/>
      <c r="O95" s="669"/>
      <c r="P95" s="669"/>
      <c r="Q95" s="669"/>
      <c r="R95" s="669"/>
      <c r="S95" s="669"/>
      <c r="T95" s="669"/>
      <c r="U95" s="669"/>
      <c r="V95" s="669"/>
      <c r="Y95" s="669"/>
      <c r="Z95" s="669"/>
      <c r="AA95" s="669"/>
      <c r="AB95" s="669"/>
      <c r="AC95" s="669"/>
      <c r="AD95" s="669"/>
      <c r="AE95" s="669"/>
      <c r="AF95" s="669"/>
      <c r="AG95" s="669"/>
    </row>
    <row r="96" spans="1:33">
      <c r="A96" s="669"/>
      <c r="B96" s="669"/>
      <c r="C96" s="669"/>
      <c r="D96" s="694"/>
      <c r="E96" s="694"/>
      <c r="F96" s="694"/>
      <c r="G96" s="694"/>
      <c r="H96" s="694"/>
      <c r="I96" s="694"/>
      <c r="J96" s="694"/>
      <c r="K96" s="694"/>
      <c r="L96" s="669"/>
      <c r="M96" s="669"/>
      <c r="N96" s="669"/>
      <c r="O96" s="669"/>
      <c r="P96" s="669"/>
      <c r="Q96" s="669"/>
      <c r="R96" s="669"/>
      <c r="S96" s="669"/>
      <c r="T96" s="669"/>
      <c r="U96" s="669"/>
      <c r="V96" s="669"/>
      <c r="Y96" s="669"/>
      <c r="Z96" s="669"/>
      <c r="AA96" s="669"/>
      <c r="AB96" s="669"/>
      <c r="AC96" s="669"/>
      <c r="AD96" s="669"/>
      <c r="AE96" s="669"/>
      <c r="AF96" s="669"/>
      <c r="AG96" s="669"/>
    </row>
    <row r="97" spans="1:33">
      <c r="A97" s="669"/>
      <c r="B97" s="669"/>
      <c r="C97" s="669"/>
      <c r="D97" s="694"/>
      <c r="E97" s="694"/>
      <c r="F97" s="694"/>
      <c r="G97" s="694"/>
      <c r="H97" s="694"/>
      <c r="I97" s="694"/>
      <c r="J97" s="694"/>
      <c r="K97" s="694"/>
      <c r="L97" s="669"/>
      <c r="M97" s="669"/>
      <c r="N97" s="669"/>
      <c r="O97" s="669"/>
      <c r="P97" s="669"/>
      <c r="Q97" s="669"/>
      <c r="R97" s="669"/>
      <c r="S97" s="669"/>
      <c r="T97" s="669"/>
      <c r="U97" s="669"/>
      <c r="V97" s="669"/>
      <c r="Y97" s="669"/>
      <c r="Z97" s="669"/>
      <c r="AA97" s="669"/>
      <c r="AB97" s="669"/>
      <c r="AC97" s="669"/>
      <c r="AD97" s="669"/>
      <c r="AE97" s="669"/>
      <c r="AF97" s="669"/>
      <c r="AG97" s="669"/>
    </row>
    <row r="98" spans="1:33">
      <c r="A98" s="669"/>
      <c r="B98" s="669"/>
      <c r="C98" s="669"/>
      <c r="D98" s="694"/>
      <c r="E98" s="694"/>
      <c r="F98" s="694"/>
      <c r="G98" s="694"/>
      <c r="H98" s="694"/>
      <c r="I98" s="694"/>
      <c r="J98" s="694"/>
      <c r="K98" s="694"/>
      <c r="L98" s="669"/>
      <c r="M98" s="669"/>
      <c r="N98" s="669"/>
      <c r="O98" s="669"/>
      <c r="P98" s="669"/>
      <c r="Q98" s="669"/>
      <c r="R98" s="669"/>
      <c r="S98" s="669"/>
      <c r="T98" s="669"/>
      <c r="U98" s="669"/>
      <c r="V98" s="669"/>
      <c r="Y98" s="669"/>
      <c r="Z98" s="669"/>
      <c r="AA98" s="669"/>
      <c r="AB98" s="669"/>
      <c r="AC98" s="669"/>
      <c r="AD98" s="669"/>
      <c r="AE98" s="669"/>
      <c r="AF98" s="669"/>
      <c r="AG98" s="669"/>
    </row>
    <row r="99" spans="1:33">
      <c r="A99" s="669"/>
      <c r="B99" s="669"/>
      <c r="C99" s="669"/>
      <c r="D99" s="694"/>
      <c r="E99" s="694"/>
      <c r="F99" s="694"/>
      <c r="G99" s="694"/>
      <c r="H99" s="694"/>
      <c r="I99" s="694"/>
      <c r="J99" s="694"/>
      <c r="K99" s="694"/>
      <c r="L99" s="669"/>
      <c r="M99" s="669"/>
      <c r="N99" s="669"/>
      <c r="O99" s="669"/>
      <c r="P99" s="669"/>
      <c r="Q99" s="669"/>
      <c r="R99" s="669"/>
      <c r="S99" s="669"/>
      <c r="T99" s="669"/>
      <c r="U99" s="669"/>
      <c r="V99" s="669"/>
      <c r="Y99" s="669"/>
      <c r="Z99" s="669"/>
      <c r="AA99" s="669"/>
      <c r="AB99" s="669"/>
      <c r="AC99" s="669"/>
      <c r="AD99" s="669"/>
      <c r="AE99" s="669"/>
      <c r="AF99" s="669"/>
      <c r="AG99" s="669"/>
    </row>
    <row r="100" spans="1:33">
      <c r="A100" s="669"/>
      <c r="B100" s="669"/>
      <c r="C100" s="669"/>
      <c r="D100" s="694"/>
      <c r="E100" s="694"/>
      <c r="F100" s="694"/>
      <c r="G100" s="694"/>
      <c r="H100" s="694"/>
      <c r="I100" s="694"/>
      <c r="J100" s="694"/>
      <c r="K100" s="694"/>
      <c r="L100" s="669"/>
      <c r="M100" s="669"/>
      <c r="N100" s="669"/>
      <c r="O100" s="669"/>
      <c r="P100" s="669"/>
      <c r="Q100" s="669"/>
      <c r="R100" s="669"/>
      <c r="S100" s="669"/>
      <c r="T100" s="669"/>
      <c r="U100" s="669"/>
      <c r="V100" s="669"/>
      <c r="Y100" s="669"/>
      <c r="Z100" s="669"/>
      <c r="AA100" s="669"/>
      <c r="AB100" s="669"/>
      <c r="AC100" s="669"/>
      <c r="AD100" s="669"/>
      <c r="AE100" s="669"/>
      <c r="AF100" s="669"/>
      <c r="AG100" s="669"/>
    </row>
    <row r="101" spans="1:33">
      <c r="A101" s="669"/>
      <c r="B101" s="669"/>
      <c r="C101" s="669"/>
      <c r="D101" s="694"/>
      <c r="E101" s="694"/>
      <c r="F101" s="694"/>
      <c r="G101" s="694"/>
      <c r="H101" s="694"/>
      <c r="I101" s="694"/>
      <c r="J101" s="694"/>
      <c r="K101" s="694"/>
      <c r="L101" s="669"/>
      <c r="M101" s="669"/>
      <c r="N101" s="669"/>
      <c r="O101" s="669"/>
      <c r="P101" s="669"/>
      <c r="Q101" s="669"/>
      <c r="R101" s="669"/>
      <c r="S101" s="669"/>
      <c r="T101" s="669"/>
      <c r="U101" s="669"/>
      <c r="V101" s="669"/>
      <c r="Y101" s="669"/>
      <c r="Z101" s="669"/>
      <c r="AA101" s="669"/>
      <c r="AB101" s="669"/>
      <c r="AC101" s="669"/>
      <c r="AD101" s="669"/>
      <c r="AE101" s="669"/>
      <c r="AF101" s="669"/>
      <c r="AG101" s="669"/>
    </row>
    <row r="102" spans="1:33">
      <c r="A102" s="669"/>
      <c r="B102" s="669"/>
      <c r="C102" s="669"/>
      <c r="D102" s="694"/>
      <c r="E102" s="694"/>
      <c r="F102" s="694"/>
      <c r="G102" s="694"/>
      <c r="H102" s="694"/>
      <c r="I102" s="694"/>
      <c r="J102" s="694"/>
      <c r="K102" s="694"/>
      <c r="L102" s="669"/>
      <c r="M102" s="669"/>
      <c r="N102" s="669"/>
      <c r="O102" s="669"/>
      <c r="P102" s="669"/>
      <c r="Q102" s="669"/>
      <c r="R102" s="669"/>
      <c r="S102" s="669"/>
      <c r="T102" s="669"/>
      <c r="U102" s="669"/>
      <c r="V102" s="669"/>
      <c r="Y102" s="669"/>
      <c r="Z102" s="669"/>
      <c r="AA102" s="669"/>
      <c r="AB102" s="669"/>
      <c r="AC102" s="669"/>
      <c r="AD102" s="669"/>
      <c r="AE102" s="669"/>
      <c r="AF102" s="669"/>
      <c r="AG102" s="669"/>
    </row>
    <row r="103" spans="1:33">
      <c r="A103" s="669"/>
      <c r="B103" s="669"/>
      <c r="C103" s="669"/>
      <c r="D103" s="694"/>
      <c r="E103" s="694"/>
      <c r="F103" s="694"/>
      <c r="G103" s="694"/>
      <c r="H103" s="694"/>
      <c r="I103" s="694"/>
      <c r="J103" s="694"/>
      <c r="K103" s="694"/>
      <c r="L103" s="669"/>
      <c r="M103" s="669"/>
      <c r="N103" s="669"/>
      <c r="O103" s="669"/>
      <c r="P103" s="669"/>
      <c r="Q103" s="669"/>
      <c r="R103" s="669"/>
      <c r="S103" s="669"/>
      <c r="T103" s="669"/>
      <c r="U103" s="669"/>
      <c r="V103" s="669"/>
      <c r="Y103" s="669"/>
      <c r="Z103" s="669"/>
      <c r="AA103" s="669"/>
      <c r="AB103" s="669"/>
      <c r="AC103" s="669"/>
      <c r="AD103" s="669"/>
      <c r="AE103" s="669"/>
      <c r="AF103" s="669"/>
      <c r="AG103" s="669"/>
    </row>
    <row r="104" spans="1:33">
      <c r="A104" s="669"/>
      <c r="B104" s="669"/>
      <c r="C104" s="669"/>
      <c r="D104" s="694"/>
      <c r="E104" s="694"/>
      <c r="F104" s="694"/>
      <c r="G104" s="694"/>
      <c r="H104" s="694"/>
      <c r="I104" s="694"/>
      <c r="J104" s="694"/>
      <c r="K104" s="694"/>
      <c r="L104" s="669"/>
      <c r="M104" s="669"/>
      <c r="N104" s="669"/>
      <c r="O104" s="669"/>
      <c r="P104" s="669"/>
      <c r="Q104" s="669"/>
      <c r="R104" s="669"/>
      <c r="S104" s="669"/>
      <c r="T104" s="669"/>
      <c r="U104" s="669"/>
      <c r="V104" s="669"/>
      <c r="Y104" s="669"/>
      <c r="Z104" s="669"/>
      <c r="AA104" s="669"/>
      <c r="AB104" s="669"/>
      <c r="AC104" s="669"/>
      <c r="AD104" s="669"/>
      <c r="AE104" s="669"/>
      <c r="AF104" s="669"/>
      <c r="AG104" s="669"/>
    </row>
    <row r="105" spans="1:33">
      <c r="A105" s="669"/>
      <c r="B105" s="669"/>
      <c r="C105" s="669"/>
      <c r="D105" s="694"/>
      <c r="E105" s="694"/>
      <c r="F105" s="694"/>
      <c r="G105" s="694"/>
      <c r="H105" s="694"/>
      <c r="I105" s="694"/>
      <c r="J105" s="694"/>
      <c r="K105" s="694"/>
      <c r="L105" s="669"/>
      <c r="M105" s="669"/>
      <c r="N105" s="669"/>
      <c r="O105" s="669"/>
      <c r="P105" s="669"/>
      <c r="Q105" s="669"/>
      <c r="R105" s="669"/>
      <c r="S105" s="669"/>
      <c r="T105" s="669"/>
      <c r="U105" s="669"/>
      <c r="V105" s="669"/>
      <c r="Y105" s="669"/>
      <c r="Z105" s="669"/>
      <c r="AA105" s="669"/>
      <c r="AB105" s="669"/>
      <c r="AC105" s="669"/>
      <c r="AD105" s="669"/>
      <c r="AE105" s="669"/>
      <c r="AF105" s="669"/>
      <c r="AG105" s="669"/>
    </row>
    <row r="106" spans="1:33">
      <c r="A106" s="669"/>
      <c r="B106" s="669"/>
      <c r="C106" s="669"/>
      <c r="D106" s="694"/>
      <c r="E106" s="694"/>
      <c r="F106" s="694"/>
      <c r="G106" s="694"/>
      <c r="H106" s="694"/>
      <c r="I106" s="694"/>
      <c r="J106" s="694"/>
      <c r="K106" s="694"/>
      <c r="L106" s="669"/>
      <c r="M106" s="669"/>
      <c r="N106" s="669"/>
      <c r="O106" s="669"/>
      <c r="P106" s="669"/>
      <c r="Q106" s="669"/>
      <c r="R106" s="669"/>
      <c r="S106" s="669"/>
      <c r="T106" s="669"/>
      <c r="U106" s="669"/>
      <c r="V106" s="669"/>
      <c r="Y106" s="669"/>
      <c r="Z106" s="669"/>
      <c r="AA106" s="669"/>
      <c r="AB106" s="669"/>
      <c r="AC106" s="669"/>
      <c r="AD106" s="669"/>
      <c r="AE106" s="669"/>
      <c r="AF106" s="669"/>
      <c r="AG106" s="669"/>
    </row>
    <row r="107" spans="1:33">
      <c r="A107" s="669"/>
      <c r="B107" s="669"/>
      <c r="C107" s="669"/>
      <c r="D107" s="694"/>
      <c r="E107" s="694"/>
      <c r="F107" s="694"/>
      <c r="G107" s="694"/>
      <c r="H107" s="694"/>
      <c r="I107" s="694"/>
      <c r="J107" s="694"/>
      <c r="K107" s="694"/>
      <c r="L107" s="669"/>
      <c r="M107" s="669"/>
      <c r="N107" s="669"/>
      <c r="O107" s="669"/>
      <c r="P107" s="669"/>
      <c r="Q107" s="669"/>
      <c r="R107" s="669"/>
      <c r="S107" s="669"/>
      <c r="T107" s="669"/>
      <c r="U107" s="669"/>
      <c r="V107" s="669"/>
      <c r="Y107" s="669"/>
      <c r="Z107" s="669"/>
      <c r="AA107" s="669"/>
      <c r="AB107" s="669"/>
      <c r="AC107" s="669"/>
      <c r="AD107" s="669"/>
      <c r="AE107" s="669"/>
      <c r="AF107" s="669"/>
      <c r="AG107" s="669"/>
    </row>
    <row r="108" spans="1:33">
      <c r="A108" s="669"/>
      <c r="B108" s="669"/>
      <c r="C108" s="669"/>
      <c r="D108" s="694"/>
      <c r="E108" s="694"/>
      <c r="F108" s="694"/>
      <c r="G108" s="694"/>
      <c r="H108" s="694"/>
      <c r="I108" s="694"/>
      <c r="J108" s="694"/>
      <c r="K108" s="694"/>
      <c r="L108" s="669"/>
      <c r="M108" s="669"/>
      <c r="N108" s="669"/>
      <c r="O108" s="669"/>
      <c r="P108" s="669"/>
      <c r="Q108" s="669"/>
      <c r="R108" s="669"/>
      <c r="S108" s="669"/>
      <c r="T108" s="669"/>
      <c r="U108" s="669"/>
      <c r="V108" s="669"/>
      <c r="Y108" s="669"/>
      <c r="Z108" s="669"/>
      <c r="AA108" s="669"/>
      <c r="AB108" s="669"/>
      <c r="AC108" s="669"/>
      <c r="AD108" s="669"/>
      <c r="AE108" s="669"/>
      <c r="AF108" s="669"/>
      <c r="AG108" s="669"/>
    </row>
    <row r="109" spans="1:33">
      <c r="A109" s="669"/>
      <c r="B109" s="669"/>
      <c r="C109" s="669"/>
      <c r="D109" s="694"/>
      <c r="E109" s="694"/>
      <c r="F109" s="694"/>
      <c r="G109" s="694"/>
      <c r="H109" s="694"/>
      <c r="I109" s="694"/>
      <c r="J109" s="694"/>
      <c r="K109" s="694"/>
      <c r="L109" s="669"/>
      <c r="M109" s="669"/>
      <c r="N109" s="669"/>
      <c r="O109" s="669"/>
      <c r="P109" s="669"/>
      <c r="Q109" s="669"/>
      <c r="R109" s="669"/>
      <c r="S109" s="669"/>
      <c r="T109" s="669"/>
      <c r="U109" s="669"/>
      <c r="V109" s="669"/>
      <c r="Y109" s="669"/>
      <c r="Z109" s="669"/>
      <c r="AA109" s="669"/>
      <c r="AB109" s="669"/>
      <c r="AC109" s="669"/>
      <c r="AD109" s="669"/>
      <c r="AE109" s="669"/>
      <c r="AF109" s="669"/>
      <c r="AG109" s="669"/>
    </row>
    <row r="110" spans="1:33">
      <c r="A110" s="669"/>
      <c r="B110" s="669"/>
      <c r="C110" s="669"/>
      <c r="D110" s="694"/>
      <c r="E110" s="694"/>
      <c r="F110" s="694"/>
      <c r="G110" s="694"/>
      <c r="H110" s="694"/>
      <c r="I110" s="694"/>
      <c r="J110" s="694"/>
      <c r="K110" s="694"/>
      <c r="L110" s="669"/>
      <c r="M110" s="669"/>
      <c r="N110" s="669"/>
      <c r="O110" s="669"/>
      <c r="P110" s="669"/>
      <c r="Q110" s="669"/>
      <c r="R110" s="669"/>
      <c r="S110" s="669"/>
      <c r="T110" s="669"/>
      <c r="U110" s="669"/>
      <c r="V110" s="669"/>
      <c r="Y110" s="669"/>
      <c r="Z110" s="669"/>
      <c r="AA110" s="669"/>
      <c r="AB110" s="669"/>
      <c r="AC110" s="669"/>
      <c r="AD110" s="669"/>
      <c r="AE110" s="669"/>
      <c r="AF110" s="669"/>
      <c r="AG110" s="669"/>
    </row>
    <row r="111" spans="1:33">
      <c r="A111" s="669"/>
      <c r="B111" s="669"/>
      <c r="C111" s="669"/>
      <c r="D111" s="694"/>
      <c r="E111" s="694"/>
      <c r="F111" s="694"/>
      <c r="G111" s="694"/>
      <c r="H111" s="694"/>
      <c r="I111" s="694"/>
      <c r="J111" s="694"/>
      <c r="K111" s="694"/>
      <c r="L111" s="669"/>
      <c r="M111" s="669"/>
      <c r="N111" s="669"/>
      <c r="O111" s="669"/>
      <c r="P111" s="669"/>
      <c r="Q111" s="669"/>
      <c r="R111" s="669"/>
      <c r="S111" s="669"/>
      <c r="T111" s="669"/>
      <c r="U111" s="669"/>
      <c r="V111" s="669"/>
      <c r="Y111" s="669"/>
      <c r="Z111" s="669"/>
      <c r="AA111" s="669"/>
      <c r="AB111" s="669"/>
      <c r="AC111" s="669"/>
      <c r="AD111" s="669"/>
      <c r="AE111" s="669"/>
      <c r="AF111" s="669"/>
      <c r="AG111" s="669"/>
    </row>
    <row r="112" spans="1:33">
      <c r="A112" s="669"/>
      <c r="B112" s="669"/>
      <c r="C112" s="669"/>
      <c r="D112" s="694"/>
      <c r="E112" s="694"/>
      <c r="F112" s="694"/>
      <c r="G112" s="694"/>
      <c r="H112" s="694"/>
      <c r="I112" s="694"/>
      <c r="J112" s="694"/>
      <c r="K112" s="694"/>
      <c r="L112" s="669"/>
      <c r="M112" s="669"/>
      <c r="N112" s="669"/>
      <c r="O112" s="669"/>
      <c r="P112" s="669"/>
      <c r="Q112" s="669"/>
      <c r="R112" s="669"/>
      <c r="S112" s="669"/>
      <c r="T112" s="669"/>
      <c r="U112" s="669"/>
      <c r="V112" s="669"/>
      <c r="Y112" s="669"/>
      <c r="Z112" s="669"/>
      <c r="AA112" s="669"/>
      <c r="AB112" s="669"/>
      <c r="AC112" s="669"/>
      <c r="AD112" s="669"/>
      <c r="AE112" s="669"/>
      <c r="AF112" s="669"/>
      <c r="AG112" s="669"/>
    </row>
  </sheetData>
  <mergeCells count="14">
    <mergeCell ref="W43:X43"/>
    <mergeCell ref="Z43:AB43"/>
    <mergeCell ref="D43:F43"/>
    <mergeCell ref="D9:F9"/>
    <mergeCell ref="L9:N9"/>
    <mergeCell ref="P43:R43"/>
    <mergeCell ref="L43:N43"/>
    <mergeCell ref="P9:R9"/>
    <mergeCell ref="H9:J9"/>
    <mergeCell ref="H43:J43"/>
    <mergeCell ref="Z9:AB9"/>
    <mergeCell ref="W9:X9"/>
    <mergeCell ref="T9:U9"/>
    <mergeCell ref="T43:U43"/>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F87D464-71C3-4250-B7A4-FD5B9F9EC8E2}">
          <x14:formula1>
            <xm:f>'Lists and Mapping'!$C$3:$C$4</xm:f>
          </x14:formula1>
          <xm:sqref>C3:C4</xm:sqref>
        </x14:dataValidation>
        <x14:dataValidation type="list" allowBlank="1" showInputMessage="1" showErrorMessage="1" xr:uid="{847BFA4D-2604-4172-AB8C-DBB5D9600941}">
          <x14:formula1>
            <xm:f>'Lists and Mapping'!$B$3:$B$5</xm:f>
          </x14:formula1>
          <xm:sqref>C2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17DA4-3222-4237-BAA8-58179B6DB8E8}">
  <sheetPr codeName="Sheet18">
    <tabColor theme="0" tint="-0.14999847407452621"/>
  </sheetPr>
  <dimension ref="A1:AV127"/>
  <sheetViews>
    <sheetView workbookViewId="0">
      <selection activeCell="E21" sqref="E21"/>
    </sheetView>
  </sheetViews>
  <sheetFormatPr defaultColWidth="8.5" defaultRowHeight="13.2"/>
  <cols>
    <col min="1" max="1" width="3.5" style="2" customWidth="1"/>
    <col min="2" max="2" width="3.296875" style="2" customWidth="1"/>
    <col min="3" max="3" width="8.5" style="3"/>
    <col min="4" max="6" width="11.5" style="3" customWidth="1"/>
    <col min="7" max="7" width="2.796875" style="3" customWidth="1"/>
    <col min="8" max="8" width="13.5" style="3" customWidth="1"/>
    <col min="9" max="9" width="14.5" style="3" customWidth="1"/>
    <col min="10" max="11" width="11.5" style="3" customWidth="1"/>
    <col min="12" max="12" width="2.296875" style="3" customWidth="1"/>
    <col min="13" max="14" width="11.5" style="3" customWidth="1"/>
    <col min="15" max="15" width="3.296875" style="2" customWidth="1"/>
    <col min="16" max="16" width="3" style="2" customWidth="1"/>
    <col min="17" max="17" width="3.296875" style="2" customWidth="1"/>
    <col min="18" max="18" width="13.09765625" style="34" customWidth="1"/>
    <col min="19" max="19" width="28.8984375" style="2" customWidth="1"/>
    <col min="20" max="20" width="22.5" style="2" customWidth="1"/>
    <col min="21" max="21" width="3.5" style="2" customWidth="1"/>
    <col min="22" max="22" width="22.5" style="2" customWidth="1"/>
    <col min="23" max="23" width="21.5" style="2" customWidth="1"/>
    <col min="24" max="26" width="3.296875" style="2" customWidth="1"/>
    <col min="27" max="27" width="22.796875" style="2" customWidth="1"/>
    <col min="28" max="28" width="26.296875" style="2" customWidth="1"/>
    <col min="29" max="30" width="25.296875" style="2" customWidth="1"/>
    <col min="31" max="31" width="3.296875" style="2" customWidth="1"/>
    <col min="32" max="16384" width="8.5" style="2"/>
  </cols>
  <sheetData>
    <row r="1" spans="1:48" s="3" customFormat="1" ht="13.8" thickBot="1">
      <c r="A1" s="2"/>
      <c r="B1" s="2"/>
      <c r="C1" s="2"/>
      <c r="D1" s="2"/>
      <c r="E1" s="2"/>
      <c r="F1" s="2"/>
      <c r="G1" s="2"/>
      <c r="H1" s="2"/>
      <c r="I1" s="2"/>
      <c r="J1" s="2"/>
      <c r="K1" s="2"/>
      <c r="L1" s="2"/>
      <c r="M1" s="2"/>
      <c r="N1" s="2"/>
      <c r="O1" s="2"/>
      <c r="P1" s="2"/>
      <c r="Q1" s="2"/>
      <c r="R1" s="34"/>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spans="1:48" s="3" customFormat="1" ht="13.8" thickBot="1">
      <c r="A2" s="2"/>
      <c r="B2" s="4" t="s">
        <v>0</v>
      </c>
      <c r="C2" s="1616" t="s">
        <v>30</v>
      </c>
      <c r="D2" s="1616"/>
      <c r="E2" s="1616"/>
      <c r="F2" s="4"/>
      <c r="G2" s="4"/>
      <c r="H2" s="310" t="s">
        <v>31</v>
      </c>
      <c r="I2" s="311">
        <v>1000000</v>
      </c>
      <c r="J2" s="4"/>
      <c r="K2" s="4"/>
      <c r="L2" s="4"/>
      <c r="M2" s="4"/>
      <c r="N2" s="4"/>
      <c r="O2" s="4"/>
      <c r="P2" s="2"/>
      <c r="Q2" s="4"/>
      <c r="R2" s="33" t="s">
        <v>32</v>
      </c>
      <c r="S2" s="4"/>
      <c r="T2" s="4"/>
      <c r="U2" s="4"/>
      <c r="V2" s="4"/>
      <c r="W2" s="4"/>
      <c r="X2" s="4"/>
      <c r="Y2" s="2"/>
      <c r="Z2" s="4"/>
      <c r="AA2" s="4" t="s">
        <v>33</v>
      </c>
      <c r="AB2" s="4"/>
      <c r="AC2" s="4"/>
      <c r="AD2" s="4"/>
      <c r="AE2" s="4"/>
      <c r="AF2" s="2"/>
      <c r="AG2" s="2"/>
      <c r="AH2" s="2"/>
      <c r="AI2" s="2"/>
      <c r="AJ2" s="2"/>
      <c r="AK2" s="2"/>
      <c r="AL2" s="2"/>
      <c r="AM2" s="2"/>
      <c r="AN2" s="2"/>
      <c r="AO2" s="2"/>
      <c r="AP2" s="2"/>
      <c r="AQ2" s="2"/>
      <c r="AR2" s="2"/>
      <c r="AS2" s="2"/>
      <c r="AT2" s="2"/>
      <c r="AU2" s="2"/>
      <c r="AV2" s="2"/>
    </row>
    <row r="3" spans="1:48" s="3" customFormat="1" ht="15" customHeight="1">
      <c r="A3" s="2"/>
      <c r="B3" s="4"/>
      <c r="C3" s="4"/>
      <c r="D3" s="1617" t="s">
        <v>34</v>
      </c>
      <c r="E3" s="1618"/>
      <c r="F3" s="1619"/>
      <c r="G3" s="5"/>
      <c r="H3" s="1613" t="s">
        <v>35</v>
      </c>
      <c r="I3" s="1614"/>
      <c r="J3" s="1615"/>
      <c r="K3" s="10"/>
      <c r="L3" s="10"/>
      <c r="M3" s="1620" t="s">
        <v>36</v>
      </c>
      <c r="N3" s="1615"/>
      <c r="O3" s="4"/>
      <c r="P3" s="6"/>
      <c r="Q3" s="4"/>
      <c r="R3" s="4"/>
      <c r="S3" s="8" t="s">
        <v>37</v>
      </c>
      <c r="T3" s="8" t="s">
        <v>38</v>
      </c>
      <c r="U3" s="4"/>
      <c r="V3" s="8" t="s">
        <v>39</v>
      </c>
      <c r="W3" s="4"/>
      <c r="X3" s="4"/>
      <c r="Y3" s="2"/>
      <c r="Z3" s="4"/>
      <c r="AA3" s="8" t="s">
        <v>40</v>
      </c>
      <c r="AB3" s="8" t="s">
        <v>41</v>
      </c>
      <c r="AC3" s="8" t="s">
        <v>42</v>
      </c>
      <c r="AD3" s="5" t="s">
        <v>43</v>
      </c>
      <c r="AE3" s="4"/>
      <c r="AF3" s="2"/>
      <c r="AG3" s="2"/>
      <c r="AH3" s="2"/>
      <c r="AI3" s="2"/>
      <c r="AJ3" s="2"/>
      <c r="AK3" s="2"/>
      <c r="AL3" s="2"/>
      <c r="AM3" s="2"/>
      <c r="AN3" s="2"/>
      <c r="AO3" s="2"/>
      <c r="AP3" s="2"/>
      <c r="AQ3" s="2"/>
      <c r="AR3" s="2"/>
      <c r="AS3" s="2"/>
      <c r="AT3" s="2"/>
      <c r="AU3" s="2"/>
      <c r="AV3" s="2"/>
    </row>
    <row r="4" spans="1:48" s="3" customFormat="1">
      <c r="A4" s="2"/>
      <c r="B4" s="5"/>
      <c r="C4" s="4"/>
      <c r="D4" s="5"/>
      <c r="E4" s="5"/>
      <c r="F4" s="5"/>
      <c r="G4" s="5"/>
      <c r="H4" s="5"/>
      <c r="I4" s="5"/>
      <c r="J4" s="5"/>
      <c r="K4" s="5"/>
      <c r="L4" s="5"/>
      <c r="M4" s="5"/>
      <c r="N4" s="5"/>
      <c r="O4" s="5"/>
      <c r="P4" s="6"/>
      <c r="Q4" s="4"/>
      <c r="R4" s="4"/>
      <c r="S4" s="43" t="s">
        <v>5</v>
      </c>
      <c r="T4" s="5"/>
      <c r="U4" s="4"/>
      <c r="V4" s="5"/>
      <c r="W4" s="4"/>
      <c r="X4" s="4"/>
      <c r="Y4" s="2"/>
      <c r="Z4" s="5"/>
      <c r="AA4" s="5"/>
      <c r="AB4" s="5"/>
      <c r="AC4" s="5"/>
      <c r="AD4" s="5"/>
      <c r="AE4" s="5"/>
      <c r="AF4" s="2"/>
      <c r="AG4" s="2"/>
      <c r="AH4" s="2"/>
      <c r="AI4" s="2"/>
      <c r="AJ4" s="2"/>
      <c r="AK4" s="2"/>
      <c r="AL4" s="2"/>
      <c r="AM4" s="2"/>
      <c r="AN4" s="2"/>
      <c r="AO4" s="2"/>
      <c r="AP4" s="2"/>
      <c r="AQ4" s="2"/>
      <c r="AR4" s="2"/>
      <c r="AS4" s="2"/>
      <c r="AT4" s="2"/>
      <c r="AU4" s="2"/>
      <c r="AV4" s="2"/>
    </row>
    <row r="5" spans="1:48" s="3" customFormat="1">
      <c r="A5" s="2"/>
      <c r="B5" s="4"/>
      <c r="C5" s="4"/>
      <c r="D5" s="5"/>
      <c r="E5" s="5"/>
      <c r="F5" s="5"/>
      <c r="G5" s="5"/>
      <c r="H5" s="5" t="s">
        <v>44</v>
      </c>
      <c r="I5" s="5" t="s">
        <v>45</v>
      </c>
      <c r="J5" s="5"/>
      <c r="K5" s="5" t="s">
        <v>46</v>
      </c>
      <c r="L5" s="5"/>
      <c r="M5" s="5"/>
      <c r="N5" s="5"/>
      <c r="O5" s="4"/>
      <c r="P5" s="2"/>
      <c r="Q5" s="4"/>
      <c r="R5" s="4" t="s">
        <v>47</v>
      </c>
      <c r="S5" s="55" t="s">
        <v>48</v>
      </c>
      <c r="T5" s="52">
        <f>SUMIF('Billing Determinant Forecast'!$B$25:$B$100,'Billing Units'!$R5,'Billing Determinant Forecast'!G$25:G$100)*I2</f>
        <v>1981200</v>
      </c>
      <c r="U5" s="4"/>
      <c r="V5" s="378">
        <f>T5</f>
        <v>1981200</v>
      </c>
      <c r="W5" s="4"/>
      <c r="X5" s="4"/>
      <c r="Y5" s="2"/>
      <c r="Z5" s="4"/>
      <c r="AA5" s="43" t="s">
        <v>49</v>
      </c>
      <c r="AB5" s="45">
        <f>'Revenue Summary'!$E$38</f>
        <v>15526392079.971085</v>
      </c>
      <c r="AC5" s="391">
        <f>AB5</f>
        <v>15526392079.971085</v>
      </c>
      <c r="AD5" s="50" t="s">
        <v>50</v>
      </c>
      <c r="AE5" s="4"/>
      <c r="AF5" s="2"/>
      <c r="AG5" s="2"/>
      <c r="AH5" s="2"/>
      <c r="AI5" s="2"/>
      <c r="AJ5" s="2"/>
      <c r="AK5" s="2"/>
      <c r="AL5" s="2"/>
      <c r="AM5" s="2"/>
      <c r="AN5" s="2"/>
      <c r="AO5" s="2"/>
      <c r="AP5" s="2"/>
      <c r="AQ5" s="2"/>
      <c r="AR5" s="2"/>
      <c r="AS5" s="2"/>
      <c r="AT5" s="2"/>
      <c r="AU5" s="2"/>
      <c r="AV5" s="2"/>
    </row>
    <row r="6" spans="1:48" s="3" customFormat="1">
      <c r="A6" s="2"/>
      <c r="B6" s="4"/>
      <c r="C6" s="4" t="s">
        <v>3</v>
      </c>
      <c r="D6" s="51">
        <f>SUMIF('Billing Determinant Forecast'!$B$25:$B$100,'Billing Units'!$C6,'Billing Determinant Forecast'!E$25:E$100)</f>
        <v>1200273</v>
      </c>
      <c r="E6" s="5"/>
      <c r="F6" s="5"/>
      <c r="G6" s="7"/>
      <c r="H6" s="51">
        <f>SUMIF('Billing Determinant Forecast'!$B$25:$B$100,'Billing Units'!$C6,'Billing Determinant Forecast'!G$25:G$100)*$I$2</f>
        <v>3465700000</v>
      </c>
      <c r="I6" s="51">
        <f>SUMIF('Billing Determinant Forecast'!$B$25:$B$100,'Billing Units'!$C$6,'Billing Determinant Forecast'!H$25:H$100)*$I$2</f>
        <v>2000399999.9999998</v>
      </c>
      <c r="J6" s="7"/>
      <c r="K6" s="349">
        <f>SUM(H6:J6)</f>
        <v>5466100000</v>
      </c>
      <c r="L6" s="7"/>
      <c r="M6" s="7"/>
      <c r="N6" s="7"/>
      <c r="O6" s="4"/>
      <c r="P6" s="2"/>
      <c r="Q6" s="4"/>
      <c r="R6" s="4" t="s">
        <v>47</v>
      </c>
      <c r="S6" s="55" t="s">
        <v>45</v>
      </c>
      <c r="T6" s="52">
        <f>SUMIF('Billing Determinant Forecast'!$B$25:$B$100,'Billing Units'!$R6,'Billing Determinant Forecast'!H$25:H$100)*I2</f>
        <v>1127957.5656600648</v>
      </c>
      <c r="U6" s="4"/>
      <c r="V6" s="378">
        <f>T6</f>
        <v>1127957.5656600648</v>
      </c>
      <c r="W6" s="4"/>
      <c r="X6" s="4"/>
      <c r="Y6" s="2"/>
      <c r="Z6" s="4"/>
      <c r="AA6" s="43"/>
      <c r="AB6" s="5"/>
      <c r="AC6" s="367"/>
      <c r="AD6" s="43"/>
      <c r="AE6" s="4"/>
      <c r="AF6" s="2"/>
      <c r="AG6" s="2"/>
      <c r="AH6" s="2"/>
      <c r="AI6" s="2"/>
      <c r="AJ6" s="2"/>
      <c r="AK6" s="2"/>
      <c r="AL6" s="2"/>
      <c r="AM6" s="2"/>
      <c r="AN6" s="2"/>
      <c r="AO6" s="2"/>
      <c r="AP6" s="2"/>
      <c r="AQ6" s="2"/>
      <c r="AR6" s="2"/>
      <c r="AS6" s="2"/>
      <c r="AT6" s="2"/>
      <c r="AU6" s="2"/>
      <c r="AV6" s="2"/>
    </row>
    <row r="7" spans="1:48" s="3" customFormat="1" ht="14.55" customHeight="1">
      <c r="A7" s="2"/>
      <c r="B7" s="4"/>
      <c r="C7" s="4"/>
      <c r="D7" s="4"/>
      <c r="E7" s="5"/>
      <c r="F7" s="5"/>
      <c r="G7" s="7"/>
      <c r="H7" s="4" t="s">
        <v>51</v>
      </c>
      <c r="I7" s="4" t="s">
        <v>52</v>
      </c>
      <c r="J7" s="4" t="s">
        <v>53</v>
      </c>
      <c r="K7" s="7"/>
      <c r="L7" s="7"/>
      <c r="M7" s="7"/>
      <c r="N7" s="7"/>
      <c r="O7" s="4"/>
      <c r="P7" s="2"/>
      <c r="Q7" s="4"/>
      <c r="R7" s="4" t="s">
        <v>20</v>
      </c>
      <c r="S7" s="55" t="s">
        <v>46</v>
      </c>
      <c r="T7" s="55">
        <f>SUM(T5:T6)</f>
        <v>3109157.565660065</v>
      </c>
      <c r="U7" s="4"/>
      <c r="V7" s="379">
        <f>SUM(V5:V6)</f>
        <v>3109157.565660065</v>
      </c>
      <c r="W7" s="4"/>
      <c r="X7" s="4"/>
      <c r="Y7" s="2"/>
      <c r="Z7" s="4"/>
      <c r="AA7" s="43" t="s">
        <v>54</v>
      </c>
      <c r="AB7" s="45">
        <f>'Revenue Summary'!$E$38</f>
        <v>15526392079.971085</v>
      </c>
      <c r="AC7" s="391">
        <f>AB7</f>
        <v>15526392079.971085</v>
      </c>
      <c r="AD7" s="50" t="s">
        <v>50</v>
      </c>
      <c r="AE7" s="4"/>
      <c r="AF7" s="2"/>
      <c r="AG7" s="2"/>
      <c r="AH7" s="2"/>
      <c r="AI7" s="2"/>
      <c r="AJ7" s="2"/>
      <c r="AK7" s="2"/>
      <c r="AL7" s="2"/>
      <c r="AM7" s="2"/>
      <c r="AN7" s="2"/>
      <c r="AO7" s="2"/>
      <c r="AP7" s="2"/>
      <c r="AQ7" s="2"/>
      <c r="AR7" s="2"/>
      <c r="AS7" s="2"/>
      <c r="AT7" s="2"/>
      <c r="AU7" s="2"/>
      <c r="AV7" s="2"/>
    </row>
    <row r="8" spans="1:48" s="3" customFormat="1">
      <c r="A8" s="2"/>
      <c r="B8" s="4"/>
      <c r="C8" s="4" t="s">
        <v>55</v>
      </c>
      <c r="D8" s="57"/>
      <c r="E8" s="5"/>
      <c r="F8" s="5"/>
      <c r="G8" s="7"/>
      <c r="H8" s="57"/>
      <c r="I8" s="57"/>
      <c r="J8" s="346"/>
      <c r="K8" s="349">
        <f t="shared" ref="K8:K36" si="0">SUM(H8:J8)</f>
        <v>0</v>
      </c>
      <c r="L8" s="7"/>
      <c r="M8" s="7"/>
      <c r="N8" s="7"/>
      <c r="O8" s="4"/>
      <c r="P8" s="2"/>
      <c r="Q8" s="2"/>
      <c r="R8" s="34"/>
      <c r="S8" s="2"/>
      <c r="T8" s="2"/>
      <c r="U8" s="2"/>
      <c r="V8" s="361"/>
      <c r="W8" s="2"/>
      <c r="X8" s="2"/>
      <c r="Y8" s="2"/>
      <c r="Z8" s="4"/>
      <c r="AA8" s="43"/>
      <c r="AB8" s="5"/>
      <c r="AC8" s="367"/>
      <c r="AD8" s="43"/>
      <c r="AE8" s="4"/>
      <c r="AF8" s="2"/>
      <c r="AG8" s="2"/>
      <c r="AH8" s="2"/>
      <c r="AI8" s="2"/>
      <c r="AJ8" s="2"/>
      <c r="AK8" s="2"/>
      <c r="AL8" s="2"/>
      <c r="AM8" s="2"/>
      <c r="AN8" s="2"/>
      <c r="AO8" s="2"/>
      <c r="AP8" s="2"/>
      <c r="AQ8" s="2"/>
      <c r="AR8" s="2"/>
      <c r="AS8" s="2"/>
      <c r="AT8" s="2"/>
      <c r="AU8" s="2"/>
      <c r="AV8" s="2"/>
    </row>
    <row r="9" spans="1:48" s="3" customFormat="1" ht="13.8" thickBot="1">
      <c r="A9" s="2"/>
      <c r="B9" s="4"/>
      <c r="C9" s="7"/>
      <c r="D9" s="7"/>
      <c r="E9" s="5"/>
      <c r="F9" s="5"/>
      <c r="G9" s="7"/>
      <c r="H9" s="5" t="s">
        <v>44</v>
      </c>
      <c r="I9" s="5" t="s">
        <v>45</v>
      </c>
      <c r="J9" s="7"/>
      <c r="K9" s="7"/>
      <c r="L9" s="7"/>
      <c r="M9" s="7"/>
      <c r="N9" s="7"/>
      <c r="O9" s="4"/>
      <c r="P9" s="2"/>
      <c r="Q9" s="4"/>
      <c r="R9" s="33" t="s">
        <v>56</v>
      </c>
      <c r="S9" s="4"/>
      <c r="T9" s="4"/>
      <c r="U9" s="4"/>
      <c r="V9" s="365"/>
      <c r="W9" s="4"/>
      <c r="X9" s="4"/>
      <c r="Y9" s="2"/>
      <c r="Z9" s="4"/>
      <c r="AA9" s="43" t="s">
        <v>57</v>
      </c>
      <c r="AB9" s="45">
        <v>0</v>
      </c>
      <c r="AC9" s="391">
        <f>AB9</f>
        <v>0</v>
      </c>
      <c r="AD9" s="50" t="s">
        <v>58</v>
      </c>
      <c r="AE9" s="4"/>
      <c r="AF9" s="2"/>
      <c r="AG9" s="2"/>
      <c r="AH9" s="2"/>
      <c r="AI9" s="2"/>
      <c r="AJ9" s="2"/>
      <c r="AK9" s="2"/>
      <c r="AL9" s="2"/>
      <c r="AM9" s="2"/>
      <c r="AN9" s="2"/>
      <c r="AO9" s="2"/>
      <c r="AP9" s="2"/>
      <c r="AQ9" s="2"/>
      <c r="AR9" s="2"/>
      <c r="AS9" s="2"/>
      <c r="AT9" s="2"/>
      <c r="AU9" s="2"/>
      <c r="AV9" s="2"/>
    </row>
    <row r="10" spans="1:48" s="3" customFormat="1" ht="13.8" thickBot="1">
      <c r="A10" s="2"/>
      <c r="B10" s="4"/>
      <c r="C10" s="7" t="s">
        <v>6</v>
      </c>
      <c r="D10" s="51">
        <f>SUMIF('Billing Determinant Forecast'!$B$25:$B$100,'Billing Units'!$C10,'Billing Determinant Forecast'!E$25:E$100)</f>
        <v>137698</v>
      </c>
      <c r="E10" s="418"/>
      <c r="F10" s="5"/>
      <c r="G10" s="7"/>
      <c r="H10" s="51">
        <f>SUMIF('Billing Determinant Forecast'!$B$25:$B$100,'Billing Units'!$C10,'Billing Determinant Forecast'!G$25:G$100)*$I$2</f>
        <v>357900000</v>
      </c>
      <c r="I10" s="51">
        <f>SUMIF('Billing Determinant Forecast'!$B$25:$B$100,'Billing Units'!$C10,'Billing Determinant Forecast'!H$25:H$100)*$I$2</f>
        <v>97199999.999999985</v>
      </c>
      <c r="J10" s="7"/>
      <c r="K10" s="349">
        <f t="shared" si="0"/>
        <v>455100000</v>
      </c>
      <c r="L10" s="7"/>
      <c r="M10" s="7"/>
      <c r="N10" s="7"/>
      <c r="O10" s="4"/>
      <c r="P10" s="2"/>
      <c r="Q10" s="4"/>
      <c r="R10" s="33"/>
      <c r="S10" s="310" t="s">
        <v>59</v>
      </c>
      <c r="T10" s="311">
        <v>1</v>
      </c>
      <c r="U10" s="4"/>
      <c r="V10" s="365"/>
      <c r="W10" s="4"/>
      <c r="X10" s="4"/>
      <c r="Y10" s="2"/>
      <c r="Z10" s="4"/>
      <c r="AA10" s="43"/>
      <c r="AB10" s="5"/>
      <c r="AC10" s="367"/>
      <c r="AD10" s="43"/>
      <c r="AE10" s="4"/>
      <c r="AF10" s="2"/>
      <c r="AG10" s="2"/>
      <c r="AH10" s="2"/>
      <c r="AI10" s="2"/>
      <c r="AJ10" s="2"/>
      <c r="AK10" s="2"/>
      <c r="AL10" s="2"/>
      <c r="AM10" s="2"/>
      <c r="AN10" s="2"/>
      <c r="AO10" s="2"/>
      <c r="AP10" s="2"/>
      <c r="AQ10" s="2"/>
      <c r="AR10" s="2"/>
      <c r="AS10" s="2"/>
      <c r="AT10" s="2"/>
      <c r="AU10" s="2"/>
      <c r="AV10" s="2"/>
    </row>
    <row r="11" spans="1:48" s="3" customFormat="1">
      <c r="A11" s="2"/>
      <c r="B11" s="4"/>
      <c r="C11" s="7"/>
      <c r="D11" s="7"/>
      <c r="E11" s="5"/>
      <c r="F11" s="5"/>
      <c r="G11" s="7"/>
      <c r="H11" s="5" t="s">
        <v>44</v>
      </c>
      <c r="I11" s="5" t="s">
        <v>45</v>
      </c>
      <c r="J11" s="7"/>
      <c r="K11" s="7"/>
      <c r="L11" s="7"/>
      <c r="M11" s="7"/>
      <c r="N11" s="7"/>
      <c r="O11" s="4"/>
      <c r="P11" s="2"/>
      <c r="Q11" s="5"/>
      <c r="R11" s="54" t="s">
        <v>60</v>
      </c>
      <c r="S11" s="8" t="s">
        <v>37</v>
      </c>
      <c r="T11" s="8" t="s">
        <v>38</v>
      </c>
      <c r="U11" s="5"/>
      <c r="V11" s="389" t="s">
        <v>39</v>
      </c>
      <c r="W11" s="5"/>
      <c r="X11" s="5"/>
      <c r="Y11" s="2"/>
      <c r="Z11" s="4"/>
      <c r="AA11" s="43" t="s">
        <v>61</v>
      </c>
      <c r="AB11" s="45">
        <f>'Revenue Summary'!$E$38</f>
        <v>15526392079.971085</v>
      </c>
      <c r="AC11" s="391">
        <f>AB11</f>
        <v>15526392079.971085</v>
      </c>
      <c r="AD11" s="50" t="s">
        <v>50</v>
      </c>
      <c r="AE11" s="4"/>
      <c r="AF11" s="2"/>
      <c r="AG11" s="2"/>
      <c r="AH11" s="2"/>
      <c r="AI11" s="2"/>
      <c r="AJ11" s="2"/>
      <c r="AK11" s="2"/>
      <c r="AL11" s="2"/>
      <c r="AM11" s="2"/>
      <c r="AN11" s="2"/>
      <c r="AO11" s="2"/>
      <c r="AP11" s="2"/>
      <c r="AQ11" s="2"/>
      <c r="AR11" s="2"/>
      <c r="AS11" s="2"/>
      <c r="AT11" s="2"/>
      <c r="AU11" s="2"/>
      <c r="AV11" s="2"/>
    </row>
    <row r="12" spans="1:48" s="3" customFormat="1" ht="15" customHeight="1">
      <c r="A12" s="2"/>
      <c r="B12" s="4"/>
      <c r="C12" s="7" t="s">
        <v>8</v>
      </c>
      <c r="D12" s="51">
        <f>SUMIF('Billing Determinant Forecast'!$B$25:$B$100,'Billing Units'!$C12,'Billing Determinant Forecast'!E$25:E$100)</f>
        <v>4385</v>
      </c>
      <c r="E12" s="418"/>
      <c r="F12" s="5"/>
      <c r="G12" s="7"/>
      <c r="H12" s="51">
        <f>SUMIF('Billing Determinant Forecast'!$B$25:$B$100,'Billing Units'!$C12,'Billing Determinant Forecast'!G$25:G$100)*$I$2</f>
        <v>11700000</v>
      </c>
      <c r="I12" s="51">
        <f>SUMIF('Billing Determinant Forecast'!$B$25:$B$100,'Billing Units'!$C12,'Billing Determinant Forecast'!H$25:H$100)*$I$2</f>
        <v>4699999.9999999991</v>
      </c>
      <c r="J12" s="7"/>
      <c r="K12" s="349">
        <f t="shared" si="0"/>
        <v>16400000</v>
      </c>
      <c r="L12" s="7"/>
      <c r="M12" s="7"/>
      <c r="N12" s="7"/>
      <c r="O12" s="4"/>
      <c r="P12" s="2"/>
      <c r="Q12" s="5"/>
      <c r="R12" s="354" t="s">
        <v>1</v>
      </c>
      <c r="S12" s="353" t="s">
        <v>62</v>
      </c>
      <c r="T12" s="352">
        <v>100000</v>
      </c>
      <c r="U12" s="5"/>
      <c r="V12" s="390">
        <v>100000</v>
      </c>
      <c r="W12" s="5"/>
      <c r="X12" s="5"/>
      <c r="Y12" s="2"/>
      <c r="Z12" s="4"/>
      <c r="AA12" s="43"/>
      <c r="AB12" s="5"/>
      <c r="AC12" s="367"/>
      <c r="AD12" s="43"/>
      <c r="AE12" s="4"/>
      <c r="AF12" s="2"/>
      <c r="AG12" s="2"/>
      <c r="AH12" s="2"/>
      <c r="AI12" s="2"/>
      <c r="AJ12" s="2"/>
      <c r="AK12" s="2"/>
      <c r="AL12" s="2"/>
      <c r="AM12" s="2"/>
      <c r="AN12" s="2"/>
      <c r="AO12" s="2"/>
      <c r="AP12" s="2"/>
      <c r="AQ12" s="2"/>
      <c r="AR12" s="2"/>
      <c r="AS12" s="2"/>
      <c r="AT12" s="2"/>
      <c r="AU12" s="2"/>
      <c r="AV12" s="2"/>
    </row>
    <row r="13" spans="1:48" s="3" customFormat="1">
      <c r="A13" s="2"/>
      <c r="B13" s="4"/>
      <c r="C13" s="7"/>
      <c r="D13" s="5" t="s">
        <v>63</v>
      </c>
      <c r="E13" s="5" t="s">
        <v>64</v>
      </c>
      <c r="F13" s="5" t="s">
        <v>65</v>
      </c>
      <c r="G13" s="7"/>
      <c r="H13" s="7" t="s">
        <v>66</v>
      </c>
      <c r="I13" s="7" t="s">
        <v>67</v>
      </c>
      <c r="J13" s="7" t="s">
        <v>68</v>
      </c>
      <c r="K13" s="7"/>
      <c r="L13" s="7"/>
      <c r="M13" s="7"/>
      <c r="N13" s="7"/>
      <c r="O13" s="4"/>
      <c r="P13" s="6"/>
      <c r="Q13" s="4"/>
      <c r="R13" s="33" t="s">
        <v>2</v>
      </c>
      <c r="S13" s="4"/>
      <c r="T13" s="4"/>
      <c r="U13" s="4"/>
      <c r="V13" s="365"/>
      <c r="W13" s="4"/>
      <c r="X13" s="4"/>
      <c r="Y13" s="2"/>
      <c r="Z13" s="4"/>
      <c r="AA13" s="43" t="s">
        <v>69</v>
      </c>
      <c r="AB13" s="45">
        <f>'Revenue Summary'!$E$38</f>
        <v>15526392079.971085</v>
      </c>
      <c r="AC13" s="391">
        <f>AB13</f>
        <v>15526392079.971085</v>
      </c>
      <c r="AD13" s="50" t="s">
        <v>50</v>
      </c>
      <c r="AE13" s="4"/>
      <c r="AF13" s="2"/>
      <c r="AG13" s="2"/>
      <c r="AH13" s="2"/>
      <c r="AI13" s="2"/>
      <c r="AJ13" s="2"/>
      <c r="AK13" s="2"/>
      <c r="AL13" s="2"/>
      <c r="AM13" s="2"/>
      <c r="AN13" s="2"/>
      <c r="AO13" s="2"/>
      <c r="AP13" s="2"/>
      <c r="AQ13" s="2"/>
      <c r="AR13" s="2"/>
      <c r="AS13" s="2"/>
      <c r="AT13" s="2"/>
      <c r="AU13" s="2"/>
      <c r="AV13" s="2"/>
    </row>
    <row r="14" spans="1:48" s="3" customFormat="1">
      <c r="A14" s="2"/>
      <c r="B14" s="4"/>
      <c r="C14" s="53" t="s">
        <v>9</v>
      </c>
      <c r="D14" s="13">
        <f>'Billing Determinant Forecast'!E27</f>
        <v>7716</v>
      </c>
      <c r="E14" s="56">
        <f>'Billing Determinant Forecast'!E28</f>
        <v>35132</v>
      </c>
      <c r="F14" s="56">
        <f>'Billing Determinant Forecast'!E29</f>
        <v>3773</v>
      </c>
      <c r="G14" s="7"/>
      <c r="H14" s="13">
        <f>'Billing Determinant Forecast'!H27*$I$2</f>
        <v>4900000</v>
      </c>
      <c r="I14" s="13">
        <f>'Billing Determinant Forecast'!H28*$I$2</f>
        <v>84600000</v>
      </c>
      <c r="J14" s="347">
        <f>'Billing Determinant Forecast'!H29*$I$2</f>
        <v>18300000</v>
      </c>
      <c r="K14" s="349">
        <f t="shared" si="0"/>
        <v>107800000</v>
      </c>
      <c r="L14" s="7"/>
      <c r="M14" s="7"/>
      <c r="N14" s="7"/>
      <c r="O14" s="4"/>
      <c r="P14" s="9"/>
      <c r="Q14" s="4"/>
      <c r="R14" s="33"/>
      <c r="S14" s="4" t="s">
        <v>70</v>
      </c>
      <c r="T14" s="4"/>
      <c r="U14" s="4"/>
      <c r="V14" s="365"/>
      <c r="W14" s="4"/>
      <c r="X14" s="4"/>
      <c r="Y14" s="2"/>
      <c r="Z14" s="4"/>
      <c r="AA14" s="43"/>
      <c r="AB14" s="5"/>
      <c r="AC14" s="367"/>
      <c r="AD14" s="43"/>
      <c r="AE14" s="4"/>
      <c r="AF14" s="2"/>
      <c r="AG14" s="2"/>
      <c r="AH14" s="2"/>
      <c r="AI14" s="2"/>
      <c r="AJ14" s="2"/>
      <c r="AK14" s="2"/>
      <c r="AL14" s="2"/>
      <c r="AM14" s="2"/>
      <c r="AN14" s="2"/>
      <c r="AO14" s="2"/>
      <c r="AP14" s="2"/>
      <c r="AQ14" s="2"/>
      <c r="AR14" s="2"/>
      <c r="AS14" s="2"/>
      <c r="AT14" s="2"/>
      <c r="AU14" s="2"/>
      <c r="AV14" s="2"/>
    </row>
    <row r="15" spans="1:48" s="3" customFormat="1">
      <c r="A15" s="2"/>
      <c r="B15" s="4"/>
      <c r="C15" s="7"/>
      <c r="D15" s="7"/>
      <c r="E15" s="418"/>
      <c r="F15" s="7"/>
      <c r="G15" s="7"/>
      <c r="H15" s="7" t="s">
        <v>71</v>
      </c>
      <c r="I15" s="7"/>
      <c r="J15" s="7"/>
      <c r="K15" s="7"/>
      <c r="L15" s="7"/>
      <c r="M15" s="7"/>
      <c r="N15" s="7"/>
      <c r="O15" s="4"/>
      <c r="P15" s="9"/>
      <c r="Q15" s="4"/>
      <c r="R15" s="33"/>
      <c r="S15" s="4" t="s">
        <v>72</v>
      </c>
      <c r="T15" s="4"/>
      <c r="U15" s="4"/>
      <c r="V15" s="365"/>
      <c r="W15" s="4"/>
      <c r="X15" s="4"/>
      <c r="Y15" s="2"/>
      <c r="Z15" s="4"/>
      <c r="AA15" s="43" t="s">
        <v>73</v>
      </c>
      <c r="AB15" s="45">
        <f>'Revenue Summary'!$E$38</f>
        <v>15526392079.971085</v>
      </c>
      <c r="AC15" s="391">
        <f>AB15</f>
        <v>15526392079.971085</v>
      </c>
      <c r="AD15" s="50" t="s">
        <v>50</v>
      </c>
      <c r="AE15" s="4"/>
      <c r="AF15" s="2"/>
      <c r="AG15" s="2"/>
      <c r="AH15" s="2"/>
      <c r="AI15" s="2"/>
      <c r="AJ15" s="2"/>
      <c r="AK15" s="2"/>
      <c r="AL15" s="2"/>
      <c r="AM15" s="2"/>
      <c r="AN15" s="2"/>
      <c r="AO15" s="2"/>
      <c r="AP15" s="2"/>
      <c r="AQ15" s="2"/>
      <c r="AR15" s="2"/>
      <c r="AS15" s="2"/>
      <c r="AT15" s="2"/>
      <c r="AU15" s="2"/>
      <c r="AV15" s="2"/>
    </row>
    <row r="16" spans="1:48" s="3" customFormat="1">
      <c r="A16" s="2"/>
      <c r="B16" s="4"/>
      <c r="C16" s="7" t="s">
        <v>10</v>
      </c>
      <c r="D16" s="51">
        <f>SUMIF('Billing Determinant Forecast'!$B$25:$B$100,'Billing Units'!$C16,'Billing Determinant Forecast'!E$25:E$100)</f>
        <v>113488</v>
      </c>
      <c r="E16" s="5"/>
      <c r="F16" s="5"/>
      <c r="G16" s="7"/>
      <c r="H16" s="51">
        <f>SUMIF('Billing Determinant Forecast'!$B$25:$B$100,'Billing Units'!$C16,'Billing Determinant Forecast'!F$25:F$100)*$I$2</f>
        <v>2239100000</v>
      </c>
      <c r="I16" s="7"/>
      <c r="J16" s="7"/>
      <c r="K16" s="349">
        <f t="shared" si="0"/>
        <v>2239100000</v>
      </c>
      <c r="L16" s="7"/>
      <c r="M16" s="7"/>
      <c r="N16" s="7"/>
      <c r="O16" s="4"/>
      <c r="P16" s="9"/>
      <c r="Q16" s="4"/>
      <c r="R16" s="4" t="s">
        <v>74</v>
      </c>
      <c r="S16" s="4" t="s">
        <v>75</v>
      </c>
      <c r="T16" s="52">
        <f>SUMIF('Billing Determinant Forecast'!$B$25:$B$100,'Billing Units'!$R16,'Billing Determinant Forecast'!K$25:K$100)/$T$10</f>
        <v>11</v>
      </c>
      <c r="U16" s="4"/>
      <c r="V16" s="378">
        <f t="shared" ref="V16:V22" si="1">T16</f>
        <v>11</v>
      </c>
      <c r="W16" s="4"/>
      <c r="X16" s="4"/>
      <c r="Y16" s="2"/>
      <c r="Z16" s="4"/>
      <c r="AA16" s="5"/>
      <c r="AB16" s="5"/>
      <c r="AC16" s="367"/>
      <c r="AD16" s="43"/>
      <c r="AE16" s="4"/>
      <c r="AF16" s="2"/>
      <c r="AG16" s="2"/>
      <c r="AH16" s="2"/>
      <c r="AI16" s="2"/>
      <c r="AJ16" s="2"/>
      <c r="AK16" s="2"/>
      <c r="AL16" s="2"/>
      <c r="AM16" s="2"/>
      <c r="AN16" s="2"/>
      <c r="AO16" s="2"/>
      <c r="AP16" s="2"/>
      <c r="AQ16" s="2"/>
      <c r="AR16" s="2"/>
      <c r="AS16" s="2"/>
      <c r="AT16" s="2"/>
      <c r="AU16" s="2"/>
      <c r="AV16" s="2"/>
    </row>
    <row r="17" spans="1:48" s="3" customFormat="1" ht="15" customHeight="1">
      <c r="A17" s="2"/>
      <c r="B17" s="4"/>
      <c r="C17" s="7"/>
      <c r="D17" s="7"/>
      <c r="E17" s="5"/>
      <c r="F17" s="5"/>
      <c r="G17" s="7"/>
      <c r="H17" s="7" t="s">
        <v>76</v>
      </c>
      <c r="I17" s="5" t="s">
        <v>45</v>
      </c>
      <c r="J17" s="7"/>
      <c r="K17" s="7"/>
      <c r="L17" s="7"/>
      <c r="M17" s="7" t="s">
        <v>77</v>
      </c>
      <c r="N17" s="7" t="s">
        <v>78</v>
      </c>
      <c r="O17" s="4"/>
      <c r="P17" s="9"/>
      <c r="Q17" s="4"/>
      <c r="R17" s="4" t="s">
        <v>79</v>
      </c>
      <c r="S17" s="4" t="s">
        <v>80</v>
      </c>
      <c r="T17" s="52">
        <f>SUMIF('Billing Determinant Forecast'!$B$25:$B$100,'Billing Units'!$R17,'Billing Determinant Forecast'!K$25:K$100)/$T$10</f>
        <v>10011</v>
      </c>
      <c r="U17" s="4"/>
      <c r="V17" s="378">
        <f t="shared" si="1"/>
        <v>10011</v>
      </c>
      <c r="W17" s="4"/>
      <c r="X17" s="4"/>
      <c r="Y17" s="2"/>
      <c r="Z17" s="4"/>
      <c r="AA17" s="43" t="s">
        <v>81</v>
      </c>
      <c r="AB17" s="45">
        <f>'Revenue Summary'!$E$38</f>
        <v>15526392079.971085</v>
      </c>
      <c r="AC17" s="391">
        <f>AB17</f>
        <v>15526392079.971085</v>
      </c>
      <c r="AD17" s="50" t="s">
        <v>50</v>
      </c>
      <c r="AE17" s="4"/>
      <c r="AF17" s="2"/>
      <c r="AG17" s="2"/>
      <c r="AH17" s="2"/>
      <c r="AI17" s="2"/>
      <c r="AJ17" s="2"/>
      <c r="AK17" s="2"/>
      <c r="AL17" s="2"/>
      <c r="AM17" s="2"/>
      <c r="AN17" s="2"/>
      <c r="AO17" s="2"/>
      <c r="AP17" s="2"/>
      <c r="AQ17" s="2"/>
      <c r="AR17" s="2"/>
      <c r="AS17" s="2"/>
      <c r="AT17" s="2"/>
      <c r="AU17" s="2"/>
      <c r="AV17" s="2"/>
    </row>
    <row r="18" spans="1:48" s="3" customFormat="1">
      <c r="A18" s="2"/>
      <c r="B18" s="4"/>
      <c r="C18" s="7" t="s">
        <v>12</v>
      </c>
      <c r="D18" s="51">
        <f>SUMIF('Billing Determinant Forecast'!$B$25:$B$100,'Billing Units'!$C18,'Billing Determinant Forecast'!E$25:E$100)</f>
        <v>10820</v>
      </c>
      <c r="E18" s="5"/>
      <c r="F18" s="5"/>
      <c r="G18" s="7"/>
      <c r="H18" s="51">
        <f>SUMIF('Billing Determinant Forecast'!$B$25:$B$100,'Billing Units'!$C18,'Billing Determinant Forecast'!G$25:G$100)*$I$2</f>
        <v>3794500000</v>
      </c>
      <c r="I18" s="51">
        <f>SUMIF('Billing Determinant Forecast'!$B$25:$B$100,'Billing Units'!$C18,'Billing Determinant Forecast'!H$25:H$100)*$I$2</f>
        <v>0</v>
      </c>
      <c r="J18" s="7"/>
      <c r="K18" s="349">
        <f t="shared" si="0"/>
        <v>3794500000</v>
      </c>
      <c r="L18" s="7"/>
      <c r="M18" s="51">
        <f>SUMIF('Billing Determinant Forecast'!$B$25:$B$100,'Billing Units'!$C18,'Billing Determinant Forecast'!M$25:M$100)</f>
        <v>14371776</v>
      </c>
      <c r="N18" s="13">
        <f>'Billing Determinant Forecast'!L10</f>
        <v>1440923</v>
      </c>
      <c r="O18" s="4"/>
      <c r="P18" s="2"/>
      <c r="Q18" s="4"/>
      <c r="R18" s="4" t="s">
        <v>82</v>
      </c>
      <c r="S18" s="4" t="s">
        <v>83</v>
      </c>
      <c r="T18" s="52">
        <f>SUMIF('Billing Determinant Forecast'!$B$25:$B$100,'Billing Units'!$R18,'Billing Determinant Forecast'!K$25:K$100)/$T$10</f>
        <v>74170</v>
      </c>
      <c r="U18" s="4"/>
      <c r="V18" s="378">
        <f t="shared" si="1"/>
        <v>74170</v>
      </c>
      <c r="W18" s="4"/>
      <c r="X18" s="4"/>
      <c r="Y18" s="2"/>
      <c r="Z18" s="4"/>
      <c r="AA18" s="5"/>
      <c r="AB18" s="5"/>
      <c r="AC18" s="5"/>
      <c r="AD18" s="5"/>
      <c r="AE18" s="4"/>
      <c r="AF18" s="2"/>
      <c r="AG18" s="2"/>
      <c r="AH18" s="2"/>
      <c r="AI18" s="2"/>
      <c r="AJ18" s="2"/>
      <c r="AK18" s="2"/>
      <c r="AL18" s="2"/>
      <c r="AM18" s="2"/>
      <c r="AN18" s="2"/>
      <c r="AO18" s="2"/>
      <c r="AP18" s="2"/>
      <c r="AQ18" s="2"/>
      <c r="AR18" s="2"/>
      <c r="AS18" s="2"/>
      <c r="AT18" s="2"/>
      <c r="AU18" s="2"/>
      <c r="AV18" s="2"/>
    </row>
    <row r="19" spans="1:48" s="3" customFormat="1">
      <c r="A19" s="2"/>
      <c r="B19" s="4"/>
      <c r="C19" s="7"/>
      <c r="D19" s="7"/>
      <c r="E19" s="5"/>
      <c r="F19" s="5"/>
      <c r="G19" s="7"/>
      <c r="H19" s="7" t="s">
        <v>76</v>
      </c>
      <c r="I19" s="5" t="s">
        <v>45</v>
      </c>
      <c r="J19" s="7"/>
      <c r="K19" s="7"/>
      <c r="L19" s="7"/>
      <c r="M19" s="7" t="s">
        <v>77</v>
      </c>
      <c r="N19" s="7" t="s">
        <v>78</v>
      </c>
      <c r="O19" s="4"/>
      <c r="P19" s="2"/>
      <c r="Q19" s="4"/>
      <c r="R19" s="4" t="s">
        <v>84</v>
      </c>
      <c r="S19" s="4" t="s">
        <v>85</v>
      </c>
      <c r="T19" s="52">
        <f>SUMIF('Billing Determinant Forecast'!$B$25:$B$100,'Billing Units'!$R19,'Billing Determinant Forecast'!K$25:K$100)/$T$10</f>
        <v>610</v>
      </c>
      <c r="U19" s="4"/>
      <c r="V19" s="378">
        <f t="shared" si="1"/>
        <v>610</v>
      </c>
      <c r="W19" s="4"/>
      <c r="X19" s="4"/>
      <c r="Y19" s="2"/>
      <c r="Z19" s="2"/>
      <c r="AA19" s="6"/>
      <c r="AB19" s="6"/>
      <c r="AC19" s="6"/>
      <c r="AD19" s="6"/>
      <c r="AE19" s="2"/>
      <c r="AF19" s="2"/>
      <c r="AG19" s="2"/>
      <c r="AH19" s="2"/>
      <c r="AI19" s="2"/>
      <c r="AJ19" s="2"/>
      <c r="AK19" s="2"/>
      <c r="AL19" s="2"/>
      <c r="AM19" s="2"/>
      <c r="AN19" s="2"/>
      <c r="AO19" s="2"/>
      <c r="AP19" s="2"/>
      <c r="AQ19" s="2"/>
      <c r="AR19" s="2"/>
      <c r="AS19" s="2"/>
      <c r="AT19" s="2"/>
      <c r="AU19" s="2"/>
      <c r="AV19" s="2"/>
    </row>
    <row r="20" spans="1:48" s="3" customFormat="1">
      <c r="A20" s="2"/>
      <c r="B20" s="4"/>
      <c r="C20" s="7" t="s">
        <v>13</v>
      </c>
      <c r="D20" s="51">
        <f>SUMIF('Billing Determinant Forecast'!$B$25:$B$100,'Billing Units'!$C20,'Billing Determinant Forecast'!E$25:E$100)</f>
        <v>617</v>
      </c>
      <c r="E20" s="5"/>
      <c r="F20" s="5"/>
      <c r="G20" s="7"/>
      <c r="H20" s="51">
        <f>SUMIF('Billing Determinant Forecast'!$B$25:$B$100,'Billing Units'!$C20,'Billing Determinant Forecast'!G$25:G$100)*$I$2</f>
        <v>2115984799.9999998</v>
      </c>
      <c r="I20" s="51">
        <f>SUMIF('Billing Determinant Forecast'!$B$25:$B$100,'Billing Units'!$C20,'Billing Determinant Forecast'!H$25:H$100)*$I$2</f>
        <v>508508798.19999993</v>
      </c>
      <c r="J20" s="7"/>
      <c r="K20" s="349">
        <f t="shared" si="0"/>
        <v>2624493598.1999998</v>
      </c>
      <c r="L20" s="7"/>
      <c r="M20" s="51">
        <f>SUMIF('Billing Determinant Forecast'!$B$25:$B$100,'Billing Units'!$C20,'Billing Determinant Forecast'!M$25:M$100)</f>
        <v>7054980</v>
      </c>
      <c r="N20" s="13">
        <f>'Billing Determinant Forecast'!L11</f>
        <v>347823</v>
      </c>
      <c r="O20" s="4"/>
      <c r="P20" s="2"/>
      <c r="Q20" s="4"/>
      <c r="R20" s="4" t="s">
        <v>86</v>
      </c>
      <c r="S20" s="4" t="s">
        <v>87</v>
      </c>
      <c r="T20" s="52">
        <f>SUMIF('Billing Determinant Forecast'!$B$25:$B$100,'Billing Units'!$R20,'Billing Determinant Forecast'!K$25:K$100)/$T$10</f>
        <v>18448</v>
      </c>
      <c r="U20" s="4"/>
      <c r="V20" s="378">
        <f t="shared" si="1"/>
        <v>18448</v>
      </c>
      <c r="W20" s="4"/>
      <c r="X20" s="4"/>
      <c r="Y20" s="2"/>
      <c r="Z20" s="2"/>
      <c r="AA20" s="6"/>
      <c r="AB20" s="6"/>
      <c r="AC20" s="6"/>
      <c r="AD20" s="6"/>
      <c r="AE20" s="2"/>
      <c r="AF20" s="2"/>
      <c r="AG20" s="2"/>
      <c r="AH20" s="2"/>
      <c r="AI20" s="2"/>
      <c r="AJ20" s="2"/>
      <c r="AK20" s="2"/>
      <c r="AL20" s="2"/>
      <c r="AM20" s="2"/>
      <c r="AN20" s="2"/>
      <c r="AO20" s="2"/>
      <c r="AP20" s="2"/>
      <c r="AQ20" s="2"/>
      <c r="AR20" s="2"/>
      <c r="AS20" s="2"/>
      <c r="AT20" s="2"/>
      <c r="AU20" s="2"/>
      <c r="AV20" s="2"/>
    </row>
    <row r="21" spans="1:48" s="3" customFormat="1" ht="15" customHeight="1">
      <c r="A21" s="2"/>
      <c r="B21" s="4"/>
      <c r="C21" s="7"/>
      <c r="D21" s="7"/>
      <c r="E21" s="5"/>
      <c r="F21" s="5"/>
      <c r="G21" s="7"/>
      <c r="H21" s="7" t="s">
        <v>88</v>
      </c>
      <c r="I21" s="7" t="s">
        <v>89</v>
      </c>
      <c r="J21" s="7"/>
      <c r="K21" s="7"/>
      <c r="L21" s="7"/>
      <c r="M21" s="7" t="s">
        <v>88</v>
      </c>
      <c r="N21" s="7" t="s">
        <v>89</v>
      </c>
      <c r="O21" s="4"/>
      <c r="P21" s="2"/>
      <c r="Q21" s="4"/>
      <c r="R21" s="4" t="s">
        <v>90</v>
      </c>
      <c r="S21" s="4" t="s">
        <v>91</v>
      </c>
      <c r="T21" s="52">
        <f>SUMIF('Billing Determinant Forecast'!$B$25:$B$100,'Billing Units'!$R21,'Billing Determinant Forecast'!K$25:K$100)/$T$10</f>
        <v>746</v>
      </c>
      <c r="U21" s="4"/>
      <c r="V21" s="378">
        <f t="shared" si="1"/>
        <v>746</v>
      </c>
      <c r="W21" s="4"/>
      <c r="X21" s="4"/>
      <c r="Y21" s="2"/>
      <c r="Z21" s="2"/>
      <c r="AA21" s="6"/>
      <c r="AB21" s="6"/>
      <c r="AC21" s="6"/>
      <c r="AD21" s="6"/>
      <c r="AE21" s="2"/>
      <c r="AF21" s="2"/>
      <c r="AG21" s="2"/>
      <c r="AH21" s="2"/>
      <c r="AI21" s="2"/>
      <c r="AJ21" s="2"/>
      <c r="AK21" s="2"/>
      <c r="AL21" s="2"/>
      <c r="AM21" s="2"/>
      <c r="AN21" s="2"/>
      <c r="AO21" s="2"/>
      <c r="AP21" s="2"/>
      <c r="AQ21" s="2"/>
      <c r="AR21" s="2"/>
      <c r="AS21" s="2"/>
      <c r="AT21" s="2"/>
      <c r="AU21" s="2"/>
      <c r="AV21" s="2"/>
    </row>
    <row r="22" spans="1:48" s="3" customFormat="1">
      <c r="A22" s="2"/>
      <c r="B22" s="4"/>
      <c r="C22" s="7" t="s">
        <v>14</v>
      </c>
      <c r="D22" s="51">
        <f>SUMIF('Billing Determinant Forecast'!$B$25:$B$100,'Billing Units'!$C22,'Billing Determinant Forecast'!E$25:E$100)</f>
        <v>1</v>
      </c>
      <c r="E22" s="5"/>
      <c r="F22" s="5"/>
      <c r="G22" s="7"/>
      <c r="H22" s="51">
        <f>SUMIF('Billing Determinant Forecast'!$B$25:$B$100,'Billing Units'!$C22,'Billing Determinant Forecast'!I$25:I$100)*$I$2</f>
        <v>2800000</v>
      </c>
      <c r="I22" s="51">
        <f>SUMIF('Billing Determinant Forecast'!$B$25:$B$100,'Billing Units'!$C22,'Billing Determinant Forecast'!J$25:J$100)*$I$2</f>
        <v>3300000</v>
      </c>
      <c r="J22" s="7"/>
      <c r="K22" s="349">
        <f t="shared" si="0"/>
        <v>6100000</v>
      </c>
      <c r="L22" s="7"/>
      <c r="M22" s="51">
        <f>SUMIF('Billing Determinant Forecast'!$B$25:$B$100,'Billing Units'!$C22,'Billing Determinant Forecast'!N$25:N$100)</f>
        <v>19824</v>
      </c>
      <c r="N22" s="51">
        <f>SUMIF('Billing Determinant Forecast'!$B$25:$B$100,'Billing Units'!$C22,'Billing Determinant Forecast'!O$25:O$100)</f>
        <v>18996</v>
      </c>
      <c r="O22" s="4"/>
      <c r="P22" s="2"/>
      <c r="Q22" s="4"/>
      <c r="R22" s="4" t="s">
        <v>92</v>
      </c>
      <c r="S22" s="4" t="s">
        <v>93</v>
      </c>
      <c r="T22" s="52">
        <f>SUMIF('Billing Determinant Forecast'!$B$25:$B$100,'Billing Units'!$R22,'Billing Determinant Forecast'!K$25:K$100)/$T$10</f>
        <v>1136</v>
      </c>
      <c r="U22" s="4"/>
      <c r="V22" s="378">
        <f t="shared" si="1"/>
        <v>1136</v>
      </c>
      <c r="W22" s="4"/>
      <c r="X22" s="4"/>
      <c r="Y22" s="2"/>
      <c r="Z22" s="2"/>
      <c r="AA22" s="6"/>
      <c r="AB22" s="6"/>
      <c r="AC22" s="6"/>
      <c r="AD22" s="6"/>
      <c r="AE22" s="2"/>
      <c r="AF22" s="2"/>
      <c r="AG22" s="2"/>
      <c r="AH22" s="2"/>
      <c r="AI22" s="2"/>
      <c r="AJ22" s="2"/>
      <c r="AK22" s="2"/>
      <c r="AL22" s="2"/>
      <c r="AM22" s="2"/>
      <c r="AN22" s="2"/>
      <c r="AO22" s="2"/>
      <c r="AP22" s="2"/>
      <c r="AQ22" s="2"/>
      <c r="AR22" s="2"/>
      <c r="AS22" s="2"/>
      <c r="AT22" s="2"/>
      <c r="AU22" s="2"/>
      <c r="AV22" s="2"/>
    </row>
    <row r="23" spans="1:48" s="3" customFormat="1">
      <c r="A23" s="2"/>
      <c r="B23" s="4"/>
      <c r="C23" s="7"/>
      <c r="D23" s="7"/>
      <c r="E23" s="5"/>
      <c r="F23" s="5"/>
      <c r="G23" s="7"/>
      <c r="H23" s="7" t="s">
        <v>88</v>
      </c>
      <c r="I23" s="7" t="s">
        <v>89</v>
      </c>
      <c r="J23" s="7"/>
      <c r="K23" s="7"/>
      <c r="L23" s="7"/>
      <c r="M23" s="7" t="s">
        <v>88</v>
      </c>
      <c r="N23" s="7" t="s">
        <v>89</v>
      </c>
      <c r="O23" s="4"/>
      <c r="P23" s="2"/>
      <c r="Q23" s="4"/>
      <c r="R23" s="33"/>
      <c r="S23" s="4"/>
      <c r="T23" s="4"/>
      <c r="U23" s="4"/>
      <c r="V23" s="365"/>
      <c r="W23" s="4"/>
      <c r="X23" s="4"/>
      <c r="Y23" s="2"/>
      <c r="Z23" s="2"/>
      <c r="AA23" s="6"/>
      <c r="AB23" s="6"/>
      <c r="AC23" s="6"/>
      <c r="AD23" s="6"/>
      <c r="AE23" s="2"/>
      <c r="AF23" s="2"/>
      <c r="AG23" s="2"/>
      <c r="AH23" s="2"/>
      <c r="AI23" s="2"/>
      <c r="AJ23" s="2"/>
      <c r="AK23" s="2"/>
      <c r="AL23" s="2"/>
      <c r="AM23" s="2"/>
      <c r="AN23" s="2"/>
      <c r="AO23" s="2"/>
      <c r="AP23" s="2"/>
      <c r="AQ23" s="2"/>
      <c r="AR23" s="2"/>
      <c r="AS23" s="2"/>
      <c r="AT23" s="2"/>
      <c r="AU23" s="2"/>
      <c r="AV23" s="2"/>
    </row>
    <row r="24" spans="1:48" s="3" customFormat="1">
      <c r="A24" s="2"/>
      <c r="B24" s="4"/>
      <c r="C24" s="7" t="s">
        <v>16</v>
      </c>
      <c r="D24" s="51">
        <f>SUMIF('Billing Determinant Forecast'!$B$25:$B$100,'Billing Units'!$C24,'Billing Determinant Forecast'!E$25:E$100)</f>
        <v>16</v>
      </c>
      <c r="E24" s="5"/>
      <c r="F24" s="5"/>
      <c r="G24" s="7"/>
      <c r="H24" s="51">
        <f>SUMIF('Billing Determinant Forecast'!$B$25:$B$100,'Billing Units'!$C24,'Billing Determinant Forecast'!I$25:I$100)*$I$2</f>
        <v>109600000</v>
      </c>
      <c r="I24" s="51">
        <f>SUMIF('Billing Determinant Forecast'!$B$25:$B$100,'Billing Units'!$C24,'Billing Determinant Forecast'!J$25:J$100)*$I$2</f>
        <v>179600000</v>
      </c>
      <c r="J24" s="7"/>
      <c r="K24" s="349">
        <f t="shared" si="0"/>
        <v>289200000</v>
      </c>
      <c r="L24" s="7"/>
      <c r="M24" s="51">
        <f>SUMIF('Billing Determinant Forecast'!$B$25:$B$100,'Billing Units'!$C24,'Billing Determinant Forecast'!N$25:N$100)</f>
        <v>956520</v>
      </c>
      <c r="N24" s="51">
        <f>SUMIF('Billing Determinant Forecast'!$B$25:$B$100,'Billing Units'!$C24,'Billing Determinant Forecast'!O$25:O$100)</f>
        <v>954684</v>
      </c>
      <c r="O24" s="4"/>
      <c r="P24" s="2"/>
      <c r="Q24" s="4"/>
      <c r="R24" s="33"/>
      <c r="S24" s="4" t="s">
        <v>94</v>
      </c>
      <c r="T24" s="4"/>
      <c r="U24" s="4"/>
      <c r="V24" s="365"/>
      <c r="W24" s="4"/>
      <c r="X24" s="4"/>
      <c r="Y24" s="2"/>
      <c r="Z24" s="2"/>
      <c r="AA24" s="6"/>
      <c r="AB24" s="6"/>
      <c r="AC24" s="6"/>
      <c r="AD24" s="6"/>
      <c r="AE24" s="2"/>
      <c r="AF24" s="2"/>
      <c r="AG24" s="2"/>
      <c r="AH24" s="2"/>
      <c r="AI24" s="2"/>
      <c r="AJ24" s="2"/>
      <c r="AK24" s="2"/>
      <c r="AL24" s="2"/>
      <c r="AM24" s="2"/>
      <c r="AN24" s="2"/>
      <c r="AO24" s="2"/>
      <c r="AP24" s="2"/>
      <c r="AQ24" s="2"/>
      <c r="AR24" s="2"/>
      <c r="AS24" s="2"/>
      <c r="AT24" s="2"/>
      <c r="AU24" s="2"/>
      <c r="AV24" s="2"/>
    </row>
    <row r="25" spans="1:48" s="3" customFormat="1">
      <c r="A25" s="2"/>
      <c r="B25" s="4"/>
      <c r="C25" s="5"/>
      <c r="D25" s="7"/>
      <c r="E25" s="5"/>
      <c r="F25" s="5"/>
      <c r="G25" s="7"/>
      <c r="H25" s="7" t="s">
        <v>88</v>
      </c>
      <c r="I25" s="7" t="s">
        <v>89</v>
      </c>
      <c r="J25" s="7"/>
      <c r="K25" s="7"/>
      <c r="L25" s="7"/>
      <c r="M25" s="7" t="s">
        <v>88</v>
      </c>
      <c r="N25" s="7" t="s">
        <v>89</v>
      </c>
      <c r="O25" s="4"/>
      <c r="P25" s="2"/>
      <c r="Q25" s="4"/>
      <c r="R25" s="33"/>
      <c r="S25" s="4" t="s">
        <v>72</v>
      </c>
      <c r="T25" s="4"/>
      <c r="U25" s="4"/>
      <c r="V25" s="365"/>
      <c r="W25" s="4"/>
      <c r="X25" s="4"/>
      <c r="Y25" s="2"/>
      <c r="Z25" s="2"/>
      <c r="AA25" s="6"/>
      <c r="AB25" s="6"/>
      <c r="AC25" s="6"/>
      <c r="AD25" s="6"/>
      <c r="AE25" s="2"/>
      <c r="AF25" s="2"/>
      <c r="AG25" s="2"/>
      <c r="AH25" s="2"/>
      <c r="AI25" s="2"/>
      <c r="AJ25" s="2"/>
      <c r="AK25" s="2"/>
      <c r="AL25" s="2"/>
      <c r="AM25" s="2"/>
      <c r="AN25" s="2"/>
      <c r="AO25" s="2"/>
      <c r="AP25" s="2"/>
      <c r="AQ25" s="2"/>
      <c r="AR25" s="2"/>
      <c r="AS25" s="2"/>
      <c r="AT25" s="2"/>
      <c r="AU25" s="2"/>
      <c r="AV25" s="2"/>
    </row>
    <row r="26" spans="1:48" s="3" customFormat="1" ht="15" customHeight="1">
      <c r="A26" s="2"/>
      <c r="B26" s="4"/>
      <c r="C26" s="62" t="s">
        <v>95</v>
      </c>
      <c r="D26" s="300">
        <f>SUMIF('Billing Determinant Forecast'!$B$25:$B$100,'Billing Units'!$C26,'Billing Determinant Forecast'!E$25:E$100)</f>
        <v>0</v>
      </c>
      <c r="E26" s="66"/>
      <c r="F26" s="66"/>
      <c r="G26" s="67"/>
      <c r="H26" s="300">
        <f>SUMIF('Billing Determinant Forecast'!$B$25:$B$100,'Billing Units'!$C26,'Billing Determinant Forecast'!I$25:I$100)*$I$2</f>
        <v>0</v>
      </c>
      <c r="I26" s="300">
        <f>SUMIF('Billing Determinant Forecast'!$B$25:$B$100,'Billing Units'!$C26,'Billing Determinant Forecast'!J$25:J$100)*$I$2</f>
        <v>0</v>
      </c>
      <c r="J26" s="67"/>
      <c r="K26" s="349">
        <f t="shared" si="0"/>
        <v>0</v>
      </c>
      <c r="L26" s="67"/>
      <c r="M26" s="300">
        <f>SUMIF('Billing Determinant Forecast'!$B$25:$B$100,'Billing Units'!$C26,'Billing Determinant Forecast'!N$25:N$100)</f>
        <v>0</v>
      </c>
      <c r="N26" s="300">
        <f>SUMIF('Billing Determinant Forecast'!$B$25:$B$100,'Billing Units'!$C26,'Billing Determinant Forecast'!O$25:O$100)</f>
        <v>0</v>
      </c>
      <c r="O26" s="4"/>
      <c r="P26" s="2"/>
      <c r="Q26" s="4"/>
      <c r="R26" s="4" t="s">
        <v>96</v>
      </c>
      <c r="S26" s="4" t="s">
        <v>75</v>
      </c>
      <c r="T26" s="52">
        <f>SUMIF('Billing Determinant Forecast'!$B$25:$B$100,'Billing Units'!$R26,'Billing Determinant Forecast'!K$25:K$100)/$T$10</f>
        <v>35</v>
      </c>
      <c r="U26" s="4"/>
      <c r="V26" s="378">
        <f t="shared" ref="V26:V31" si="2">T26</f>
        <v>35</v>
      </c>
      <c r="W26" s="4"/>
      <c r="X26" s="4"/>
      <c r="Y26" s="2"/>
      <c r="Z26" s="2"/>
      <c r="AA26" s="6"/>
      <c r="AB26" s="6"/>
      <c r="AC26" s="6"/>
      <c r="AD26" s="6"/>
      <c r="AE26" s="2"/>
      <c r="AF26" s="2"/>
      <c r="AG26" s="2"/>
      <c r="AH26" s="2"/>
      <c r="AI26" s="2"/>
      <c r="AJ26" s="2"/>
      <c r="AK26" s="2"/>
      <c r="AL26" s="2"/>
      <c r="AM26" s="2"/>
      <c r="AN26" s="2"/>
      <c r="AO26" s="2"/>
      <c r="AP26" s="2"/>
      <c r="AQ26" s="2"/>
      <c r="AR26" s="2"/>
      <c r="AS26" s="2"/>
      <c r="AT26" s="2"/>
      <c r="AU26" s="2"/>
      <c r="AV26" s="2"/>
    </row>
    <row r="27" spans="1:48" s="3" customFormat="1" ht="15" customHeight="1">
      <c r="A27" s="2"/>
      <c r="B27" s="4"/>
      <c r="C27" s="7"/>
      <c r="D27" s="7"/>
      <c r="E27" s="5"/>
      <c r="F27" s="5"/>
      <c r="G27" s="7"/>
      <c r="H27" s="7" t="s">
        <v>97</v>
      </c>
      <c r="I27" s="7" t="s">
        <v>45</v>
      </c>
      <c r="J27" s="7"/>
      <c r="K27" s="7"/>
      <c r="L27" s="7"/>
      <c r="M27" s="7" t="s">
        <v>98</v>
      </c>
      <c r="N27" s="7" t="s">
        <v>78</v>
      </c>
      <c r="O27" s="4"/>
      <c r="P27" s="2"/>
      <c r="Q27" s="4"/>
      <c r="R27" s="4" t="s">
        <v>99</v>
      </c>
      <c r="S27" s="4" t="s">
        <v>80</v>
      </c>
      <c r="T27" s="52">
        <f>SUMIF('Billing Determinant Forecast'!$B$25:$B$100,'Billing Units'!$R27,'Billing Determinant Forecast'!K$25:K$100)/$T$10</f>
        <v>48238</v>
      </c>
      <c r="U27" s="4"/>
      <c r="V27" s="378">
        <f t="shared" si="2"/>
        <v>48238</v>
      </c>
      <c r="W27" s="4"/>
      <c r="X27" s="4"/>
      <c r="Y27" s="2"/>
      <c r="Z27" s="2"/>
      <c r="AA27" s="6"/>
      <c r="AB27" s="6"/>
      <c r="AC27" s="6"/>
      <c r="AD27" s="6"/>
      <c r="AE27" s="2"/>
      <c r="AF27" s="2"/>
      <c r="AG27" s="2"/>
      <c r="AH27" s="2"/>
      <c r="AI27" s="2"/>
      <c r="AJ27" s="2"/>
      <c r="AK27" s="2"/>
      <c r="AL27" s="2"/>
      <c r="AM27" s="2"/>
      <c r="AN27" s="2"/>
      <c r="AO27" s="2"/>
      <c r="AP27" s="2"/>
      <c r="AQ27" s="2"/>
      <c r="AR27" s="2"/>
      <c r="AS27" s="2"/>
      <c r="AT27" s="2"/>
      <c r="AU27" s="2"/>
      <c r="AV27" s="2"/>
    </row>
    <row r="28" spans="1:48" s="3" customFormat="1">
      <c r="A28" s="2"/>
      <c r="B28" s="4"/>
      <c r="C28" s="7" t="s">
        <v>17</v>
      </c>
      <c r="D28" s="51">
        <f>SUMIF('Billing Determinant Forecast'!$B$25:$B$100,'Billing Units'!$C28,'Billing Determinant Forecast'!E$25:E$100)</f>
        <v>1</v>
      </c>
      <c r="E28" s="5"/>
      <c r="F28" s="5"/>
      <c r="G28" s="7"/>
      <c r="H28" s="51">
        <f>SUMIF('Billing Determinant Forecast'!$B$25:$B$100,'Billing Units'!$C28,'Billing Determinant Forecast'!G$25:G$100)*$I$2</f>
        <v>60700000</v>
      </c>
      <c r="I28" s="51">
        <f>SUMIF('Billing Determinant Forecast'!$B$25:$B$100,'Billing Units'!$C28,'Billing Determinant Forecast'!H$25:H$100)*$I$2</f>
        <v>0</v>
      </c>
      <c r="J28" s="7"/>
      <c r="K28" s="349">
        <f t="shared" si="0"/>
        <v>60700000</v>
      </c>
      <c r="L28" s="7"/>
      <c r="M28" s="51">
        <f>SUMIF('Billing Determinant Forecast'!$B$25:$B$100,'Billing Units'!$C28,'Billing Determinant Forecast'!M$25:M$100)</f>
        <v>182244</v>
      </c>
      <c r="N28" s="13"/>
      <c r="O28" s="4"/>
      <c r="P28" s="2"/>
      <c r="Q28" s="4"/>
      <c r="R28" s="4" t="s">
        <v>100</v>
      </c>
      <c r="S28" s="4" t="s">
        <v>83</v>
      </c>
      <c r="T28" s="52">
        <f>SUMIF('Billing Determinant Forecast'!$B$25:$B$100,'Billing Units'!$R28,'Billing Determinant Forecast'!K$25:K$100)/$T$10</f>
        <v>239243</v>
      </c>
      <c r="U28" s="4"/>
      <c r="V28" s="378">
        <f t="shared" si="2"/>
        <v>239243</v>
      </c>
      <c r="W28" s="4"/>
      <c r="X28" s="4"/>
      <c r="Y28" s="2"/>
      <c r="Z28" s="2"/>
      <c r="AA28" s="6"/>
      <c r="AB28" s="6"/>
      <c r="AC28" s="6"/>
      <c r="AD28" s="6"/>
      <c r="AE28" s="2"/>
      <c r="AF28" s="2"/>
      <c r="AG28" s="2"/>
      <c r="AH28" s="2"/>
      <c r="AI28" s="2"/>
      <c r="AJ28" s="2"/>
      <c r="AK28" s="2"/>
      <c r="AL28" s="2"/>
      <c r="AM28" s="2"/>
      <c r="AN28" s="2"/>
      <c r="AO28" s="2"/>
      <c r="AP28" s="2"/>
      <c r="AQ28" s="2"/>
      <c r="AR28" s="2"/>
      <c r="AS28" s="2"/>
      <c r="AT28" s="2"/>
      <c r="AU28" s="2"/>
      <c r="AV28" s="2"/>
    </row>
    <row r="29" spans="1:48" s="3" customFormat="1">
      <c r="A29" s="2"/>
      <c r="B29" s="4"/>
      <c r="C29" s="7"/>
      <c r="D29" s="7"/>
      <c r="E29" s="5"/>
      <c r="F29" s="5"/>
      <c r="G29" s="7"/>
      <c r="H29" s="7" t="s">
        <v>71</v>
      </c>
      <c r="I29" s="7"/>
      <c r="J29" s="7"/>
      <c r="K29" s="7"/>
      <c r="L29" s="7"/>
      <c r="M29" s="7"/>
      <c r="N29" s="7"/>
      <c r="O29" s="4"/>
      <c r="P29" s="2"/>
      <c r="Q29" s="4"/>
      <c r="R29" s="4" t="s">
        <v>101</v>
      </c>
      <c r="S29" s="4" t="s">
        <v>85</v>
      </c>
      <c r="T29" s="52">
        <f>SUMIF('Billing Determinant Forecast'!$B$25:$B$100,'Billing Units'!$R29,'Billing Determinant Forecast'!K$25:K$100)/$T$10</f>
        <v>736</v>
      </c>
      <c r="U29" s="4"/>
      <c r="V29" s="378">
        <f t="shared" si="2"/>
        <v>736</v>
      </c>
      <c r="W29" s="4"/>
      <c r="X29" s="4"/>
      <c r="Y29" s="2"/>
      <c r="Z29" s="2"/>
      <c r="AA29" s="6"/>
      <c r="AB29" s="6"/>
      <c r="AC29" s="6"/>
      <c r="AD29" s="6"/>
      <c r="AE29" s="2"/>
      <c r="AF29" s="2"/>
      <c r="AG29" s="2"/>
      <c r="AH29" s="2"/>
      <c r="AI29" s="2"/>
      <c r="AJ29" s="2"/>
      <c r="AK29" s="2"/>
      <c r="AL29" s="2"/>
      <c r="AM29" s="2"/>
      <c r="AN29" s="2"/>
      <c r="AO29" s="2"/>
      <c r="AP29" s="2"/>
      <c r="AQ29" s="2"/>
      <c r="AR29" s="2"/>
      <c r="AS29" s="2"/>
      <c r="AT29" s="2"/>
      <c r="AU29" s="2"/>
      <c r="AV29" s="2"/>
    </row>
    <row r="30" spans="1:48" s="3" customFormat="1">
      <c r="A30" s="2"/>
      <c r="B30" s="4"/>
      <c r="C30" s="7" t="s">
        <v>19</v>
      </c>
      <c r="D30" s="51">
        <f>SUMIF('Billing Determinant Forecast'!$B$25:$B$100,'Billing Units'!$C30,'Billing Determinant Forecast'!E$25:E$100)</f>
        <v>1082</v>
      </c>
      <c r="E30" s="5"/>
      <c r="F30" s="5"/>
      <c r="G30" s="7"/>
      <c r="H30" s="51">
        <f>SUMIF('Billing Determinant Forecast'!$B$25:$B$100,'Billing Units'!$C30,'Billing Determinant Forecast'!F$25:F$100)*$I$2</f>
        <v>23109614.930104855</v>
      </c>
      <c r="I30" s="7"/>
      <c r="J30" s="7"/>
      <c r="K30" s="349">
        <f t="shared" si="0"/>
        <v>23109614.930104855</v>
      </c>
      <c r="L30" s="7"/>
      <c r="M30" s="7"/>
      <c r="N30" s="7"/>
      <c r="O30" s="4"/>
      <c r="P30" s="2"/>
      <c r="Q30" s="4"/>
      <c r="R30" s="4" t="s">
        <v>102</v>
      </c>
      <c r="S30" s="4" t="s">
        <v>87</v>
      </c>
      <c r="T30" s="52">
        <f>SUMIF('Billing Determinant Forecast'!$B$25:$B$100,'Billing Units'!$R30,'Billing Determinant Forecast'!K$25:K$100)/$T$10</f>
        <v>36502</v>
      </c>
      <c r="U30" s="4"/>
      <c r="V30" s="378">
        <f t="shared" si="2"/>
        <v>36502</v>
      </c>
      <c r="W30" s="4"/>
      <c r="X30" s="4"/>
      <c r="Y30" s="2"/>
      <c r="Z30" s="2"/>
      <c r="AA30" s="6"/>
      <c r="AB30" s="6"/>
      <c r="AC30" s="6"/>
      <c r="AD30" s="6"/>
      <c r="AE30" s="2"/>
      <c r="AF30" s="2"/>
      <c r="AG30" s="2"/>
      <c r="AH30" s="2"/>
      <c r="AI30" s="2"/>
      <c r="AJ30" s="2"/>
      <c r="AK30" s="2"/>
      <c r="AL30" s="2"/>
      <c r="AM30" s="2"/>
      <c r="AN30" s="2"/>
      <c r="AO30" s="2"/>
      <c r="AP30" s="2"/>
      <c r="AQ30" s="2"/>
      <c r="AR30" s="2"/>
      <c r="AS30" s="2"/>
      <c r="AT30" s="2"/>
      <c r="AU30" s="2"/>
      <c r="AV30" s="2"/>
    </row>
    <row r="31" spans="1:48" s="3" customFormat="1">
      <c r="A31" s="2"/>
      <c r="B31" s="4"/>
      <c r="C31" s="7"/>
      <c r="D31" s="7"/>
      <c r="E31" s="5"/>
      <c r="F31" s="5"/>
      <c r="G31" s="7"/>
      <c r="H31" s="7" t="s">
        <v>103</v>
      </c>
      <c r="I31" s="7" t="s">
        <v>104</v>
      </c>
      <c r="J31" s="7" t="s">
        <v>105</v>
      </c>
      <c r="K31" s="7"/>
      <c r="L31" s="7"/>
      <c r="M31" s="7"/>
      <c r="N31" s="7"/>
      <c r="O31" s="4"/>
      <c r="P31" s="2"/>
      <c r="Q31" s="4"/>
      <c r="R31" s="4" t="s">
        <v>106</v>
      </c>
      <c r="S31" s="4" t="s">
        <v>91</v>
      </c>
      <c r="T31" s="52">
        <f>SUMIF('Billing Determinant Forecast'!$B$25:$B$100,'Billing Units'!$R31,'Billing Determinant Forecast'!K$25:K$100)/$T$10</f>
        <v>139</v>
      </c>
      <c r="U31" s="4"/>
      <c r="V31" s="378">
        <f t="shared" si="2"/>
        <v>139</v>
      </c>
      <c r="W31" s="4"/>
      <c r="X31" s="4"/>
      <c r="Y31" s="2"/>
      <c r="Z31" s="2"/>
      <c r="AA31" s="6"/>
      <c r="AB31" s="6"/>
      <c r="AC31" s="6"/>
      <c r="AD31" s="6"/>
      <c r="AE31" s="2"/>
      <c r="AF31" s="2"/>
      <c r="AG31" s="2"/>
      <c r="AH31" s="2"/>
      <c r="AI31" s="2"/>
      <c r="AJ31" s="2"/>
      <c r="AK31" s="2"/>
      <c r="AL31" s="2"/>
      <c r="AM31" s="2"/>
      <c r="AN31" s="2"/>
      <c r="AO31" s="2"/>
      <c r="AP31" s="2"/>
      <c r="AQ31" s="2"/>
      <c r="AR31" s="2"/>
      <c r="AS31" s="2"/>
      <c r="AT31" s="2"/>
      <c r="AU31" s="2"/>
      <c r="AV31" s="2"/>
    </row>
    <row r="32" spans="1:48" s="3" customFormat="1">
      <c r="A32" s="2"/>
      <c r="B32" s="4"/>
      <c r="C32" s="7" t="s">
        <v>21</v>
      </c>
      <c r="D32" s="51">
        <f>SUM('Billing Determinant Forecast'!K37:K39)</f>
        <v>2465</v>
      </c>
      <c r="E32" s="5"/>
      <c r="F32" s="5"/>
      <c r="G32" s="7"/>
      <c r="H32" s="13"/>
      <c r="I32" s="13"/>
      <c r="J32" s="348">
        <f>SUMIF('Billing Determinant Forecast'!$B$25:$B$100,'Billing Units'!$C32,'Billing Determinant Forecast'!F$25:F$100)*$I$2</f>
        <v>16450000</v>
      </c>
      <c r="K32" s="349">
        <f t="shared" si="0"/>
        <v>16450000</v>
      </c>
      <c r="L32" s="7"/>
      <c r="M32" s="7"/>
      <c r="N32" s="7"/>
      <c r="O32" s="4"/>
      <c r="P32" s="2"/>
      <c r="Q32" s="4"/>
      <c r="R32" s="33"/>
      <c r="S32" s="4"/>
      <c r="T32" s="4"/>
      <c r="U32" s="4"/>
      <c r="V32" s="365"/>
      <c r="W32" s="4"/>
      <c r="X32" s="4"/>
      <c r="Y32" s="2"/>
      <c r="Z32" s="2"/>
      <c r="AA32" s="6"/>
      <c r="AB32" s="6"/>
      <c r="AC32" s="6"/>
      <c r="AD32" s="6"/>
      <c r="AE32" s="2"/>
      <c r="AF32" s="2"/>
      <c r="AG32" s="2"/>
      <c r="AH32" s="2"/>
      <c r="AI32" s="2"/>
      <c r="AJ32" s="2"/>
      <c r="AK32" s="2"/>
      <c r="AL32" s="2"/>
      <c r="AM32" s="2"/>
      <c r="AN32" s="2"/>
      <c r="AO32" s="2"/>
      <c r="AP32" s="2"/>
      <c r="AQ32" s="2"/>
      <c r="AR32" s="2"/>
      <c r="AS32" s="2"/>
      <c r="AT32" s="2"/>
      <c r="AU32" s="2"/>
      <c r="AV32" s="2"/>
    </row>
    <row r="33" spans="1:48" s="3" customFormat="1">
      <c r="A33" s="2"/>
      <c r="B33" s="4"/>
      <c r="C33" s="7"/>
      <c r="D33" s="5"/>
      <c r="E33" s="5"/>
      <c r="F33" s="5"/>
      <c r="G33" s="7"/>
      <c r="H33" s="5" t="s">
        <v>71</v>
      </c>
      <c r="I33" s="5"/>
      <c r="J33" s="5"/>
      <c r="K33" s="7"/>
      <c r="L33" s="7"/>
      <c r="M33" s="7"/>
      <c r="N33" s="7"/>
      <c r="O33" s="4"/>
      <c r="P33" s="2"/>
      <c r="Q33" s="4"/>
      <c r="R33" s="33"/>
      <c r="S33" s="4" t="s">
        <v>107</v>
      </c>
      <c r="T33" s="4"/>
      <c r="U33" s="4"/>
      <c r="V33" s="365"/>
      <c r="W33" s="4"/>
      <c r="X33" s="4"/>
      <c r="Y33" s="2"/>
      <c r="Z33" s="2"/>
      <c r="AA33" s="6"/>
      <c r="AB33" s="6"/>
      <c r="AC33" s="6"/>
      <c r="AD33" s="6"/>
      <c r="AE33" s="2"/>
      <c r="AF33" s="2"/>
      <c r="AG33" s="2"/>
      <c r="AH33" s="2"/>
      <c r="AI33" s="2"/>
      <c r="AJ33" s="2"/>
      <c r="AK33" s="2"/>
      <c r="AL33" s="2"/>
      <c r="AM33" s="2"/>
      <c r="AN33" s="2"/>
      <c r="AO33" s="2"/>
      <c r="AP33" s="2"/>
      <c r="AQ33" s="2"/>
      <c r="AR33" s="2"/>
      <c r="AS33" s="2"/>
      <c r="AT33" s="2"/>
      <c r="AU33" s="2"/>
      <c r="AV33" s="2"/>
    </row>
    <row r="34" spans="1:48" s="3" customFormat="1">
      <c r="A34" s="2"/>
      <c r="B34" s="4"/>
      <c r="C34" s="7" t="s">
        <v>22</v>
      </c>
      <c r="D34" s="51">
        <f>'Billing Determinant Forecast'!K40</f>
        <v>923</v>
      </c>
      <c r="E34" s="5"/>
      <c r="F34" s="5"/>
      <c r="G34" s="7"/>
      <c r="H34" s="51">
        <f>SUMIF('Billing Determinant Forecast'!$B$25:$B$100,'Billing Units'!$C34,'Billing Determinant Forecast'!F$25:F$100)*$I$2</f>
        <v>150000</v>
      </c>
      <c r="I34" s="5"/>
      <c r="J34" s="5"/>
      <c r="K34" s="349">
        <f t="shared" si="0"/>
        <v>150000</v>
      </c>
      <c r="L34" s="7"/>
      <c r="M34" s="7"/>
      <c r="N34" s="7"/>
      <c r="O34" s="4"/>
      <c r="P34" s="2"/>
      <c r="Q34" s="4"/>
      <c r="R34" s="33"/>
      <c r="S34" s="4" t="s">
        <v>108</v>
      </c>
      <c r="T34" s="4"/>
      <c r="U34" s="4"/>
      <c r="V34" s="365"/>
      <c r="W34" s="4"/>
      <c r="X34" s="4"/>
      <c r="Y34" s="2"/>
      <c r="Z34" s="2"/>
      <c r="AA34" s="6"/>
      <c r="AB34" s="6"/>
      <c r="AC34" s="6"/>
      <c r="AD34" s="6"/>
      <c r="AE34" s="2"/>
      <c r="AF34" s="2"/>
      <c r="AG34" s="2"/>
      <c r="AH34" s="2"/>
      <c r="AI34" s="2"/>
      <c r="AJ34" s="2"/>
      <c r="AK34" s="2"/>
      <c r="AL34" s="2"/>
      <c r="AM34" s="2"/>
      <c r="AN34" s="2"/>
      <c r="AO34" s="2"/>
      <c r="AP34" s="2"/>
      <c r="AQ34" s="2"/>
      <c r="AR34" s="2"/>
      <c r="AS34" s="2"/>
      <c r="AT34" s="2"/>
      <c r="AU34" s="2"/>
      <c r="AV34" s="2"/>
    </row>
    <row r="35" spans="1:48" s="3" customFormat="1">
      <c r="A35" s="2"/>
      <c r="B35" s="4"/>
      <c r="C35" s="7"/>
      <c r="D35" s="5"/>
      <c r="E35" s="5"/>
      <c r="F35" s="5"/>
      <c r="G35" s="7"/>
      <c r="H35" s="5" t="s">
        <v>71</v>
      </c>
      <c r="I35" s="5"/>
      <c r="J35" s="5"/>
      <c r="K35" s="7"/>
      <c r="L35" s="7"/>
      <c r="M35" s="7" t="s">
        <v>98</v>
      </c>
      <c r="N35" s="7" t="s">
        <v>78</v>
      </c>
      <c r="O35" s="4"/>
      <c r="P35" s="2"/>
      <c r="Q35" s="4"/>
      <c r="R35" s="4" t="s">
        <v>109</v>
      </c>
      <c r="S35" s="4" t="s">
        <v>110</v>
      </c>
      <c r="T35" s="52">
        <f>SUMIF('Billing Determinant Forecast'!$B$25:$B$100,'Billing Units'!$R35,'Billing Determinant Forecast'!K$25:K$100)/$T$10</f>
        <v>0</v>
      </c>
      <c r="U35" s="4"/>
      <c r="V35" s="378">
        <f t="shared" ref="V35:V39" si="3">T35</f>
        <v>0</v>
      </c>
      <c r="W35" s="4"/>
      <c r="X35" s="4"/>
      <c r="Y35" s="2"/>
      <c r="Z35" s="2"/>
      <c r="AA35" s="6"/>
      <c r="AB35" s="6"/>
      <c r="AC35" s="6"/>
      <c r="AD35" s="6"/>
      <c r="AE35" s="2"/>
      <c r="AF35" s="2"/>
      <c r="AG35" s="2"/>
      <c r="AH35" s="2"/>
      <c r="AI35" s="2"/>
      <c r="AJ35" s="2"/>
      <c r="AK35" s="2"/>
      <c r="AL35" s="2"/>
      <c r="AM35" s="2"/>
      <c r="AN35" s="2"/>
      <c r="AO35" s="2"/>
      <c r="AP35" s="2"/>
      <c r="AQ35" s="2"/>
      <c r="AR35" s="2"/>
      <c r="AS35" s="2"/>
      <c r="AT35" s="2"/>
      <c r="AU35" s="2"/>
      <c r="AV35" s="2"/>
    </row>
    <row r="36" spans="1:48" s="3" customFormat="1">
      <c r="A36" s="2"/>
      <c r="B36" s="4"/>
      <c r="C36" s="7" t="s">
        <v>24</v>
      </c>
      <c r="D36" s="51">
        <f>SUMIF('Billing Determinant Forecast'!$B$25:$B$100,'Billing Units'!$C36,'Billing Determinant Forecast'!E$25:E$100)</f>
        <v>2</v>
      </c>
      <c r="E36" s="5"/>
      <c r="F36" s="5"/>
      <c r="G36" s="7"/>
      <c r="H36" s="51">
        <f>SUMIF('Billing Determinant Forecast'!$B$25:$B$100,'Billing Units'!$C36,'Billing Determinant Forecast'!F$25:F$100)*$I$2</f>
        <v>4200000</v>
      </c>
      <c r="I36" s="5"/>
      <c r="J36" s="5"/>
      <c r="K36" s="349">
        <f t="shared" si="0"/>
        <v>4200000</v>
      </c>
      <c r="L36" s="7"/>
      <c r="M36" s="13">
        <f>'Billing Determinant Forecast'!K12</f>
        <v>123625</v>
      </c>
      <c r="N36" s="13"/>
      <c r="O36" s="4"/>
      <c r="P36" s="2"/>
      <c r="Q36" s="4"/>
      <c r="R36" s="4" t="s">
        <v>111</v>
      </c>
      <c r="S36" s="4" t="s">
        <v>112</v>
      </c>
      <c r="T36" s="52">
        <f>SUMIF('Billing Determinant Forecast'!$B$25:$B$100,'Billing Units'!$R36,'Billing Determinant Forecast'!K$25:K$100)/$T$10</f>
        <v>4275</v>
      </c>
      <c r="U36" s="4"/>
      <c r="V36" s="378">
        <f t="shared" si="3"/>
        <v>4275</v>
      </c>
      <c r="W36" s="4"/>
      <c r="X36" s="4"/>
      <c r="Y36" s="2"/>
      <c r="Z36" s="2"/>
      <c r="AA36" s="6"/>
      <c r="AB36" s="6"/>
      <c r="AC36" s="6"/>
      <c r="AD36" s="6"/>
      <c r="AE36" s="2"/>
      <c r="AF36" s="2"/>
      <c r="AG36" s="2"/>
      <c r="AH36" s="2"/>
      <c r="AI36" s="2"/>
      <c r="AJ36" s="2"/>
      <c r="AK36" s="2"/>
      <c r="AL36" s="2"/>
      <c r="AM36" s="2"/>
      <c r="AN36" s="2"/>
      <c r="AO36" s="2"/>
      <c r="AP36" s="2"/>
      <c r="AQ36" s="2"/>
      <c r="AR36" s="2"/>
      <c r="AS36" s="2"/>
      <c r="AT36" s="2"/>
      <c r="AU36" s="2"/>
      <c r="AV36" s="2"/>
    </row>
    <row r="37" spans="1:48" s="3" customFormat="1">
      <c r="A37" s="2"/>
      <c r="B37" s="4"/>
      <c r="C37" s="5"/>
      <c r="D37" s="5"/>
      <c r="E37" s="5"/>
      <c r="F37" s="5"/>
      <c r="G37" s="5"/>
      <c r="H37" s="5"/>
      <c r="I37" s="5"/>
      <c r="J37" s="5"/>
      <c r="K37" s="5"/>
      <c r="L37" s="7"/>
      <c r="M37" s="7"/>
      <c r="N37" s="7"/>
      <c r="O37" s="4"/>
      <c r="P37" s="2"/>
      <c r="Q37" s="4"/>
      <c r="R37" s="4" t="s">
        <v>113</v>
      </c>
      <c r="S37" s="4" t="s">
        <v>114</v>
      </c>
      <c r="T37" s="52">
        <f>SUMIF('Billing Determinant Forecast'!$B$25:$B$100,'Billing Units'!$R37,'Billing Determinant Forecast'!K$25:K$100)/$T$10</f>
        <v>1380</v>
      </c>
      <c r="U37" s="4"/>
      <c r="V37" s="378">
        <f t="shared" si="3"/>
        <v>1380</v>
      </c>
      <c r="W37" s="4"/>
      <c r="X37" s="4"/>
      <c r="Y37" s="2"/>
      <c r="Z37" s="2"/>
      <c r="AA37" s="6"/>
      <c r="AB37" s="6"/>
      <c r="AC37" s="6"/>
      <c r="AD37" s="6"/>
      <c r="AE37" s="2"/>
      <c r="AF37" s="2"/>
      <c r="AG37" s="2"/>
      <c r="AH37" s="2"/>
      <c r="AI37" s="2"/>
      <c r="AJ37" s="2"/>
      <c r="AK37" s="2"/>
      <c r="AL37" s="2"/>
      <c r="AM37" s="2"/>
      <c r="AN37" s="2"/>
      <c r="AO37" s="2"/>
      <c r="AP37" s="2"/>
      <c r="AQ37" s="2"/>
      <c r="AR37" s="2"/>
      <c r="AS37" s="2"/>
      <c r="AT37" s="2"/>
      <c r="AU37" s="2"/>
      <c r="AV37" s="2"/>
    </row>
    <row r="38" spans="1:48" s="3" customFormat="1">
      <c r="A38" s="2"/>
      <c r="B38" s="2"/>
      <c r="C38" s="2"/>
      <c r="D38" s="2"/>
      <c r="E38" s="2"/>
      <c r="F38" s="2"/>
      <c r="G38" s="2"/>
      <c r="H38" s="2"/>
      <c r="I38" s="2"/>
      <c r="J38" s="2"/>
      <c r="K38" s="2"/>
      <c r="L38" s="2"/>
      <c r="M38" s="2"/>
      <c r="N38" s="2"/>
      <c r="O38" s="2"/>
      <c r="P38" s="2"/>
      <c r="Q38" s="4"/>
      <c r="R38" s="4" t="s">
        <v>115</v>
      </c>
      <c r="S38" s="4" t="s">
        <v>116</v>
      </c>
      <c r="T38" s="52">
        <f>SUMIF('Billing Determinant Forecast'!$B$25:$B$100,'Billing Units'!$R38,'Billing Determinant Forecast'!K$25:K$100)/$T$10</f>
        <v>523</v>
      </c>
      <c r="U38" s="4"/>
      <c r="V38" s="378">
        <f t="shared" si="3"/>
        <v>523</v>
      </c>
      <c r="W38" s="4"/>
      <c r="X38" s="4"/>
      <c r="Y38" s="2"/>
      <c r="Z38" s="2"/>
      <c r="AA38" s="6"/>
      <c r="AB38" s="6"/>
      <c r="AC38" s="6"/>
      <c r="AD38" s="6"/>
      <c r="AE38" s="2"/>
      <c r="AF38" s="2"/>
      <c r="AG38" s="2"/>
      <c r="AH38" s="2"/>
      <c r="AI38" s="2"/>
      <c r="AJ38" s="2"/>
      <c r="AK38" s="2"/>
      <c r="AL38" s="2"/>
      <c r="AM38" s="2"/>
      <c r="AN38" s="2"/>
      <c r="AO38" s="2"/>
      <c r="AP38" s="2"/>
      <c r="AQ38" s="2"/>
      <c r="AR38" s="2"/>
      <c r="AS38" s="2"/>
      <c r="AT38" s="2"/>
      <c r="AU38" s="2"/>
      <c r="AV38" s="2"/>
    </row>
    <row r="39" spans="1:48" s="3" customFormat="1">
      <c r="A39" s="2"/>
      <c r="B39" s="2"/>
      <c r="C39" s="2"/>
      <c r="D39" s="2"/>
      <c r="E39" s="2"/>
      <c r="F39" s="2"/>
      <c r="G39" s="2"/>
      <c r="H39" s="2"/>
      <c r="I39" s="2"/>
      <c r="J39" s="2"/>
      <c r="K39" s="2"/>
      <c r="L39" s="2"/>
      <c r="M39" s="2"/>
      <c r="N39" s="2"/>
      <c r="O39" s="2"/>
      <c r="P39" s="2"/>
      <c r="Q39" s="4"/>
      <c r="R39" s="4" t="s">
        <v>117</v>
      </c>
      <c r="S39" s="4" t="s">
        <v>118</v>
      </c>
      <c r="T39" s="52">
        <f>SUMIF('Billing Determinant Forecast'!$B$25:$B$100,'Billing Units'!$R39,'Billing Determinant Forecast'!K$25:K$100)/$T$10</f>
        <v>4</v>
      </c>
      <c r="U39" s="4"/>
      <c r="V39" s="378">
        <f t="shared" si="3"/>
        <v>4</v>
      </c>
      <c r="W39" s="4"/>
      <c r="X39" s="4"/>
      <c r="Y39" s="2"/>
      <c r="Z39" s="2"/>
      <c r="AA39" s="6"/>
      <c r="AB39" s="6"/>
      <c r="AC39" s="6"/>
      <c r="AD39" s="6"/>
      <c r="AE39" s="2"/>
      <c r="AF39" s="2"/>
      <c r="AG39" s="2"/>
      <c r="AH39" s="2"/>
      <c r="AI39" s="2"/>
      <c r="AJ39" s="2"/>
      <c r="AK39" s="2"/>
      <c r="AL39" s="2"/>
      <c r="AM39" s="2"/>
      <c r="AN39" s="2"/>
      <c r="AO39" s="2"/>
      <c r="AP39" s="2"/>
      <c r="AQ39" s="2"/>
      <c r="AR39" s="2"/>
      <c r="AS39" s="2"/>
      <c r="AT39" s="2"/>
      <c r="AU39" s="2"/>
      <c r="AV39" s="2"/>
    </row>
    <row r="40" spans="1:48" s="3" customFormat="1">
      <c r="A40" s="2"/>
      <c r="B40" s="2"/>
      <c r="C40" s="2"/>
      <c r="D40" s="2"/>
      <c r="E40" s="2"/>
      <c r="F40" s="2"/>
      <c r="G40" s="2"/>
      <c r="H40" s="2"/>
      <c r="I40" s="2"/>
      <c r="J40" s="2"/>
      <c r="K40" s="2"/>
      <c r="L40" s="2"/>
      <c r="M40" s="2"/>
      <c r="N40" s="2"/>
      <c r="O40" s="2"/>
      <c r="P40" s="2"/>
      <c r="Q40" s="4"/>
      <c r="R40" s="33"/>
      <c r="S40" s="4" t="s">
        <v>119</v>
      </c>
      <c r="T40" s="4"/>
      <c r="U40" s="4"/>
      <c r="V40" s="365"/>
      <c r="W40" s="4"/>
      <c r="X40" s="4"/>
      <c r="Y40" s="2"/>
      <c r="Z40" s="2"/>
      <c r="AA40" s="6"/>
      <c r="AB40" s="6"/>
      <c r="AC40" s="6"/>
      <c r="AD40" s="6"/>
      <c r="AE40" s="2"/>
      <c r="AF40" s="2"/>
      <c r="AG40" s="2"/>
      <c r="AH40" s="2"/>
      <c r="AI40" s="2"/>
      <c r="AJ40" s="2"/>
      <c r="AK40" s="2"/>
      <c r="AL40" s="2"/>
      <c r="AM40" s="2"/>
      <c r="AN40" s="2"/>
      <c r="AO40" s="2"/>
      <c r="AP40" s="2"/>
      <c r="AQ40" s="2"/>
      <c r="AR40" s="2"/>
      <c r="AS40" s="2"/>
      <c r="AT40" s="2"/>
      <c r="AU40" s="2"/>
      <c r="AV40" s="2"/>
    </row>
    <row r="41" spans="1:48" s="3" customFormat="1">
      <c r="A41" s="2"/>
      <c r="B41" s="4"/>
      <c r="C41" s="1616" t="s">
        <v>120</v>
      </c>
      <c r="D41" s="1616"/>
      <c r="E41" s="1616"/>
      <c r="F41" s="4"/>
      <c r="G41" s="4"/>
      <c r="H41" s="4"/>
      <c r="I41" s="4"/>
      <c r="J41" s="4"/>
      <c r="K41" s="4"/>
      <c r="L41" s="4"/>
      <c r="M41" s="4"/>
      <c r="N41" s="4"/>
      <c r="O41" s="4"/>
      <c r="P41" s="2"/>
      <c r="Q41" s="4"/>
      <c r="R41" s="4" t="s">
        <v>121</v>
      </c>
      <c r="S41" s="4" t="s">
        <v>110</v>
      </c>
      <c r="T41" s="52">
        <f>SUMIF('Billing Determinant Forecast'!$B$25:$B$100,'Billing Units'!$R41,'Billing Determinant Forecast'!K$25:K$100)/$T$10</f>
        <v>2860</v>
      </c>
      <c r="U41" s="4"/>
      <c r="V41" s="378">
        <f t="shared" ref="V41:V44" si="4">T41</f>
        <v>2860</v>
      </c>
      <c r="W41" s="4"/>
      <c r="X41" s="4"/>
      <c r="Y41" s="2"/>
      <c r="Z41" s="2"/>
      <c r="AA41" s="6"/>
      <c r="AB41" s="6"/>
      <c r="AC41" s="6"/>
      <c r="AD41" s="6"/>
      <c r="AE41" s="2"/>
      <c r="AF41" s="2"/>
      <c r="AG41" s="2"/>
      <c r="AH41" s="2"/>
      <c r="AI41" s="2"/>
      <c r="AJ41" s="2"/>
      <c r="AK41" s="2"/>
      <c r="AL41" s="2"/>
      <c r="AM41" s="2"/>
      <c r="AN41" s="2"/>
      <c r="AO41" s="2"/>
      <c r="AP41" s="2"/>
      <c r="AQ41" s="2"/>
      <c r="AR41" s="2"/>
      <c r="AS41" s="2"/>
      <c r="AT41" s="2"/>
      <c r="AU41" s="2"/>
      <c r="AV41" s="2"/>
    </row>
    <row r="42" spans="1:48" s="3" customFormat="1" ht="13.05" customHeight="1">
      <c r="A42" s="2"/>
      <c r="B42" s="4"/>
      <c r="C42" s="4"/>
      <c r="D42" s="1621" t="s">
        <v>4</v>
      </c>
      <c r="E42" s="1621"/>
      <c r="F42" s="1621"/>
      <c r="G42" s="10"/>
      <c r="H42" s="1613" t="s">
        <v>35</v>
      </c>
      <c r="I42" s="1614"/>
      <c r="J42" s="1615"/>
      <c r="K42" s="10"/>
      <c r="L42" s="10"/>
      <c r="M42" s="1620" t="s">
        <v>36</v>
      </c>
      <c r="N42" s="1615"/>
      <c r="O42" s="4"/>
      <c r="P42" s="2"/>
      <c r="Q42" s="4"/>
      <c r="R42" s="4" t="s">
        <v>122</v>
      </c>
      <c r="S42" s="4" t="s">
        <v>112</v>
      </c>
      <c r="T42" s="52">
        <f>SUMIF('Billing Determinant Forecast'!$B$25:$B$100,'Billing Units'!$R42,'Billing Determinant Forecast'!K$25:K$100)/$T$10</f>
        <v>4205</v>
      </c>
      <c r="U42" s="4"/>
      <c r="V42" s="378">
        <f t="shared" si="4"/>
        <v>4205</v>
      </c>
      <c r="W42" s="4"/>
      <c r="X42" s="4"/>
      <c r="Y42" s="2"/>
      <c r="Z42" s="2"/>
      <c r="AA42" s="6"/>
      <c r="AB42" s="6"/>
      <c r="AC42" s="6"/>
      <c r="AD42" s="6"/>
      <c r="AE42" s="2"/>
      <c r="AF42" s="2"/>
      <c r="AG42" s="2"/>
      <c r="AH42" s="2"/>
      <c r="AI42" s="2"/>
      <c r="AJ42" s="2"/>
      <c r="AK42" s="2"/>
      <c r="AL42" s="2"/>
      <c r="AM42" s="2"/>
      <c r="AN42" s="2"/>
      <c r="AO42" s="2"/>
      <c r="AP42" s="2"/>
      <c r="AQ42" s="2"/>
      <c r="AR42" s="2"/>
      <c r="AS42" s="2"/>
      <c r="AT42" s="2"/>
      <c r="AU42" s="2"/>
      <c r="AV42" s="2"/>
    </row>
    <row r="43" spans="1:48" s="3" customFormat="1">
      <c r="A43" s="2"/>
      <c r="B43" s="4"/>
      <c r="C43" s="4"/>
      <c r="D43" s="5"/>
      <c r="E43" s="5"/>
      <c r="F43" s="5"/>
      <c r="G43" s="5"/>
      <c r="H43" s="5" t="s">
        <v>44</v>
      </c>
      <c r="I43" s="5" t="s">
        <v>45</v>
      </c>
      <c r="J43" s="5"/>
      <c r="K43" s="5" t="s">
        <v>46</v>
      </c>
      <c r="L43" s="5"/>
      <c r="M43" s="5"/>
      <c r="N43" s="5"/>
      <c r="O43" s="4"/>
      <c r="P43" s="2"/>
      <c r="Q43" s="4"/>
      <c r="R43" s="4" t="s">
        <v>123</v>
      </c>
      <c r="S43" s="4" t="s">
        <v>114</v>
      </c>
      <c r="T43" s="52">
        <f>SUMIF('Billing Determinant Forecast'!$B$25:$B$100,'Billing Units'!$R43,'Billing Determinant Forecast'!K$25:K$100)/$T$10</f>
        <v>500</v>
      </c>
      <c r="U43" s="4"/>
      <c r="V43" s="378">
        <f t="shared" si="4"/>
        <v>500</v>
      </c>
      <c r="W43" s="4"/>
      <c r="X43" s="4"/>
      <c r="Y43" s="2"/>
      <c r="Z43" s="2"/>
      <c r="AA43" s="6"/>
      <c r="AB43" s="6"/>
      <c r="AC43" s="6"/>
      <c r="AD43" s="6"/>
      <c r="AE43" s="2"/>
      <c r="AF43" s="2"/>
      <c r="AG43" s="2"/>
      <c r="AH43" s="2"/>
      <c r="AI43" s="2"/>
      <c r="AJ43" s="2"/>
      <c r="AK43" s="2"/>
      <c r="AL43" s="2"/>
      <c r="AM43" s="2"/>
      <c r="AN43" s="2"/>
      <c r="AO43" s="2"/>
      <c r="AP43" s="2"/>
      <c r="AQ43" s="2"/>
      <c r="AR43" s="2"/>
      <c r="AS43" s="2"/>
      <c r="AT43" s="2"/>
      <c r="AU43" s="2"/>
      <c r="AV43" s="2"/>
    </row>
    <row r="44" spans="1:48" s="3" customFormat="1">
      <c r="A44" s="2"/>
      <c r="B44" s="4"/>
      <c r="C44" s="4" t="s">
        <v>3</v>
      </c>
      <c r="D44" s="378">
        <f>D6</f>
        <v>1200273</v>
      </c>
      <c r="E44" s="367"/>
      <c r="F44" s="367"/>
      <c r="G44" s="369"/>
      <c r="H44" s="378">
        <f>H6</f>
        <v>3465700000</v>
      </c>
      <c r="I44" s="378">
        <f>I6</f>
        <v>2000399999.9999998</v>
      </c>
      <c r="J44" s="369"/>
      <c r="K44" s="384">
        <f t="shared" ref="K44:K74" si="5">SUM(H44:J44)</f>
        <v>5466100000</v>
      </c>
      <c r="L44" s="369"/>
      <c r="M44" s="369"/>
      <c r="N44" s="369"/>
      <c r="O44" s="365"/>
      <c r="P44" s="2"/>
      <c r="Q44" s="4"/>
      <c r="R44" s="4" t="s">
        <v>124</v>
      </c>
      <c r="S44" s="4" t="s">
        <v>116</v>
      </c>
      <c r="T44" s="52">
        <f>SUMIF('Billing Determinant Forecast'!$B$25:$B$100,'Billing Units'!$R44,'Billing Determinant Forecast'!K$25:K$100)/$T$10</f>
        <v>150</v>
      </c>
      <c r="U44" s="4"/>
      <c r="V44" s="378">
        <f t="shared" si="4"/>
        <v>150</v>
      </c>
      <c r="W44" s="4"/>
      <c r="X44" s="4"/>
      <c r="Y44" s="2"/>
      <c r="Z44" s="2"/>
      <c r="AA44" s="6"/>
      <c r="AB44" s="6"/>
      <c r="AC44" s="6"/>
      <c r="AD44" s="6"/>
      <c r="AE44" s="2"/>
      <c r="AF44" s="2"/>
      <c r="AG44" s="2"/>
      <c r="AH44" s="2"/>
      <c r="AI44" s="2"/>
      <c r="AJ44" s="2"/>
      <c r="AK44" s="2"/>
      <c r="AL44" s="2"/>
      <c r="AM44" s="2"/>
      <c r="AN44" s="2"/>
      <c r="AO44" s="2"/>
      <c r="AP44" s="2"/>
      <c r="AQ44" s="2"/>
      <c r="AR44" s="2"/>
      <c r="AS44" s="2"/>
      <c r="AT44" s="2"/>
      <c r="AU44" s="2"/>
      <c r="AV44" s="2"/>
    </row>
    <row r="45" spans="1:48" s="3" customFormat="1">
      <c r="A45" s="2"/>
      <c r="B45" s="4"/>
      <c r="C45" s="4"/>
      <c r="D45" s="365"/>
      <c r="E45" s="367"/>
      <c r="F45" s="367"/>
      <c r="G45" s="369"/>
      <c r="H45" s="365" t="s">
        <v>51</v>
      </c>
      <c r="I45" s="365" t="s">
        <v>52</v>
      </c>
      <c r="J45" s="365" t="s">
        <v>53</v>
      </c>
      <c r="K45" s="365"/>
      <c r="L45" s="369"/>
      <c r="M45" s="369"/>
      <c r="N45" s="369"/>
      <c r="O45" s="365"/>
      <c r="P45" s="2"/>
      <c r="Q45" s="4"/>
      <c r="R45" s="33"/>
      <c r="S45" s="4"/>
      <c r="T45" s="4"/>
      <c r="U45" s="4"/>
      <c r="V45" s="365"/>
      <c r="W45" s="4"/>
      <c r="X45" s="4"/>
      <c r="Y45" s="2"/>
      <c r="Z45" s="2"/>
      <c r="AA45" s="6"/>
      <c r="AB45" s="6"/>
      <c r="AC45" s="6"/>
      <c r="AD45" s="6"/>
      <c r="AE45" s="2"/>
      <c r="AF45" s="2"/>
      <c r="AG45" s="2"/>
      <c r="AH45" s="2"/>
      <c r="AI45" s="2"/>
      <c r="AJ45" s="2"/>
      <c r="AK45" s="2"/>
      <c r="AL45" s="2"/>
      <c r="AM45" s="2"/>
      <c r="AN45" s="2"/>
      <c r="AO45" s="2"/>
      <c r="AP45" s="2"/>
      <c r="AQ45" s="2"/>
      <c r="AR45" s="2"/>
      <c r="AS45" s="2"/>
      <c r="AT45" s="2"/>
      <c r="AU45" s="2"/>
      <c r="AV45" s="2"/>
    </row>
    <row r="46" spans="1:48" s="3" customFormat="1">
      <c r="A46" s="2"/>
      <c r="B46" s="4"/>
      <c r="C46" s="4" t="s">
        <v>55</v>
      </c>
      <c r="D46" s="385">
        <f>D8</f>
        <v>0</v>
      </c>
      <c r="E46" s="367"/>
      <c r="F46" s="367"/>
      <c r="G46" s="369"/>
      <c r="H46" s="385">
        <f>H8</f>
        <v>0</v>
      </c>
      <c r="I46" s="385">
        <f>I8</f>
        <v>0</v>
      </c>
      <c r="J46" s="385">
        <f>J8</f>
        <v>0</v>
      </c>
      <c r="K46" s="384">
        <f t="shared" si="5"/>
        <v>0</v>
      </c>
      <c r="L46" s="369"/>
      <c r="M46" s="369"/>
      <c r="N46" s="369"/>
      <c r="O46" s="365"/>
      <c r="P46" s="2"/>
      <c r="Q46" s="4"/>
      <c r="R46" s="33" t="s">
        <v>11</v>
      </c>
      <c r="S46" s="4"/>
      <c r="T46" s="4"/>
      <c r="U46" s="4"/>
      <c r="V46" s="365"/>
      <c r="W46" s="4"/>
      <c r="X46" s="4"/>
      <c r="Y46" s="2"/>
      <c r="Z46" s="2"/>
      <c r="AA46" s="6"/>
      <c r="AB46" s="6"/>
      <c r="AC46" s="6"/>
      <c r="AD46" s="6"/>
      <c r="AE46" s="2"/>
      <c r="AF46" s="2"/>
      <c r="AG46" s="2"/>
      <c r="AH46" s="2"/>
      <c r="AI46" s="2"/>
      <c r="AJ46" s="2"/>
      <c r="AK46" s="2"/>
      <c r="AL46" s="2"/>
      <c r="AM46" s="2"/>
      <c r="AN46" s="2"/>
      <c r="AO46" s="2"/>
      <c r="AP46" s="2"/>
      <c r="AQ46" s="2"/>
      <c r="AR46" s="2"/>
      <c r="AS46" s="2"/>
      <c r="AT46" s="2"/>
      <c r="AU46" s="2"/>
      <c r="AV46" s="2"/>
    </row>
    <row r="47" spans="1:48" s="3" customFormat="1">
      <c r="A47" s="2"/>
      <c r="B47" s="4"/>
      <c r="C47" s="7"/>
      <c r="D47" s="369"/>
      <c r="E47" s="367"/>
      <c r="F47" s="367"/>
      <c r="G47" s="369"/>
      <c r="H47" s="367" t="s">
        <v>44</v>
      </c>
      <c r="I47" s="367" t="s">
        <v>45</v>
      </c>
      <c r="J47" s="369"/>
      <c r="K47" s="365"/>
      <c r="L47" s="369"/>
      <c r="M47" s="369"/>
      <c r="N47" s="369"/>
      <c r="O47" s="365"/>
      <c r="P47" s="2"/>
      <c r="Q47" s="4"/>
      <c r="R47" s="4" t="s">
        <v>125</v>
      </c>
      <c r="S47" s="4" t="s">
        <v>4</v>
      </c>
      <c r="T47" s="52">
        <f>SUMIF('Billing Determinant Forecast'!$B$25:$B$100,'Billing Units'!$R47,'Billing Determinant Forecast'!E$25:E$100)</f>
        <v>226</v>
      </c>
      <c r="U47" s="4"/>
      <c r="V47" s="378">
        <f>T47</f>
        <v>226</v>
      </c>
      <c r="W47" s="4"/>
      <c r="X47" s="4"/>
      <c r="Y47" s="2"/>
      <c r="Z47" s="2"/>
      <c r="AA47" s="6"/>
      <c r="AB47" s="6"/>
      <c r="AC47" s="6"/>
      <c r="AD47" s="6"/>
      <c r="AE47" s="2"/>
      <c r="AF47" s="2"/>
      <c r="AG47" s="2"/>
      <c r="AH47" s="2"/>
      <c r="AI47" s="2"/>
      <c r="AJ47" s="2"/>
      <c r="AK47" s="2"/>
      <c r="AL47" s="2"/>
      <c r="AM47" s="2"/>
      <c r="AN47" s="2"/>
      <c r="AO47" s="2"/>
      <c r="AP47" s="2"/>
      <c r="AQ47" s="2"/>
      <c r="AR47" s="2"/>
      <c r="AS47" s="2"/>
      <c r="AT47" s="2"/>
      <c r="AU47" s="2"/>
      <c r="AV47" s="2"/>
    </row>
    <row r="48" spans="1:48" s="3" customFormat="1">
      <c r="A48" s="2"/>
      <c r="B48" s="4"/>
      <c r="C48" s="7" t="s">
        <v>6</v>
      </c>
      <c r="D48" s="378">
        <f>D10</f>
        <v>137698</v>
      </c>
      <c r="E48" s="367"/>
      <c r="F48" s="367"/>
      <c r="G48" s="369"/>
      <c r="H48" s="378">
        <f>H10</f>
        <v>357900000</v>
      </c>
      <c r="I48" s="378">
        <f>I10</f>
        <v>97199999.999999985</v>
      </c>
      <c r="J48" s="369"/>
      <c r="K48" s="384">
        <f>SUM(H48:J48)</f>
        <v>455100000</v>
      </c>
      <c r="L48" s="369"/>
      <c r="M48" s="369"/>
      <c r="N48" s="369"/>
      <c r="O48" s="365"/>
      <c r="P48" s="2"/>
      <c r="Q48" s="4"/>
      <c r="R48" s="33"/>
      <c r="S48" s="4"/>
      <c r="T48" s="4"/>
      <c r="U48" s="4"/>
      <c r="V48" s="365"/>
      <c r="W48" s="4"/>
      <c r="X48" s="4"/>
      <c r="Y48" s="2"/>
      <c r="Z48" s="2"/>
      <c r="AA48" s="6"/>
      <c r="AB48" s="6"/>
      <c r="AC48" s="6"/>
      <c r="AD48" s="6"/>
      <c r="AE48" s="2"/>
      <c r="AF48" s="2"/>
      <c r="AG48" s="2"/>
      <c r="AH48" s="2"/>
      <c r="AI48" s="2"/>
      <c r="AJ48" s="2"/>
      <c r="AK48" s="2"/>
      <c r="AL48" s="2"/>
      <c r="AM48" s="2"/>
      <c r="AN48" s="2"/>
      <c r="AO48" s="2"/>
      <c r="AP48" s="2"/>
      <c r="AQ48" s="2"/>
      <c r="AR48" s="2"/>
      <c r="AS48" s="2"/>
      <c r="AT48" s="2"/>
      <c r="AU48" s="2"/>
      <c r="AV48" s="2"/>
    </row>
    <row r="49" spans="1:48" s="3" customFormat="1">
      <c r="A49" s="2"/>
      <c r="B49" s="4"/>
      <c r="C49" s="7"/>
      <c r="D49" s="369"/>
      <c r="E49" s="367"/>
      <c r="F49" s="367"/>
      <c r="G49" s="369"/>
      <c r="H49" s="367" t="s">
        <v>44</v>
      </c>
      <c r="I49" s="367" t="s">
        <v>45</v>
      </c>
      <c r="J49" s="369"/>
      <c r="K49" s="365"/>
      <c r="L49" s="369"/>
      <c r="M49" s="369"/>
      <c r="N49" s="369"/>
      <c r="O49" s="365"/>
      <c r="P49" s="2"/>
      <c r="Q49" s="4"/>
      <c r="R49" s="4" t="s">
        <v>125</v>
      </c>
      <c r="S49" s="4" t="s">
        <v>5</v>
      </c>
      <c r="T49" s="52">
        <f>SUMIF('Billing Determinant Forecast'!$B$25:$B$100,'Billing Units'!$R49,'Billing Determinant Forecast'!F$25:F$100)*I2</f>
        <v>2700000</v>
      </c>
      <c r="U49" s="4"/>
      <c r="V49" s="378">
        <f>T49</f>
        <v>2700000</v>
      </c>
      <c r="W49" s="4"/>
      <c r="X49" s="4"/>
      <c r="Y49" s="2"/>
      <c r="Z49" s="2"/>
      <c r="AA49" s="6"/>
      <c r="AB49" s="6"/>
      <c r="AC49" s="6"/>
      <c r="AD49" s="6"/>
      <c r="AE49" s="2"/>
      <c r="AF49" s="2"/>
      <c r="AG49" s="2"/>
      <c r="AH49" s="2"/>
      <c r="AI49" s="2"/>
      <c r="AJ49" s="2"/>
      <c r="AK49" s="2"/>
      <c r="AL49" s="2"/>
      <c r="AM49" s="2"/>
      <c r="AN49" s="2"/>
      <c r="AO49" s="2"/>
      <c r="AP49" s="2"/>
      <c r="AQ49" s="2"/>
      <c r="AR49" s="2"/>
      <c r="AS49" s="2"/>
      <c r="AT49" s="2"/>
      <c r="AU49" s="2"/>
      <c r="AV49" s="2"/>
    </row>
    <row r="50" spans="1:48" s="3" customFormat="1">
      <c r="A50" s="2"/>
      <c r="B50" s="4"/>
      <c r="C50" s="7" t="s">
        <v>8</v>
      </c>
      <c r="D50" s="378">
        <f>D12</f>
        <v>4385</v>
      </c>
      <c r="E50" s="367"/>
      <c r="F50" s="367"/>
      <c r="G50" s="369"/>
      <c r="H50" s="378">
        <f>H12</f>
        <v>11700000</v>
      </c>
      <c r="I50" s="378">
        <f>I12</f>
        <v>4699999.9999999991</v>
      </c>
      <c r="J50" s="369"/>
      <c r="K50" s="384">
        <f t="shared" si="5"/>
        <v>16400000</v>
      </c>
      <c r="L50" s="369"/>
      <c r="M50" s="369"/>
      <c r="N50" s="369"/>
      <c r="O50" s="365"/>
      <c r="P50" s="2"/>
      <c r="Q50" s="4"/>
      <c r="R50" s="33"/>
      <c r="S50" s="4"/>
      <c r="T50" s="4"/>
      <c r="U50" s="4"/>
      <c r="V50" s="365"/>
      <c r="W50" s="4"/>
      <c r="X50" s="4"/>
      <c r="Y50" s="2"/>
      <c r="Z50" s="2"/>
      <c r="AA50" s="6"/>
      <c r="AB50" s="6"/>
      <c r="AC50" s="6"/>
      <c r="AD50" s="6"/>
      <c r="AE50" s="2"/>
      <c r="AF50" s="2"/>
      <c r="AG50" s="2"/>
      <c r="AH50" s="2"/>
      <c r="AI50" s="2"/>
      <c r="AJ50" s="2"/>
      <c r="AK50" s="2"/>
      <c r="AL50" s="2"/>
      <c r="AM50" s="2"/>
      <c r="AN50" s="2"/>
      <c r="AO50" s="2"/>
      <c r="AP50" s="2"/>
      <c r="AQ50" s="2"/>
      <c r="AR50" s="2"/>
      <c r="AS50" s="2"/>
      <c r="AT50" s="2"/>
      <c r="AU50" s="2"/>
      <c r="AV50" s="2"/>
    </row>
    <row r="51" spans="1:48" s="3" customFormat="1">
      <c r="A51" s="2"/>
      <c r="B51" s="4"/>
      <c r="C51" s="7"/>
      <c r="D51" s="367" t="s">
        <v>63</v>
      </c>
      <c r="E51" s="367" t="s">
        <v>64</v>
      </c>
      <c r="F51" s="367" t="s">
        <v>65</v>
      </c>
      <c r="G51" s="369"/>
      <c r="H51" s="369" t="s">
        <v>66</v>
      </c>
      <c r="I51" s="369" t="s">
        <v>67</v>
      </c>
      <c r="J51" s="369" t="s">
        <v>68</v>
      </c>
      <c r="K51" s="365"/>
      <c r="L51" s="369"/>
      <c r="M51" s="369"/>
      <c r="N51" s="369"/>
      <c r="O51" s="365"/>
      <c r="P51" s="2"/>
      <c r="Q51" s="4"/>
      <c r="R51" s="33"/>
      <c r="S51" s="4" t="s">
        <v>72</v>
      </c>
      <c r="T51" s="4"/>
      <c r="U51" s="4"/>
      <c r="V51" s="365"/>
      <c r="W51" s="4"/>
      <c r="X51" s="4"/>
      <c r="Y51" s="2"/>
      <c r="Z51" s="2"/>
      <c r="AA51" s="6"/>
      <c r="AB51" s="6"/>
      <c r="AC51" s="6"/>
      <c r="AD51" s="6"/>
      <c r="AE51" s="2"/>
      <c r="AF51" s="2"/>
      <c r="AG51" s="2"/>
      <c r="AH51" s="2"/>
      <c r="AI51" s="2"/>
      <c r="AJ51" s="2"/>
      <c r="AK51" s="2"/>
      <c r="AL51" s="2"/>
      <c r="AM51" s="2"/>
      <c r="AN51" s="2"/>
      <c r="AO51" s="2"/>
      <c r="AP51" s="2"/>
      <c r="AQ51" s="2"/>
      <c r="AR51" s="2"/>
      <c r="AS51" s="2"/>
      <c r="AT51" s="2"/>
      <c r="AU51" s="2"/>
      <c r="AV51" s="2"/>
    </row>
    <row r="52" spans="1:48" s="3" customFormat="1">
      <c r="A52" s="2"/>
      <c r="B52" s="4"/>
      <c r="C52" s="7" t="s">
        <v>9</v>
      </c>
      <c r="D52" s="378">
        <f>D14</f>
        <v>7716</v>
      </c>
      <c r="E52" s="378">
        <f>E14</f>
        <v>35132</v>
      </c>
      <c r="F52" s="378">
        <f>F14</f>
        <v>3773</v>
      </c>
      <c r="G52" s="369"/>
      <c r="H52" s="378">
        <f>H14</f>
        <v>4900000</v>
      </c>
      <c r="I52" s="378">
        <f>I14</f>
        <v>84600000</v>
      </c>
      <c r="J52" s="378">
        <f>J14</f>
        <v>18300000</v>
      </c>
      <c r="K52" s="384">
        <f t="shared" si="5"/>
        <v>107800000</v>
      </c>
      <c r="L52" s="369"/>
      <c r="M52" s="369"/>
      <c r="N52" s="369"/>
      <c r="O52" s="365"/>
      <c r="P52" s="2"/>
      <c r="Q52" s="4"/>
      <c r="R52" s="33"/>
      <c r="S52" s="4" t="s">
        <v>75</v>
      </c>
      <c r="T52" s="32"/>
      <c r="U52" s="4"/>
      <c r="V52" s="378">
        <f t="shared" ref="V52:V59" si="6">T52</f>
        <v>0</v>
      </c>
      <c r="W52" s="4"/>
      <c r="X52" s="4"/>
      <c r="Y52" s="2"/>
      <c r="Z52" s="2"/>
      <c r="AA52" s="6"/>
      <c r="AB52" s="6"/>
      <c r="AC52" s="6"/>
      <c r="AD52" s="6"/>
      <c r="AE52" s="2"/>
      <c r="AF52" s="2"/>
      <c r="AG52" s="2"/>
      <c r="AH52" s="2"/>
      <c r="AI52" s="2"/>
      <c r="AJ52" s="2"/>
      <c r="AK52" s="2"/>
      <c r="AL52" s="2"/>
      <c r="AM52" s="2"/>
      <c r="AN52" s="2"/>
      <c r="AO52" s="2"/>
      <c r="AP52" s="2"/>
      <c r="AQ52" s="2"/>
      <c r="AR52" s="2"/>
      <c r="AS52" s="2"/>
      <c r="AT52" s="2"/>
      <c r="AU52" s="2"/>
      <c r="AV52" s="2"/>
    </row>
    <row r="53" spans="1:48" s="3" customFormat="1">
      <c r="A53" s="2"/>
      <c r="B53" s="4"/>
      <c r="C53" s="7"/>
      <c r="D53" s="369"/>
      <c r="E53" s="369"/>
      <c r="F53" s="369"/>
      <c r="G53" s="369"/>
      <c r="H53" s="369" t="s">
        <v>71</v>
      </c>
      <c r="I53" s="369"/>
      <c r="J53" s="369"/>
      <c r="K53" s="365"/>
      <c r="L53" s="369"/>
      <c r="M53" s="369"/>
      <c r="N53" s="369"/>
      <c r="O53" s="365"/>
      <c r="P53" s="2"/>
      <c r="Q53" s="4"/>
      <c r="R53" s="33"/>
      <c r="S53" s="4" t="s">
        <v>80</v>
      </c>
      <c r="T53" s="32"/>
      <c r="U53" s="4"/>
      <c r="V53" s="378">
        <f t="shared" si="6"/>
        <v>0</v>
      </c>
      <c r="W53" s="4"/>
      <c r="X53" s="4"/>
      <c r="Y53" s="2"/>
      <c r="Z53" s="2"/>
      <c r="AA53" s="6"/>
      <c r="AB53" s="6"/>
      <c r="AC53" s="6"/>
      <c r="AD53" s="6"/>
      <c r="AE53" s="2"/>
      <c r="AF53" s="2"/>
      <c r="AG53" s="2"/>
      <c r="AH53" s="2"/>
      <c r="AI53" s="2"/>
      <c r="AJ53" s="2"/>
      <c r="AK53" s="2"/>
      <c r="AL53" s="2"/>
      <c r="AM53" s="2"/>
      <c r="AN53" s="2"/>
      <c r="AO53" s="2"/>
      <c r="AP53" s="2"/>
      <c r="AQ53" s="2"/>
      <c r="AR53" s="2"/>
      <c r="AS53" s="2"/>
      <c r="AT53" s="2"/>
      <c r="AU53" s="2"/>
      <c r="AV53" s="2"/>
    </row>
    <row r="54" spans="1:48" s="3" customFormat="1">
      <c r="A54" s="2"/>
      <c r="B54" s="4"/>
      <c r="C54" s="7" t="s">
        <v>10</v>
      </c>
      <c r="D54" s="378">
        <f>D16</f>
        <v>113488</v>
      </c>
      <c r="E54" s="367"/>
      <c r="F54" s="367"/>
      <c r="G54" s="369"/>
      <c r="H54" s="378">
        <f>H16</f>
        <v>2239100000</v>
      </c>
      <c r="I54" s="369"/>
      <c r="J54" s="369"/>
      <c r="K54" s="384">
        <f t="shared" si="5"/>
        <v>2239100000</v>
      </c>
      <c r="L54" s="369"/>
      <c r="M54" s="369"/>
      <c r="N54" s="369"/>
      <c r="O54" s="365"/>
      <c r="P54" s="2"/>
      <c r="Q54" s="4"/>
      <c r="R54" s="33"/>
      <c r="S54" s="4" t="s">
        <v>83</v>
      </c>
      <c r="T54" s="32"/>
      <c r="U54" s="4"/>
      <c r="V54" s="378">
        <f t="shared" si="6"/>
        <v>0</v>
      </c>
      <c r="W54" s="4"/>
      <c r="X54" s="4"/>
      <c r="Y54" s="2"/>
      <c r="Z54" s="2"/>
      <c r="AA54" s="6"/>
      <c r="AB54" s="6"/>
      <c r="AC54" s="6"/>
      <c r="AD54" s="6"/>
      <c r="AE54" s="2"/>
      <c r="AF54" s="2"/>
      <c r="AG54" s="2"/>
      <c r="AH54" s="2"/>
      <c r="AI54" s="2"/>
      <c r="AJ54" s="2"/>
      <c r="AK54" s="2"/>
      <c r="AL54" s="2"/>
      <c r="AM54" s="2"/>
      <c r="AN54" s="2"/>
      <c r="AO54" s="2"/>
      <c r="AP54" s="2"/>
      <c r="AQ54" s="2"/>
      <c r="AR54" s="2"/>
      <c r="AS54" s="2"/>
      <c r="AT54" s="2"/>
      <c r="AU54" s="2"/>
      <c r="AV54" s="2"/>
    </row>
    <row r="55" spans="1:48">
      <c r="B55" s="4"/>
      <c r="C55" s="7"/>
      <c r="D55" s="369"/>
      <c r="E55" s="367"/>
      <c r="F55" s="367"/>
      <c r="G55" s="369"/>
      <c r="H55" s="369" t="s">
        <v>76</v>
      </c>
      <c r="I55" s="367" t="s">
        <v>45</v>
      </c>
      <c r="J55" s="369"/>
      <c r="K55" s="365"/>
      <c r="L55" s="369"/>
      <c r="M55" s="369" t="s">
        <v>77</v>
      </c>
      <c r="N55" s="369" t="s">
        <v>78</v>
      </c>
      <c r="O55" s="365"/>
      <c r="Q55" s="4"/>
      <c r="R55" s="33"/>
      <c r="S55" s="4" t="s">
        <v>85</v>
      </c>
      <c r="T55" s="32"/>
      <c r="U55" s="4"/>
      <c r="V55" s="378">
        <f t="shared" si="6"/>
        <v>0</v>
      </c>
      <c r="W55" s="4"/>
      <c r="X55" s="4"/>
      <c r="AA55" s="6"/>
      <c r="AB55" s="6"/>
      <c r="AC55" s="6"/>
      <c r="AD55" s="6"/>
    </row>
    <row r="56" spans="1:48">
      <c r="B56" s="4"/>
      <c r="C56" s="7" t="s">
        <v>12</v>
      </c>
      <c r="D56" s="378">
        <f>D18</f>
        <v>10820</v>
      </c>
      <c r="E56" s="367"/>
      <c r="F56" s="367"/>
      <c r="G56" s="369"/>
      <c r="H56" s="378">
        <f>H18</f>
        <v>3794500000</v>
      </c>
      <c r="I56" s="378">
        <f>I18</f>
        <v>0</v>
      </c>
      <c r="J56" s="369"/>
      <c r="K56" s="384">
        <f t="shared" si="5"/>
        <v>3794500000</v>
      </c>
      <c r="L56" s="369"/>
      <c r="M56" s="378">
        <f>M18</f>
        <v>14371776</v>
      </c>
      <c r="N56" s="378">
        <f>N18</f>
        <v>1440923</v>
      </c>
      <c r="O56" s="365"/>
      <c r="Q56" s="4"/>
      <c r="R56" s="33"/>
      <c r="S56" s="4" t="s">
        <v>87</v>
      </c>
      <c r="T56" s="32"/>
      <c r="U56" s="4"/>
      <c r="V56" s="378">
        <f t="shared" si="6"/>
        <v>0</v>
      </c>
      <c r="W56" s="4"/>
      <c r="X56" s="4"/>
      <c r="AA56" s="6"/>
      <c r="AB56" s="6"/>
      <c r="AC56" s="6"/>
      <c r="AD56" s="6"/>
    </row>
    <row r="57" spans="1:48">
      <c r="B57" s="4"/>
      <c r="C57" s="7"/>
      <c r="D57" s="369"/>
      <c r="E57" s="367"/>
      <c r="F57" s="367"/>
      <c r="G57" s="369"/>
      <c r="H57" s="369" t="s">
        <v>76</v>
      </c>
      <c r="I57" s="367" t="s">
        <v>45</v>
      </c>
      <c r="J57" s="369"/>
      <c r="K57" s="365"/>
      <c r="L57" s="369"/>
      <c r="M57" s="369" t="s">
        <v>77</v>
      </c>
      <c r="N57" s="369" t="s">
        <v>78</v>
      </c>
      <c r="O57" s="365"/>
      <c r="Q57" s="4"/>
      <c r="R57" s="33"/>
      <c r="S57" s="4" t="s">
        <v>91</v>
      </c>
      <c r="T57" s="32"/>
      <c r="U57" s="4"/>
      <c r="V57" s="378">
        <f t="shared" si="6"/>
        <v>0</v>
      </c>
      <c r="W57" s="4"/>
      <c r="X57" s="4"/>
      <c r="AA57" s="6"/>
      <c r="AB57" s="6"/>
      <c r="AC57" s="6"/>
      <c r="AD57" s="6"/>
    </row>
    <row r="58" spans="1:48">
      <c r="B58" s="4"/>
      <c r="C58" s="7" t="s">
        <v>13</v>
      </c>
      <c r="D58" s="378">
        <f>D20</f>
        <v>617</v>
      </c>
      <c r="E58" s="367"/>
      <c r="F58" s="367"/>
      <c r="G58" s="369"/>
      <c r="H58" s="378">
        <f>H20</f>
        <v>2115984799.9999998</v>
      </c>
      <c r="I58" s="378">
        <f>I20</f>
        <v>508508798.19999993</v>
      </c>
      <c r="J58" s="369"/>
      <c r="K58" s="384">
        <f t="shared" si="5"/>
        <v>2624493598.1999998</v>
      </c>
      <c r="L58" s="369"/>
      <c r="M58" s="378">
        <f>M20</f>
        <v>7054980</v>
      </c>
      <c r="N58" s="378">
        <f>N20</f>
        <v>347823</v>
      </c>
      <c r="O58" s="365"/>
      <c r="Q58" s="4"/>
      <c r="R58" s="33"/>
      <c r="S58" s="4" t="s">
        <v>93</v>
      </c>
      <c r="T58" s="32"/>
      <c r="U58" s="4"/>
      <c r="V58" s="378">
        <f t="shared" si="6"/>
        <v>0</v>
      </c>
      <c r="W58" s="4"/>
      <c r="X58" s="4"/>
      <c r="AA58" s="6"/>
      <c r="AB58" s="6"/>
      <c r="AC58" s="6"/>
      <c r="AD58" s="6"/>
    </row>
    <row r="59" spans="1:48">
      <c r="B59" s="4"/>
      <c r="C59" s="7"/>
      <c r="D59" s="369"/>
      <c r="E59" s="367"/>
      <c r="F59" s="367"/>
      <c r="G59" s="369"/>
      <c r="H59" s="369" t="s">
        <v>88</v>
      </c>
      <c r="I59" s="369" t="s">
        <v>89</v>
      </c>
      <c r="J59" s="369"/>
      <c r="K59" s="365"/>
      <c r="L59" s="369"/>
      <c r="M59" s="369" t="s">
        <v>88</v>
      </c>
      <c r="N59" s="369" t="s">
        <v>89</v>
      </c>
      <c r="O59" s="365"/>
      <c r="Q59" s="4"/>
      <c r="R59" s="33"/>
      <c r="S59" s="4" t="s">
        <v>126</v>
      </c>
      <c r="T59" s="32"/>
      <c r="U59" s="4"/>
      <c r="V59" s="378">
        <f t="shared" si="6"/>
        <v>0</v>
      </c>
      <c r="W59" s="4"/>
      <c r="X59" s="4"/>
      <c r="AA59" s="6"/>
      <c r="AB59" s="6"/>
      <c r="AC59" s="6"/>
      <c r="AD59" s="6"/>
    </row>
    <row r="60" spans="1:48">
      <c r="B60" s="4"/>
      <c r="C60" s="7" t="s">
        <v>14</v>
      </c>
      <c r="D60" s="378">
        <f>D22</f>
        <v>1</v>
      </c>
      <c r="E60" s="367"/>
      <c r="F60" s="367"/>
      <c r="G60" s="369"/>
      <c r="H60" s="378">
        <f>H22</f>
        <v>2800000</v>
      </c>
      <c r="I60" s="378">
        <f>I22</f>
        <v>3300000</v>
      </c>
      <c r="J60" s="369"/>
      <c r="K60" s="384">
        <f t="shared" si="5"/>
        <v>6100000</v>
      </c>
      <c r="L60" s="369"/>
      <c r="M60" s="378">
        <f>M22</f>
        <v>19824</v>
      </c>
      <c r="N60" s="378">
        <f>N22</f>
        <v>18996</v>
      </c>
      <c r="O60" s="365"/>
      <c r="Q60" s="4"/>
      <c r="R60" s="33"/>
      <c r="S60" s="4"/>
      <c r="T60" s="4"/>
      <c r="U60" s="4"/>
      <c r="V60" s="365"/>
      <c r="W60" s="4"/>
      <c r="X60" s="4"/>
      <c r="AA60" s="6"/>
      <c r="AB60" s="6"/>
      <c r="AC60" s="6"/>
      <c r="AD60" s="6"/>
    </row>
    <row r="61" spans="1:48">
      <c r="B61" s="4"/>
      <c r="C61" s="7"/>
      <c r="D61" s="369"/>
      <c r="E61" s="367"/>
      <c r="F61" s="367"/>
      <c r="G61" s="369"/>
      <c r="H61" s="369" t="s">
        <v>88</v>
      </c>
      <c r="I61" s="369" t="s">
        <v>89</v>
      </c>
      <c r="J61" s="369"/>
      <c r="K61" s="365"/>
      <c r="L61" s="369"/>
      <c r="M61" s="369" t="s">
        <v>88</v>
      </c>
      <c r="N61" s="369" t="s">
        <v>89</v>
      </c>
      <c r="O61" s="365"/>
      <c r="Q61" s="4"/>
      <c r="R61" s="33" t="s">
        <v>18</v>
      </c>
      <c r="S61" s="4"/>
      <c r="T61" s="4"/>
      <c r="U61" s="4"/>
      <c r="V61" s="365"/>
      <c r="W61" s="4"/>
      <c r="X61" s="4"/>
      <c r="AA61" s="6"/>
      <c r="AB61" s="6"/>
      <c r="AC61" s="6"/>
      <c r="AD61" s="6"/>
    </row>
    <row r="62" spans="1:48">
      <c r="B62" s="4"/>
      <c r="C62" s="7" t="s">
        <v>16</v>
      </c>
      <c r="D62" s="378">
        <f>D24</f>
        <v>16</v>
      </c>
      <c r="E62" s="367"/>
      <c r="F62" s="367"/>
      <c r="G62" s="369"/>
      <c r="H62" s="378">
        <f>H24</f>
        <v>109600000</v>
      </c>
      <c r="I62" s="378">
        <f>I24</f>
        <v>179600000</v>
      </c>
      <c r="J62" s="369"/>
      <c r="K62" s="384">
        <f t="shared" si="5"/>
        <v>289200000</v>
      </c>
      <c r="L62" s="369"/>
      <c r="M62" s="378">
        <f>M24</f>
        <v>956520</v>
      </c>
      <c r="N62" s="378">
        <f>N24</f>
        <v>954684</v>
      </c>
      <c r="O62" s="365"/>
      <c r="P62" s="31"/>
      <c r="Q62" s="4"/>
      <c r="R62" s="33"/>
      <c r="S62" s="4" t="s">
        <v>127</v>
      </c>
      <c r="T62" s="4"/>
      <c r="U62" s="4"/>
      <c r="V62" s="365"/>
      <c r="W62" s="4"/>
      <c r="X62" s="4"/>
      <c r="AA62" s="6"/>
      <c r="AB62" s="6"/>
      <c r="AC62" s="6"/>
      <c r="AD62" s="6"/>
    </row>
    <row r="63" spans="1:48">
      <c r="B63" s="4"/>
      <c r="C63" s="5"/>
      <c r="D63" s="369"/>
      <c r="E63" s="367"/>
      <c r="F63" s="367"/>
      <c r="G63" s="369"/>
      <c r="H63" s="369" t="s">
        <v>88</v>
      </c>
      <c r="I63" s="369" t="s">
        <v>89</v>
      </c>
      <c r="J63" s="369"/>
      <c r="K63" s="365"/>
      <c r="L63" s="369"/>
      <c r="M63" s="369" t="s">
        <v>88</v>
      </c>
      <c r="N63" s="369" t="s">
        <v>89</v>
      </c>
      <c r="O63" s="365"/>
      <c r="Q63" s="4"/>
      <c r="R63" s="33"/>
      <c r="S63" s="4" t="s">
        <v>72</v>
      </c>
      <c r="T63" s="4"/>
      <c r="U63" s="4"/>
      <c r="V63" s="365"/>
      <c r="W63" s="4"/>
      <c r="X63" s="4"/>
      <c r="AA63" s="6"/>
      <c r="AB63" s="6"/>
      <c r="AC63" s="6"/>
      <c r="AD63" s="6"/>
    </row>
    <row r="64" spans="1:48">
      <c r="B64" s="4"/>
      <c r="C64" s="62" t="s">
        <v>95</v>
      </c>
      <c r="D64" s="386">
        <f>D26</f>
        <v>0</v>
      </c>
      <c r="E64" s="387"/>
      <c r="F64" s="387"/>
      <c r="G64" s="388"/>
      <c r="H64" s="386">
        <f>H26</f>
        <v>0</v>
      </c>
      <c r="I64" s="386">
        <f>I26</f>
        <v>0</v>
      </c>
      <c r="J64" s="388"/>
      <c r="K64" s="384">
        <f t="shared" si="5"/>
        <v>0</v>
      </c>
      <c r="L64" s="388"/>
      <c r="M64" s="386">
        <f>M26</f>
        <v>0</v>
      </c>
      <c r="N64" s="386">
        <f>N26</f>
        <v>0</v>
      </c>
      <c r="O64" s="365"/>
      <c r="Q64" s="4"/>
      <c r="R64" s="4" t="s">
        <v>128</v>
      </c>
      <c r="S64" s="4" t="s">
        <v>75</v>
      </c>
      <c r="T64" s="52">
        <f>SUMIF('Billing Determinant Forecast'!$B$25:$B$100,'Billing Units'!$R64,'Billing Determinant Forecast'!K$25:K$100)/$T$10</f>
        <v>131</v>
      </c>
      <c r="U64" s="4"/>
      <c r="V64" s="378">
        <f t="shared" ref="V64:V69" si="7">T64</f>
        <v>131</v>
      </c>
      <c r="W64" s="4"/>
      <c r="X64" s="4"/>
      <c r="AA64" s="6"/>
      <c r="AB64" s="6"/>
      <c r="AC64" s="6"/>
      <c r="AD64" s="6"/>
    </row>
    <row r="65" spans="2:30">
      <c r="B65" s="4"/>
      <c r="C65" s="7"/>
      <c r="D65" s="369"/>
      <c r="E65" s="367"/>
      <c r="F65" s="367"/>
      <c r="G65" s="369"/>
      <c r="H65" s="369" t="s">
        <v>97</v>
      </c>
      <c r="I65" s="369" t="s">
        <v>45</v>
      </c>
      <c r="J65" s="369"/>
      <c r="K65" s="365"/>
      <c r="L65" s="369"/>
      <c r="M65" s="369" t="s">
        <v>98</v>
      </c>
      <c r="N65" s="369" t="s">
        <v>78</v>
      </c>
      <c r="O65" s="365"/>
      <c r="Q65" s="4"/>
      <c r="R65" s="4" t="s">
        <v>129</v>
      </c>
      <c r="S65" s="4" t="s">
        <v>80</v>
      </c>
      <c r="T65" s="52">
        <f>SUMIF('Billing Determinant Forecast'!$B$25:$B$100,'Billing Units'!$R65,'Billing Determinant Forecast'!K$25:K$100)/$T$10</f>
        <v>191</v>
      </c>
      <c r="U65" s="4"/>
      <c r="V65" s="378">
        <f t="shared" si="7"/>
        <v>191</v>
      </c>
      <c r="W65" s="4"/>
      <c r="X65" s="4"/>
      <c r="AA65" s="6"/>
      <c r="AB65" s="6"/>
      <c r="AC65" s="6"/>
      <c r="AD65" s="6"/>
    </row>
    <row r="66" spans="2:30">
      <c r="B66" s="4"/>
      <c r="C66" s="7" t="s">
        <v>17</v>
      </c>
      <c r="D66" s="378">
        <f>D28</f>
        <v>1</v>
      </c>
      <c r="E66" s="367"/>
      <c r="F66" s="367"/>
      <c r="G66" s="369"/>
      <c r="H66" s="378">
        <f>H28</f>
        <v>60700000</v>
      </c>
      <c r="I66" s="378">
        <f>I28</f>
        <v>0</v>
      </c>
      <c r="J66" s="369"/>
      <c r="K66" s="384">
        <f t="shared" si="5"/>
        <v>60700000</v>
      </c>
      <c r="L66" s="369"/>
      <c r="M66" s="378">
        <f>M28</f>
        <v>182244</v>
      </c>
      <c r="N66" s="378">
        <f>N28</f>
        <v>0</v>
      </c>
      <c r="O66" s="365"/>
      <c r="Q66" s="4"/>
      <c r="R66" s="4" t="s">
        <v>130</v>
      </c>
      <c r="S66" s="4" t="s">
        <v>83</v>
      </c>
      <c r="T66" s="52">
        <f>SUMIF('Billing Determinant Forecast'!$B$25:$B$100,'Billing Units'!$R66,'Billing Determinant Forecast'!K$25:K$100)/$T$10</f>
        <v>655</v>
      </c>
      <c r="U66" s="4"/>
      <c r="V66" s="378">
        <f t="shared" si="7"/>
        <v>655</v>
      </c>
      <c r="W66" s="4"/>
      <c r="X66" s="4"/>
      <c r="AA66" s="6"/>
      <c r="AB66" s="6"/>
      <c r="AC66" s="6"/>
      <c r="AD66" s="6"/>
    </row>
    <row r="67" spans="2:30">
      <c r="B67" s="4"/>
      <c r="C67" s="7"/>
      <c r="D67" s="369"/>
      <c r="E67" s="367"/>
      <c r="F67" s="367"/>
      <c r="G67" s="369"/>
      <c r="H67" s="369" t="s">
        <v>71</v>
      </c>
      <c r="I67" s="369"/>
      <c r="J67" s="369"/>
      <c r="K67" s="365"/>
      <c r="L67" s="369"/>
      <c r="M67" s="369"/>
      <c r="N67" s="369"/>
      <c r="O67" s="365"/>
      <c r="Q67" s="4"/>
      <c r="R67" s="4" t="s">
        <v>131</v>
      </c>
      <c r="S67" s="4" t="s">
        <v>85</v>
      </c>
      <c r="T67" s="52">
        <f>SUMIF('Billing Determinant Forecast'!$B$25:$B$100,'Billing Units'!$R67,'Billing Determinant Forecast'!K$25:K$100)/$T$10</f>
        <v>11</v>
      </c>
      <c r="U67" s="4"/>
      <c r="V67" s="378">
        <f t="shared" si="7"/>
        <v>11</v>
      </c>
      <c r="W67" s="4"/>
      <c r="X67" s="4"/>
      <c r="AA67" s="6"/>
      <c r="AB67" s="6"/>
      <c r="AC67" s="6"/>
      <c r="AD67" s="6"/>
    </row>
    <row r="68" spans="2:30">
      <c r="B68" s="4"/>
      <c r="C68" s="7" t="s">
        <v>19</v>
      </c>
      <c r="D68" s="378">
        <f>D30</f>
        <v>1082</v>
      </c>
      <c r="E68" s="367"/>
      <c r="F68" s="367"/>
      <c r="G68" s="369"/>
      <c r="H68" s="378">
        <f>H30</f>
        <v>23109614.930104855</v>
      </c>
      <c r="I68" s="369"/>
      <c r="J68" s="369"/>
      <c r="K68" s="384">
        <f t="shared" si="5"/>
        <v>23109614.930104855</v>
      </c>
      <c r="L68" s="369"/>
      <c r="M68" s="369"/>
      <c r="N68" s="369"/>
      <c r="O68" s="365"/>
      <c r="Q68" s="4"/>
      <c r="R68" s="4" t="s">
        <v>132</v>
      </c>
      <c r="S68" s="4" t="s">
        <v>87</v>
      </c>
      <c r="T68" s="52">
        <f>SUMIF('Billing Determinant Forecast'!$B$25:$B$100,'Billing Units'!$R68,'Billing Determinant Forecast'!K$25:K$100)/$T$10</f>
        <v>120</v>
      </c>
      <c r="U68" s="4"/>
      <c r="V68" s="378">
        <f t="shared" si="7"/>
        <v>120</v>
      </c>
      <c r="W68" s="4"/>
      <c r="X68" s="4"/>
      <c r="AA68" s="6"/>
      <c r="AB68" s="6"/>
      <c r="AC68" s="6"/>
      <c r="AD68" s="6"/>
    </row>
    <row r="69" spans="2:30">
      <c r="B69" s="4"/>
      <c r="C69" s="7"/>
      <c r="D69" s="369"/>
      <c r="E69" s="367"/>
      <c r="F69" s="367"/>
      <c r="G69" s="369"/>
      <c r="H69" s="369" t="s">
        <v>133</v>
      </c>
      <c r="I69" s="369" t="s">
        <v>104</v>
      </c>
      <c r="J69" s="369" t="s">
        <v>105</v>
      </c>
      <c r="K69" s="365"/>
      <c r="L69" s="369"/>
      <c r="M69" s="369"/>
      <c r="N69" s="369"/>
      <c r="O69" s="365"/>
      <c r="Q69" s="4"/>
      <c r="R69" s="4" t="s">
        <v>134</v>
      </c>
      <c r="S69" s="4" t="s">
        <v>91</v>
      </c>
      <c r="T69" s="52">
        <f>SUMIF('Billing Determinant Forecast'!$B$25:$B$100,'Billing Units'!$R69,'Billing Determinant Forecast'!K$25:K$100)/$T$10</f>
        <v>1</v>
      </c>
      <c r="U69" s="4"/>
      <c r="V69" s="378">
        <f t="shared" si="7"/>
        <v>1</v>
      </c>
      <c r="W69" s="4"/>
      <c r="X69" s="4"/>
      <c r="AA69" s="6"/>
      <c r="AB69" s="6"/>
      <c r="AC69" s="6"/>
      <c r="AD69" s="6"/>
    </row>
    <row r="70" spans="2:30">
      <c r="B70" s="4"/>
      <c r="C70" s="7" t="s">
        <v>21</v>
      </c>
      <c r="D70" s="378">
        <f>D32</f>
        <v>2465</v>
      </c>
      <c r="E70" s="367"/>
      <c r="F70" s="367"/>
      <c r="G70" s="369"/>
      <c r="H70" s="378">
        <f>H32</f>
        <v>0</v>
      </c>
      <c r="I70" s="378">
        <f>I32</f>
        <v>0</v>
      </c>
      <c r="J70" s="378">
        <f>J32</f>
        <v>16450000</v>
      </c>
      <c r="K70" s="384">
        <f t="shared" si="5"/>
        <v>16450000</v>
      </c>
      <c r="L70" s="369"/>
      <c r="M70" s="369"/>
      <c r="N70" s="369"/>
      <c r="O70" s="365"/>
      <c r="Q70" s="4"/>
      <c r="R70" s="33"/>
      <c r="S70" s="4" t="s">
        <v>135</v>
      </c>
      <c r="T70" s="4"/>
      <c r="U70" s="4"/>
      <c r="V70" s="365"/>
      <c r="W70" s="4"/>
      <c r="X70" s="4"/>
      <c r="AA70" s="6"/>
      <c r="AB70" s="6"/>
      <c r="AC70" s="6"/>
      <c r="AD70" s="6"/>
    </row>
    <row r="71" spans="2:30">
      <c r="B71" s="4"/>
      <c r="C71" s="7"/>
      <c r="D71" s="367"/>
      <c r="E71" s="367"/>
      <c r="F71" s="367"/>
      <c r="G71" s="369"/>
      <c r="H71" s="367" t="s">
        <v>71</v>
      </c>
      <c r="I71" s="367"/>
      <c r="J71" s="367"/>
      <c r="K71" s="365"/>
      <c r="L71" s="369"/>
      <c r="M71" s="369"/>
      <c r="N71" s="369"/>
      <c r="O71" s="365"/>
      <c r="Q71" s="4"/>
      <c r="R71" s="4" t="s">
        <v>136</v>
      </c>
      <c r="S71" s="4" t="s">
        <v>137</v>
      </c>
      <c r="T71" s="52">
        <f>SUMIF('Billing Determinant Forecast'!$B$25:$B$100,'Billing Units'!$R71,'Billing Determinant Forecast'!K$25:K$100)/$T$10</f>
        <v>1182</v>
      </c>
      <c r="U71" s="4"/>
      <c r="V71" s="378">
        <f>T71</f>
        <v>1182</v>
      </c>
      <c r="W71" s="4"/>
      <c r="X71" s="4"/>
      <c r="AA71" s="6"/>
      <c r="AB71" s="6"/>
      <c r="AC71" s="6"/>
      <c r="AD71" s="6"/>
    </row>
    <row r="72" spans="2:30">
      <c r="B72" s="4"/>
      <c r="C72" s="7" t="s">
        <v>22</v>
      </c>
      <c r="D72" s="378">
        <f>D34</f>
        <v>923</v>
      </c>
      <c r="E72" s="367"/>
      <c r="F72" s="367"/>
      <c r="G72" s="369"/>
      <c r="H72" s="378">
        <f>H34</f>
        <v>150000</v>
      </c>
      <c r="I72" s="367"/>
      <c r="J72" s="367"/>
      <c r="K72" s="384">
        <f t="shared" si="5"/>
        <v>150000</v>
      </c>
      <c r="L72" s="369"/>
      <c r="M72" s="369"/>
      <c r="N72" s="369"/>
      <c r="O72" s="365"/>
      <c r="Q72" s="4"/>
      <c r="R72" s="33"/>
      <c r="S72" s="4"/>
      <c r="T72" s="4"/>
      <c r="U72" s="4"/>
      <c r="V72" s="365"/>
      <c r="W72" s="4"/>
      <c r="X72" s="4"/>
      <c r="AA72" s="6"/>
      <c r="AB72" s="6"/>
      <c r="AC72" s="6"/>
      <c r="AD72" s="6"/>
    </row>
    <row r="73" spans="2:30">
      <c r="B73" s="4"/>
      <c r="C73" s="7"/>
      <c r="D73" s="367"/>
      <c r="E73" s="367"/>
      <c r="F73" s="367"/>
      <c r="G73" s="369"/>
      <c r="H73" s="367" t="s">
        <v>71</v>
      </c>
      <c r="I73" s="367"/>
      <c r="J73" s="367"/>
      <c r="K73" s="365"/>
      <c r="L73" s="369"/>
      <c r="M73" s="369" t="s">
        <v>98</v>
      </c>
      <c r="N73" s="369" t="s">
        <v>78</v>
      </c>
      <c r="O73" s="365"/>
      <c r="Q73" s="4"/>
      <c r="R73" s="33" t="s">
        <v>23</v>
      </c>
      <c r="S73" s="4"/>
      <c r="T73" s="4"/>
      <c r="U73" s="4"/>
      <c r="V73" s="365"/>
      <c r="W73" s="4"/>
      <c r="X73" s="4"/>
      <c r="AA73" s="6"/>
      <c r="AB73" s="6"/>
      <c r="AC73" s="6"/>
      <c r="AD73" s="6"/>
    </row>
    <row r="74" spans="2:30">
      <c r="B74" s="4"/>
      <c r="C74" s="7" t="s">
        <v>24</v>
      </c>
      <c r="D74" s="378">
        <f>D36</f>
        <v>2</v>
      </c>
      <c r="E74" s="367"/>
      <c r="F74" s="367"/>
      <c r="G74" s="369"/>
      <c r="H74" s="378">
        <f>H36</f>
        <v>4200000</v>
      </c>
      <c r="I74" s="367"/>
      <c r="J74" s="367"/>
      <c r="K74" s="384">
        <f t="shared" si="5"/>
        <v>4200000</v>
      </c>
      <c r="L74" s="369"/>
      <c r="M74" s="378">
        <f>M36</f>
        <v>123625</v>
      </c>
      <c r="N74" s="378">
        <f>N36</f>
        <v>0</v>
      </c>
      <c r="O74" s="365"/>
      <c r="Q74" s="4"/>
      <c r="R74" s="4" t="s">
        <v>138</v>
      </c>
      <c r="S74" s="4" t="s">
        <v>4</v>
      </c>
      <c r="T74" s="52">
        <f>SUMIF('Billing Determinant Forecast'!$B$25:$B$100,'Billing Units'!$R74,'Billing Determinant Forecast'!E$25:E$100)</f>
        <v>80</v>
      </c>
      <c r="U74" s="4"/>
      <c r="V74" s="378">
        <f>T74</f>
        <v>80</v>
      </c>
      <c r="W74" s="4"/>
      <c r="X74" s="4"/>
      <c r="AA74" s="6"/>
      <c r="AB74" s="6"/>
      <c r="AC74" s="6"/>
      <c r="AD74" s="6"/>
    </row>
    <row r="75" spans="2:30">
      <c r="B75" s="4"/>
      <c r="C75" s="5"/>
      <c r="D75" s="367"/>
      <c r="E75" s="367"/>
      <c r="F75" s="367"/>
      <c r="G75" s="367"/>
      <c r="H75" s="367"/>
      <c r="I75" s="367"/>
      <c r="J75" s="367"/>
      <c r="K75" s="365"/>
      <c r="L75" s="369"/>
      <c r="M75" s="369"/>
      <c r="N75" s="369"/>
      <c r="O75" s="365"/>
      <c r="Q75" s="4"/>
      <c r="R75" s="33"/>
      <c r="S75" s="4"/>
      <c r="T75" s="4"/>
      <c r="U75" s="4"/>
      <c r="V75" s="365"/>
      <c r="W75" s="4"/>
      <c r="X75" s="4"/>
      <c r="AA75" s="6"/>
      <c r="AB75" s="6"/>
      <c r="AC75" s="6"/>
      <c r="AD75" s="6"/>
    </row>
    <row r="76" spans="2:30">
      <c r="C76" s="2"/>
      <c r="D76" s="2"/>
      <c r="E76" s="2"/>
      <c r="F76" s="2"/>
      <c r="G76" s="2"/>
      <c r="H76" s="2"/>
      <c r="I76" s="2"/>
      <c r="J76" s="2"/>
      <c r="K76" s="2"/>
      <c r="L76" s="2"/>
      <c r="M76" s="2"/>
      <c r="N76" s="2"/>
      <c r="Q76" s="4"/>
      <c r="R76" s="4" t="s">
        <v>138</v>
      </c>
      <c r="S76" s="4" t="s">
        <v>5</v>
      </c>
      <c r="T76" s="52">
        <f>SUMIF('Billing Determinant Forecast'!$B$25:$B$100,'Billing Units'!$R76,'Billing Determinant Forecast'!F$25:F$100)*I2</f>
        <v>700000</v>
      </c>
      <c r="U76" s="4"/>
      <c r="V76" s="378">
        <f>T76</f>
        <v>700000</v>
      </c>
      <c r="W76" s="4"/>
      <c r="X76" s="4"/>
      <c r="AA76" s="6"/>
      <c r="AB76" s="6"/>
      <c r="AC76" s="6"/>
      <c r="AD76" s="6"/>
    </row>
    <row r="77" spans="2:30">
      <c r="C77" s="2"/>
      <c r="D77" s="2"/>
      <c r="E77" s="2"/>
      <c r="F77" s="2"/>
      <c r="G77" s="2"/>
      <c r="H77" s="2"/>
      <c r="I77" s="2"/>
      <c r="J77" s="2"/>
      <c r="K77" s="2"/>
      <c r="L77" s="2"/>
      <c r="M77" s="2"/>
      <c r="N77" s="2"/>
      <c r="Q77" s="4"/>
      <c r="R77" s="33"/>
      <c r="S77" s="4"/>
      <c r="T77" s="4"/>
      <c r="U77" s="4"/>
      <c r="V77" s="365"/>
      <c r="W77" s="4"/>
      <c r="X77" s="4"/>
      <c r="AA77" s="6"/>
      <c r="AB77" s="6"/>
      <c r="AC77" s="6"/>
      <c r="AD77" s="6"/>
    </row>
    <row r="78" spans="2:30">
      <c r="C78" s="2"/>
      <c r="D78" s="2"/>
      <c r="E78" s="2"/>
      <c r="F78" s="2"/>
      <c r="G78" s="2"/>
      <c r="H78" s="2"/>
      <c r="I78" s="2"/>
      <c r="J78" s="2"/>
      <c r="K78" s="2"/>
      <c r="L78" s="2"/>
      <c r="M78" s="2"/>
      <c r="N78" s="2"/>
      <c r="Q78" s="4"/>
      <c r="R78" s="33" t="s">
        <v>25</v>
      </c>
      <c r="S78" s="4"/>
      <c r="T78" s="4"/>
      <c r="U78" s="4"/>
      <c r="V78" s="365"/>
      <c r="W78" s="4"/>
      <c r="X78" s="4"/>
      <c r="AA78" s="6"/>
      <c r="AB78" s="6"/>
      <c r="AC78" s="6"/>
      <c r="AD78" s="6"/>
    </row>
    <row r="79" spans="2:30">
      <c r="C79" s="2"/>
      <c r="D79" s="2"/>
      <c r="E79" s="2"/>
      <c r="F79" s="2"/>
      <c r="G79" s="2"/>
      <c r="H79" s="2"/>
      <c r="I79" s="2"/>
      <c r="J79" s="2"/>
      <c r="K79" s="2"/>
      <c r="L79" s="2"/>
      <c r="M79" s="2"/>
      <c r="N79" s="2"/>
      <c r="Q79" s="4"/>
      <c r="R79" s="4" t="s">
        <v>139</v>
      </c>
      <c r="S79" s="4" t="s">
        <v>5</v>
      </c>
      <c r="T79" s="52">
        <f>SUMIF('Billing Determinant Forecast'!$B$25:$B$100,'Billing Units'!$R79,'Billing Determinant Forecast'!F$25:F$100)*I2</f>
        <v>1400000</v>
      </c>
      <c r="U79" s="4"/>
      <c r="V79" s="378">
        <f>T79</f>
        <v>1400000</v>
      </c>
      <c r="W79" s="4"/>
      <c r="X79" s="4"/>
      <c r="AA79" s="6"/>
      <c r="AB79" s="6"/>
      <c r="AC79" s="6"/>
      <c r="AD79" s="6"/>
    </row>
    <row r="80" spans="2:30">
      <c r="C80" s="2"/>
      <c r="D80" s="2"/>
      <c r="E80" s="2"/>
      <c r="F80" s="2"/>
      <c r="G80" s="2"/>
      <c r="H80" s="2"/>
      <c r="I80" s="2"/>
      <c r="J80" s="2"/>
      <c r="K80" s="2"/>
      <c r="L80" s="2"/>
      <c r="M80" s="2"/>
      <c r="N80" s="2"/>
      <c r="Q80" s="4"/>
      <c r="R80" s="33"/>
      <c r="S80" s="4"/>
      <c r="T80" s="4"/>
      <c r="U80" s="4"/>
      <c r="V80" s="365"/>
      <c r="W80" s="4"/>
      <c r="X80" s="4"/>
      <c r="AA80" s="6"/>
      <c r="AB80" s="6"/>
      <c r="AC80" s="6"/>
      <c r="AD80" s="6"/>
    </row>
    <row r="81" spans="3:30">
      <c r="C81" s="2"/>
      <c r="D81" s="2"/>
      <c r="E81" s="2"/>
      <c r="F81" s="2"/>
      <c r="G81" s="2"/>
      <c r="H81" s="2"/>
      <c r="I81" s="2"/>
      <c r="J81" s="2"/>
      <c r="K81" s="2"/>
      <c r="L81" s="2"/>
      <c r="M81" s="2"/>
      <c r="N81" s="2"/>
      <c r="Q81" s="4"/>
      <c r="R81" s="33" t="s">
        <v>26</v>
      </c>
      <c r="S81" s="4"/>
      <c r="T81" s="4"/>
      <c r="U81" s="4"/>
      <c r="V81" s="365"/>
      <c r="W81" s="4"/>
      <c r="X81" s="4"/>
      <c r="AA81" s="6"/>
      <c r="AB81" s="6"/>
      <c r="AC81" s="6"/>
      <c r="AD81" s="6"/>
    </row>
    <row r="82" spans="3:30" ht="13.05" customHeight="1">
      <c r="C82" s="2"/>
      <c r="D82" s="2"/>
      <c r="E82" s="2"/>
      <c r="F82" s="2"/>
      <c r="G82" s="2"/>
      <c r="H82" s="2"/>
      <c r="I82" s="2"/>
      <c r="J82" s="2"/>
      <c r="K82" s="2"/>
      <c r="L82" s="2"/>
      <c r="M82" s="2"/>
      <c r="N82" s="2"/>
      <c r="Q82" s="4"/>
      <c r="R82" s="4" t="s">
        <v>140</v>
      </c>
      <c r="S82" s="4" t="s">
        <v>4</v>
      </c>
      <c r="T82" s="52">
        <f>SUMIF('Billing Determinant Forecast'!$B$25:$B$100,'Billing Units'!$R82,'Billing Determinant Forecast'!E$25:E$100)</f>
        <v>1038</v>
      </c>
      <c r="U82" s="4"/>
      <c r="V82" s="378">
        <f>T82</f>
        <v>1038</v>
      </c>
      <c r="W82" s="4"/>
      <c r="X82" s="4"/>
      <c r="AA82" s="6"/>
      <c r="AB82" s="6"/>
      <c r="AC82" s="6"/>
      <c r="AD82" s="6"/>
    </row>
    <row r="83" spans="3:30">
      <c r="C83" s="2"/>
      <c r="D83" s="2"/>
      <c r="E83" s="2"/>
      <c r="F83" s="2"/>
      <c r="G83" s="2"/>
      <c r="H83" s="2"/>
      <c r="I83" s="2"/>
      <c r="J83" s="2"/>
      <c r="K83" s="2"/>
      <c r="L83" s="2"/>
      <c r="M83" s="2"/>
      <c r="N83" s="2"/>
      <c r="Q83" s="4"/>
      <c r="R83" s="33"/>
      <c r="S83" s="4"/>
      <c r="T83" s="4"/>
      <c r="U83" s="4"/>
      <c r="V83" s="365"/>
      <c r="W83" s="4"/>
      <c r="X83" s="4"/>
      <c r="AA83" s="6"/>
      <c r="AB83" s="6"/>
      <c r="AC83" s="6"/>
      <c r="AD83" s="6"/>
    </row>
    <row r="84" spans="3:30" ht="14.25" customHeight="1">
      <c r="C84" s="2"/>
      <c r="D84" s="2"/>
      <c r="E84" s="2"/>
      <c r="F84" s="2"/>
      <c r="G84" s="2"/>
      <c r="H84" s="2"/>
      <c r="I84" s="2"/>
      <c r="J84" s="2"/>
      <c r="K84" s="2"/>
      <c r="L84" s="2"/>
      <c r="M84" s="2"/>
      <c r="N84" s="2"/>
      <c r="Q84" s="4"/>
      <c r="R84" s="4" t="s">
        <v>140</v>
      </c>
      <c r="S84" s="4" t="s">
        <v>5</v>
      </c>
      <c r="T84" s="52">
        <f>SUMIF('Billing Determinant Forecast'!$B$25:$B$100,'Billing Units'!$R84,'Billing Determinant Forecast'!F$25:F$100)*I2</f>
        <v>13000000</v>
      </c>
      <c r="U84" s="4"/>
      <c r="V84" s="378">
        <f>T84</f>
        <v>13000000</v>
      </c>
      <c r="W84" s="4"/>
      <c r="X84" s="4"/>
      <c r="AA84" s="6"/>
      <c r="AB84" s="6"/>
      <c r="AC84" s="6"/>
      <c r="AD84" s="6"/>
    </row>
    <row r="85" spans="3:30">
      <c r="C85" s="2"/>
      <c r="D85" s="2"/>
      <c r="E85" s="2"/>
      <c r="F85" s="2"/>
      <c r="G85" s="2"/>
      <c r="H85" s="2"/>
      <c r="I85" s="2"/>
      <c r="J85" s="2"/>
      <c r="K85" s="2"/>
      <c r="L85" s="2"/>
      <c r="M85" s="2"/>
      <c r="N85" s="2"/>
      <c r="Q85" s="4"/>
      <c r="R85" s="33"/>
      <c r="S85" s="4"/>
      <c r="T85" s="4"/>
      <c r="U85" s="4"/>
      <c r="V85" s="365"/>
      <c r="W85" s="4"/>
      <c r="X85" s="4"/>
      <c r="AA85" s="6"/>
      <c r="AB85" s="6"/>
      <c r="AC85" s="6"/>
      <c r="AD85" s="6"/>
    </row>
    <row r="86" spans="3:30">
      <c r="C86" s="2"/>
      <c r="D86" s="2"/>
      <c r="E86" s="2"/>
      <c r="F86" s="2"/>
      <c r="G86" s="2"/>
      <c r="H86" s="2"/>
      <c r="I86" s="2"/>
      <c r="J86" s="2"/>
      <c r="K86" s="2"/>
      <c r="L86" s="2"/>
      <c r="M86" s="2"/>
      <c r="N86" s="2"/>
      <c r="Q86" s="4"/>
      <c r="R86" s="33" t="s">
        <v>27</v>
      </c>
      <c r="S86" s="4"/>
      <c r="T86" s="4"/>
      <c r="U86" s="4"/>
      <c r="V86" s="365"/>
      <c r="W86" s="4"/>
      <c r="X86" s="4"/>
      <c r="AA86" s="6"/>
      <c r="AB86" s="6"/>
      <c r="AC86" s="6"/>
      <c r="AD86" s="6"/>
    </row>
    <row r="87" spans="3:30">
      <c r="C87" s="2"/>
      <c r="D87" s="2"/>
      <c r="E87" s="2"/>
      <c r="F87" s="2"/>
      <c r="G87" s="2"/>
      <c r="H87" s="2"/>
      <c r="I87" s="2"/>
      <c r="J87" s="2"/>
      <c r="K87" s="2"/>
      <c r="L87" s="2"/>
      <c r="M87" s="2"/>
      <c r="N87" s="2"/>
      <c r="Q87" s="4"/>
      <c r="R87" s="301" t="s">
        <v>141</v>
      </c>
      <c r="S87" s="4" t="s">
        <v>7</v>
      </c>
      <c r="T87" s="52">
        <f>SUMIF('Billing Determinant Forecast'!$B$25:$B$100,'Billing Units'!$R87,'Billing Determinant Forecast'!K$25:K$100)/$T$10</f>
        <v>12</v>
      </c>
      <c r="U87" s="4"/>
      <c r="V87" s="378">
        <f>T87</f>
        <v>12</v>
      </c>
      <c r="W87" s="4"/>
      <c r="X87" s="4"/>
      <c r="AA87" s="6"/>
      <c r="AB87" s="6"/>
      <c r="AC87" s="6"/>
      <c r="AD87" s="6"/>
    </row>
    <row r="88" spans="3:30">
      <c r="C88" s="2"/>
      <c r="D88" s="2"/>
      <c r="E88" s="2"/>
      <c r="F88" s="2"/>
      <c r="G88" s="2"/>
      <c r="H88" s="2"/>
      <c r="I88" s="2"/>
      <c r="J88" s="2"/>
      <c r="K88" s="2"/>
      <c r="L88" s="2"/>
      <c r="M88" s="2"/>
      <c r="N88" s="2"/>
      <c r="Q88" s="4"/>
      <c r="R88" s="33"/>
      <c r="S88" s="4"/>
      <c r="T88" s="4"/>
      <c r="U88" s="4"/>
      <c r="V88" s="365"/>
      <c r="W88" s="4"/>
      <c r="X88" s="4"/>
      <c r="AA88" s="6"/>
      <c r="AB88" s="6"/>
      <c r="AC88" s="6"/>
      <c r="AD88" s="6"/>
    </row>
    <row r="89" spans="3:30">
      <c r="C89" s="2"/>
      <c r="D89" s="2"/>
      <c r="E89" s="2"/>
      <c r="F89" s="2"/>
      <c r="G89" s="2"/>
      <c r="H89" s="2"/>
      <c r="I89" s="2"/>
      <c r="J89" s="2"/>
      <c r="K89" s="2"/>
      <c r="L89" s="2"/>
      <c r="M89" s="2"/>
      <c r="N89" s="2"/>
      <c r="Q89" s="4"/>
      <c r="R89" s="33" t="s">
        <v>28</v>
      </c>
      <c r="S89" s="4"/>
      <c r="T89" s="4"/>
      <c r="U89" s="4"/>
      <c r="V89" s="365"/>
      <c r="W89" s="4"/>
      <c r="X89" s="4"/>
      <c r="AA89" s="6"/>
      <c r="AB89" s="6"/>
      <c r="AC89" s="6"/>
      <c r="AD89" s="6"/>
    </row>
    <row r="90" spans="3:30">
      <c r="C90" s="2"/>
      <c r="D90" s="2"/>
      <c r="E90" s="2"/>
      <c r="F90" s="2"/>
      <c r="G90" s="2"/>
      <c r="H90" s="2"/>
      <c r="I90" s="2"/>
      <c r="J90" s="2"/>
      <c r="K90" s="2"/>
      <c r="L90" s="2"/>
      <c r="M90" s="2"/>
      <c r="N90" s="2"/>
      <c r="Q90" s="4"/>
      <c r="R90" s="4" t="s">
        <v>142</v>
      </c>
      <c r="S90" s="4" t="s">
        <v>7</v>
      </c>
      <c r="T90" s="52">
        <f>SUMIF('Billing Determinant Forecast'!$B$25:$B$100,'Billing Units'!$R90,'Billing Determinant Forecast'!K$25:K$100)/$T$10</f>
        <v>26</v>
      </c>
      <c r="U90" s="4"/>
      <c r="V90" s="378">
        <f>T90</f>
        <v>26</v>
      </c>
      <c r="W90" s="4"/>
      <c r="X90" s="4"/>
      <c r="AA90" s="6"/>
      <c r="AB90" s="6"/>
      <c r="AC90" s="6"/>
      <c r="AD90" s="6"/>
    </row>
    <row r="91" spans="3:30">
      <c r="C91" s="2"/>
      <c r="D91" s="2"/>
      <c r="E91" s="2"/>
      <c r="F91" s="2"/>
      <c r="G91" s="2"/>
      <c r="H91" s="2"/>
      <c r="I91" s="2"/>
      <c r="J91" s="2"/>
      <c r="K91" s="2"/>
      <c r="L91" s="2"/>
      <c r="M91" s="2"/>
      <c r="N91" s="2"/>
      <c r="Q91" s="4"/>
      <c r="R91" s="33"/>
      <c r="S91" s="4"/>
      <c r="T91" s="4"/>
      <c r="U91" s="4"/>
      <c r="V91" s="365"/>
      <c r="W91" s="4"/>
      <c r="X91" s="4"/>
      <c r="AA91" s="6"/>
    </row>
    <row r="92" spans="3:30">
      <c r="C92" s="2"/>
      <c r="D92" s="2"/>
      <c r="E92" s="2"/>
      <c r="F92" s="2"/>
      <c r="G92" s="2"/>
      <c r="H92" s="2"/>
      <c r="I92" s="2"/>
      <c r="J92" s="2"/>
      <c r="K92" s="2"/>
      <c r="L92" s="2"/>
      <c r="M92" s="2"/>
      <c r="N92" s="2"/>
      <c r="Q92" s="4"/>
      <c r="R92" s="33" t="s">
        <v>29</v>
      </c>
      <c r="S92" s="4"/>
      <c r="T92" s="4"/>
      <c r="U92" s="4"/>
      <c r="V92" s="365"/>
      <c r="W92" s="4"/>
      <c r="X92" s="4"/>
      <c r="AA92" s="6"/>
    </row>
    <row r="93" spans="3:30">
      <c r="C93" s="2"/>
      <c r="D93" s="2"/>
      <c r="E93" s="2"/>
      <c r="F93" s="2"/>
      <c r="G93" s="2"/>
      <c r="H93" s="2"/>
      <c r="I93" s="2"/>
      <c r="J93" s="2"/>
      <c r="K93" s="2"/>
      <c r="L93" s="2"/>
      <c r="M93" s="2"/>
      <c r="N93" s="2"/>
      <c r="Q93" s="4"/>
      <c r="R93" s="4" t="s">
        <v>143</v>
      </c>
      <c r="S93" s="4" t="s">
        <v>7</v>
      </c>
      <c r="T93" s="52">
        <f>SUMIF('Billing Determinant Forecast'!$B$25:$B$100,'Billing Units'!$R93,'Billing Determinant Forecast'!K$25:K$100)/$T$10</f>
        <v>37</v>
      </c>
      <c r="U93" s="4"/>
      <c r="V93" s="378">
        <f>T93</f>
        <v>37</v>
      </c>
      <c r="W93" s="4"/>
      <c r="X93" s="4"/>
      <c r="AA93" s="6"/>
    </row>
    <row r="94" spans="3:30">
      <c r="C94" s="2"/>
      <c r="D94" s="2"/>
      <c r="E94" s="2"/>
      <c r="F94" s="2"/>
      <c r="G94" s="2"/>
      <c r="H94" s="2"/>
      <c r="I94" s="2"/>
      <c r="J94" s="2"/>
      <c r="K94" s="2"/>
      <c r="L94" s="2"/>
      <c r="M94" s="2"/>
      <c r="N94" s="2"/>
      <c r="Q94" s="4"/>
      <c r="R94" s="4"/>
      <c r="S94" s="4"/>
      <c r="T94" s="4"/>
      <c r="U94" s="4"/>
      <c r="V94" s="365"/>
      <c r="W94" s="4"/>
      <c r="X94" s="4"/>
      <c r="AA94" s="6"/>
    </row>
    <row r="95" spans="3:30">
      <c r="C95" s="2"/>
      <c r="D95" s="2"/>
      <c r="E95" s="2"/>
      <c r="F95" s="2"/>
      <c r="G95" s="2"/>
      <c r="H95" s="2"/>
      <c r="I95" s="2"/>
      <c r="J95" s="2"/>
      <c r="K95" s="2"/>
      <c r="L95" s="2"/>
      <c r="M95" s="2"/>
      <c r="N95" s="2"/>
      <c r="Q95" s="4"/>
      <c r="R95" s="33" t="s">
        <v>144</v>
      </c>
      <c r="S95" s="4"/>
      <c r="T95" s="4"/>
      <c r="U95" s="4"/>
      <c r="V95" s="365"/>
      <c r="W95" s="4"/>
      <c r="X95" s="4"/>
      <c r="AA95" s="6"/>
    </row>
    <row r="96" spans="3:30">
      <c r="C96" s="2"/>
      <c r="D96" s="2"/>
      <c r="E96" s="2"/>
      <c r="F96" s="2"/>
      <c r="G96" s="2"/>
      <c r="H96" s="2"/>
      <c r="I96" s="2"/>
      <c r="J96" s="2"/>
      <c r="K96" s="2"/>
      <c r="L96" s="2"/>
      <c r="M96" s="2"/>
      <c r="N96" s="2"/>
      <c r="Q96" s="4"/>
      <c r="R96" s="4" t="s">
        <v>145</v>
      </c>
      <c r="S96" s="4" t="s">
        <v>7</v>
      </c>
      <c r="T96" s="52">
        <v>0</v>
      </c>
      <c r="U96" s="4"/>
      <c r="V96" s="378">
        <v>100</v>
      </c>
      <c r="W96" s="4"/>
      <c r="X96" s="4"/>
    </row>
    <row r="97" spans="3:24">
      <c r="C97" s="2"/>
      <c r="D97" s="2"/>
      <c r="E97" s="2"/>
      <c r="F97" s="2"/>
      <c r="G97" s="2"/>
      <c r="H97" s="2"/>
      <c r="I97" s="2"/>
      <c r="J97" s="2"/>
      <c r="K97" s="2"/>
      <c r="L97" s="2"/>
      <c r="M97" s="2"/>
      <c r="N97" s="2"/>
      <c r="Q97" s="4"/>
      <c r="R97" s="4" t="s">
        <v>146</v>
      </c>
      <c r="S97" s="4" t="s">
        <v>7</v>
      </c>
      <c r="T97" s="52">
        <v>0</v>
      </c>
      <c r="U97" s="4"/>
      <c r="V97" s="378">
        <v>100</v>
      </c>
      <c r="W97" s="4"/>
      <c r="X97" s="4"/>
    </row>
    <row r="98" spans="3:24">
      <c r="C98" s="2"/>
      <c r="D98" s="2"/>
      <c r="E98" s="2"/>
      <c r="F98" s="2"/>
      <c r="G98" s="2"/>
      <c r="H98" s="2"/>
      <c r="I98" s="2"/>
      <c r="J98" s="2"/>
      <c r="K98" s="2"/>
      <c r="L98" s="2"/>
      <c r="M98" s="2"/>
      <c r="N98" s="2"/>
      <c r="Q98" s="4"/>
      <c r="R98" s="4" t="s">
        <v>147</v>
      </c>
      <c r="S98" s="4" t="s">
        <v>7</v>
      </c>
      <c r="T98" s="52">
        <v>0</v>
      </c>
      <c r="U98" s="4"/>
      <c r="V98" s="378">
        <v>100</v>
      </c>
      <c r="W98" s="4"/>
      <c r="X98" s="4"/>
    </row>
    <row r="99" spans="3:24">
      <c r="C99" s="2"/>
      <c r="D99" s="2"/>
      <c r="E99" s="2"/>
      <c r="F99" s="2"/>
      <c r="G99" s="2"/>
      <c r="H99" s="2"/>
      <c r="I99" s="2"/>
      <c r="J99" s="2"/>
      <c r="K99" s="2"/>
      <c r="L99" s="2"/>
      <c r="M99" s="2"/>
      <c r="N99" s="2"/>
      <c r="Q99" s="4"/>
      <c r="R99" s="4" t="s">
        <v>148</v>
      </c>
      <c r="S99" s="4" t="s">
        <v>7</v>
      </c>
      <c r="T99" s="52">
        <v>0</v>
      </c>
      <c r="U99" s="4"/>
      <c r="V99" s="378">
        <v>100</v>
      </c>
      <c r="W99" s="4"/>
      <c r="X99" s="4"/>
    </row>
    <row r="100" spans="3:24">
      <c r="C100" s="2"/>
      <c r="D100" s="2"/>
      <c r="E100" s="2"/>
      <c r="F100" s="2"/>
      <c r="G100" s="2"/>
      <c r="H100" s="2"/>
      <c r="I100" s="2"/>
      <c r="J100" s="2"/>
      <c r="K100" s="2"/>
      <c r="L100" s="2"/>
      <c r="M100" s="2"/>
      <c r="N100" s="2"/>
      <c r="Q100" s="4"/>
      <c r="R100" s="4" t="s">
        <v>149</v>
      </c>
      <c r="S100" s="4" t="s">
        <v>7</v>
      </c>
      <c r="T100" s="52">
        <v>0</v>
      </c>
      <c r="U100" s="4"/>
      <c r="V100" s="378">
        <v>100</v>
      </c>
      <c r="W100" s="4"/>
      <c r="X100" s="4"/>
    </row>
    <row r="101" spans="3:24">
      <c r="C101" s="2"/>
      <c r="D101" s="2"/>
      <c r="E101" s="2"/>
      <c r="F101" s="2"/>
      <c r="G101" s="2"/>
      <c r="H101" s="2"/>
      <c r="I101" s="2"/>
      <c r="J101" s="2"/>
      <c r="K101" s="2"/>
      <c r="L101" s="2"/>
      <c r="M101" s="2"/>
      <c r="N101" s="2"/>
      <c r="Q101" s="4"/>
      <c r="R101" s="4"/>
      <c r="S101" s="4"/>
      <c r="T101" s="4"/>
      <c r="U101" s="4"/>
      <c r="V101" s="4"/>
      <c r="W101" s="4"/>
      <c r="X101" s="4"/>
    </row>
    <row r="102" spans="3:24">
      <c r="C102" s="2"/>
      <c r="D102" s="2"/>
      <c r="E102" s="2"/>
      <c r="F102" s="2"/>
      <c r="G102" s="2"/>
      <c r="H102" s="2"/>
      <c r="I102" s="2"/>
      <c r="J102" s="2"/>
      <c r="K102" s="2"/>
      <c r="L102" s="2"/>
      <c r="M102" s="2"/>
      <c r="N102" s="2"/>
      <c r="Q102" s="4"/>
      <c r="R102" s="4"/>
      <c r="S102" s="4"/>
      <c r="T102" s="4"/>
      <c r="U102" s="4"/>
      <c r="V102" s="4"/>
      <c r="W102" s="4"/>
      <c r="X102" s="4"/>
    </row>
    <row r="103" spans="3:24">
      <c r="C103" s="2"/>
      <c r="D103" s="2"/>
      <c r="E103" s="2"/>
      <c r="F103" s="2"/>
      <c r="G103" s="2"/>
      <c r="H103" s="2"/>
      <c r="I103" s="2"/>
      <c r="J103" s="2"/>
      <c r="K103" s="2"/>
      <c r="L103" s="2"/>
      <c r="M103" s="2"/>
      <c r="N103" s="2"/>
    </row>
    <row r="104" spans="3:24">
      <c r="C104" s="2"/>
      <c r="D104" s="2"/>
      <c r="E104" s="2"/>
      <c r="F104" s="2"/>
      <c r="G104" s="2"/>
      <c r="H104" s="2"/>
      <c r="I104" s="2"/>
      <c r="J104" s="2"/>
      <c r="K104" s="2"/>
      <c r="L104" s="2"/>
      <c r="M104" s="2"/>
      <c r="N104" s="2"/>
    </row>
    <row r="105" spans="3:24">
      <c r="C105" s="2"/>
      <c r="D105" s="2"/>
      <c r="E105" s="2"/>
      <c r="F105" s="2"/>
      <c r="G105" s="2"/>
      <c r="H105" s="2"/>
      <c r="I105" s="2"/>
      <c r="J105" s="2"/>
      <c r="K105" s="2"/>
      <c r="L105" s="2"/>
      <c r="M105" s="2"/>
      <c r="N105" s="2"/>
    </row>
    <row r="106" spans="3:24">
      <c r="C106" s="2"/>
      <c r="D106" s="2"/>
      <c r="E106" s="2"/>
      <c r="F106" s="2"/>
      <c r="G106" s="2"/>
      <c r="H106" s="2"/>
      <c r="I106" s="2"/>
      <c r="J106" s="2"/>
      <c r="K106" s="2"/>
      <c r="L106" s="2"/>
      <c r="M106" s="2"/>
      <c r="N106" s="2"/>
    </row>
    <row r="107" spans="3:24">
      <c r="C107" s="2"/>
      <c r="D107" s="2"/>
      <c r="E107" s="2"/>
      <c r="F107" s="2"/>
      <c r="G107" s="2"/>
      <c r="H107" s="2"/>
      <c r="I107" s="2"/>
      <c r="J107" s="2"/>
      <c r="K107" s="2"/>
      <c r="L107" s="2"/>
      <c r="M107" s="2"/>
      <c r="N107" s="2"/>
    </row>
    <row r="108" spans="3:24">
      <c r="C108" s="2"/>
      <c r="D108" s="2"/>
      <c r="E108" s="2"/>
      <c r="F108" s="2"/>
      <c r="G108" s="2"/>
      <c r="H108" s="2"/>
      <c r="I108" s="2"/>
      <c r="J108" s="2"/>
      <c r="K108" s="2"/>
      <c r="L108" s="2"/>
      <c r="M108" s="2"/>
      <c r="N108" s="2"/>
    </row>
    <row r="109" spans="3:24">
      <c r="C109" s="2"/>
      <c r="D109" s="2"/>
      <c r="E109" s="2"/>
      <c r="F109" s="2"/>
      <c r="G109" s="2"/>
      <c r="H109" s="2"/>
      <c r="I109" s="2"/>
      <c r="J109" s="2"/>
      <c r="K109" s="2"/>
      <c r="L109" s="2"/>
      <c r="M109" s="2"/>
      <c r="N109" s="2"/>
    </row>
    <row r="110" spans="3:24">
      <c r="C110" s="2"/>
      <c r="D110" s="2"/>
      <c r="E110" s="2"/>
      <c r="F110" s="2"/>
      <c r="G110" s="2"/>
      <c r="H110" s="2"/>
      <c r="I110" s="2"/>
      <c r="J110" s="2"/>
      <c r="K110" s="2"/>
      <c r="L110" s="2"/>
      <c r="M110" s="2"/>
      <c r="N110" s="2"/>
    </row>
    <row r="111" spans="3:24">
      <c r="C111" s="2"/>
      <c r="D111" s="2"/>
      <c r="E111" s="2"/>
      <c r="F111" s="2"/>
      <c r="G111" s="2"/>
      <c r="H111" s="2"/>
      <c r="I111" s="2"/>
      <c r="J111" s="2"/>
      <c r="K111" s="2"/>
      <c r="L111" s="2"/>
      <c r="M111" s="2"/>
      <c r="N111" s="2"/>
    </row>
    <row r="112" spans="3:24">
      <c r="C112" s="2"/>
      <c r="D112" s="2"/>
      <c r="E112" s="2"/>
      <c r="F112" s="2"/>
      <c r="G112" s="2"/>
      <c r="H112" s="2"/>
      <c r="I112" s="2"/>
      <c r="J112" s="2"/>
      <c r="K112" s="2"/>
      <c r="L112" s="2"/>
      <c r="M112" s="2"/>
      <c r="N112" s="2"/>
    </row>
    <row r="113" spans="3:14">
      <c r="C113" s="2"/>
      <c r="D113" s="2"/>
      <c r="E113" s="2"/>
      <c r="F113" s="2"/>
      <c r="G113" s="2"/>
      <c r="H113" s="2"/>
      <c r="I113" s="2"/>
      <c r="J113" s="2"/>
      <c r="K113" s="2"/>
      <c r="L113" s="2"/>
      <c r="M113" s="2"/>
      <c r="N113" s="2"/>
    </row>
    <row r="114" spans="3:14">
      <c r="C114" s="2"/>
      <c r="D114" s="2"/>
      <c r="E114" s="2"/>
      <c r="F114" s="2"/>
      <c r="G114" s="2"/>
      <c r="H114" s="2"/>
      <c r="I114" s="2"/>
      <c r="J114" s="2"/>
      <c r="K114" s="2"/>
      <c r="L114" s="2"/>
      <c r="M114" s="2"/>
      <c r="N114" s="2"/>
    </row>
    <row r="115" spans="3:14">
      <c r="C115" s="2"/>
      <c r="D115" s="2"/>
      <c r="E115" s="2"/>
      <c r="F115" s="2"/>
      <c r="G115" s="2"/>
      <c r="H115" s="2"/>
      <c r="I115" s="2"/>
      <c r="J115" s="2"/>
      <c r="K115" s="2"/>
      <c r="L115" s="2"/>
      <c r="M115" s="2"/>
      <c r="N115" s="2"/>
    </row>
    <row r="116" spans="3:14">
      <c r="C116" s="2"/>
      <c r="D116" s="2"/>
      <c r="E116" s="2"/>
      <c r="F116" s="2"/>
      <c r="G116" s="2"/>
      <c r="H116" s="2"/>
      <c r="I116" s="2"/>
      <c r="J116" s="2"/>
      <c r="K116" s="2"/>
      <c r="L116" s="2"/>
      <c r="M116" s="2"/>
      <c r="N116" s="2"/>
    </row>
    <row r="117" spans="3:14">
      <c r="C117" s="2"/>
      <c r="D117" s="2"/>
      <c r="E117" s="2"/>
      <c r="F117" s="2"/>
      <c r="G117" s="2"/>
      <c r="H117" s="2"/>
      <c r="I117" s="2"/>
      <c r="J117" s="2"/>
      <c r="K117" s="2"/>
      <c r="L117" s="2"/>
      <c r="M117" s="2"/>
      <c r="N117" s="2"/>
    </row>
    <row r="118" spans="3:14">
      <c r="C118" s="2"/>
      <c r="D118" s="2"/>
      <c r="E118" s="2"/>
      <c r="F118" s="2"/>
      <c r="G118" s="2"/>
      <c r="H118" s="2"/>
      <c r="I118" s="2"/>
      <c r="J118" s="2"/>
      <c r="K118" s="2"/>
      <c r="L118" s="2"/>
      <c r="M118" s="2"/>
      <c r="N118" s="2"/>
    </row>
    <row r="119" spans="3:14">
      <c r="C119" s="2"/>
      <c r="D119" s="2"/>
      <c r="E119" s="2"/>
      <c r="F119" s="2"/>
      <c r="G119" s="2"/>
      <c r="H119" s="2"/>
      <c r="I119" s="2"/>
      <c r="J119" s="2"/>
      <c r="K119" s="2"/>
      <c r="L119" s="2"/>
      <c r="M119" s="2"/>
      <c r="N119" s="2"/>
    </row>
    <row r="120" spans="3:14">
      <c r="C120" s="2"/>
      <c r="D120" s="2"/>
      <c r="E120" s="2"/>
      <c r="F120" s="2"/>
      <c r="G120" s="2"/>
      <c r="H120" s="2"/>
      <c r="I120" s="2"/>
      <c r="J120" s="2"/>
      <c r="K120" s="2"/>
      <c r="L120" s="2"/>
      <c r="M120" s="2"/>
      <c r="N120" s="2"/>
    </row>
    <row r="121" spans="3:14">
      <c r="C121" s="2"/>
      <c r="D121" s="2"/>
      <c r="E121" s="2"/>
      <c r="F121" s="2"/>
      <c r="G121" s="2"/>
      <c r="H121" s="2"/>
      <c r="I121" s="2"/>
      <c r="J121" s="2"/>
      <c r="K121" s="2"/>
      <c r="L121" s="2"/>
      <c r="M121" s="2"/>
      <c r="N121" s="2"/>
    </row>
    <row r="122" spans="3:14">
      <c r="C122" s="2"/>
      <c r="D122" s="2"/>
      <c r="E122" s="2"/>
      <c r="F122" s="2"/>
      <c r="G122" s="2"/>
      <c r="H122" s="2"/>
      <c r="I122" s="2"/>
      <c r="J122" s="2"/>
      <c r="K122" s="2"/>
      <c r="L122" s="2"/>
      <c r="M122" s="2"/>
      <c r="N122" s="2"/>
    </row>
    <row r="123" spans="3:14">
      <c r="C123" s="2"/>
      <c r="D123" s="2"/>
      <c r="E123" s="2"/>
      <c r="F123" s="2"/>
      <c r="G123" s="2"/>
      <c r="H123" s="2"/>
      <c r="I123" s="2"/>
      <c r="J123" s="2"/>
      <c r="K123" s="2"/>
      <c r="L123" s="2"/>
      <c r="M123" s="2"/>
      <c r="N123" s="2"/>
    </row>
    <row r="124" spans="3:14">
      <c r="C124" s="2"/>
      <c r="D124" s="2"/>
      <c r="E124" s="2"/>
      <c r="F124" s="2"/>
      <c r="G124" s="2"/>
      <c r="H124" s="2"/>
      <c r="I124" s="2"/>
      <c r="J124" s="2"/>
      <c r="K124" s="2"/>
      <c r="L124" s="2"/>
      <c r="M124" s="2"/>
      <c r="N124" s="2"/>
    </row>
    <row r="125" spans="3:14">
      <c r="C125" s="2"/>
      <c r="D125" s="2"/>
      <c r="E125" s="2"/>
      <c r="F125" s="2"/>
      <c r="G125" s="2"/>
      <c r="H125" s="2"/>
      <c r="I125" s="2"/>
      <c r="J125" s="2"/>
      <c r="K125" s="2"/>
      <c r="L125" s="2"/>
      <c r="M125" s="2"/>
      <c r="N125" s="2"/>
    </row>
    <row r="126" spans="3:14">
      <c r="C126" s="2"/>
      <c r="D126" s="2"/>
      <c r="E126" s="2"/>
      <c r="F126" s="2"/>
      <c r="G126" s="2"/>
      <c r="H126" s="2"/>
      <c r="I126" s="2"/>
      <c r="J126" s="2"/>
      <c r="K126" s="2"/>
      <c r="L126" s="2"/>
      <c r="M126" s="2"/>
      <c r="N126" s="2"/>
    </row>
    <row r="127" spans="3:14">
      <c r="C127" s="2"/>
      <c r="D127" s="2"/>
      <c r="E127" s="2"/>
      <c r="F127" s="2"/>
      <c r="G127" s="2"/>
      <c r="H127" s="2"/>
      <c r="I127" s="2"/>
      <c r="J127" s="2"/>
      <c r="K127" s="2"/>
      <c r="L127" s="2"/>
      <c r="M127" s="2"/>
      <c r="N127" s="2"/>
    </row>
  </sheetData>
  <mergeCells count="8">
    <mergeCell ref="H42:J42"/>
    <mergeCell ref="C2:E2"/>
    <mergeCell ref="C41:E41"/>
    <mergeCell ref="D3:F3"/>
    <mergeCell ref="M3:N3"/>
    <mergeCell ref="H3:J3"/>
    <mergeCell ref="D42:F42"/>
    <mergeCell ref="M42:N42"/>
  </mergeCells>
  <phoneticPr fontId="12" type="noConversion"/>
  <pageMargins left="0.7" right="0.7" top="0.75" bottom="0.75" header="0.3" footer="0.3"/>
  <pageSetup scale="59" orientation="landscape" r:id="rId1"/>
  <headerFooter>
    <oddHeader>&amp;L&amp;"Calibri"&amp;10&amp;K0000FFTRADING PARTNER&amp;1#</oddHead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79202-FB8A-45A6-9DCA-A143A2D7F42C}">
  <sheetPr codeName="Sheet19">
    <tabColor theme="0" tint="-0.14999847407452621"/>
  </sheetPr>
  <dimension ref="A1:BC106"/>
  <sheetViews>
    <sheetView workbookViewId="0">
      <selection activeCell="C26" sqref="C26"/>
    </sheetView>
  </sheetViews>
  <sheetFormatPr defaultColWidth="8.5" defaultRowHeight="13.2"/>
  <cols>
    <col min="1" max="1" width="2.5" style="2" customWidth="1"/>
    <col min="2" max="2" width="8.296875" style="2" customWidth="1"/>
    <col min="3" max="3" width="8.5" style="3"/>
    <col min="4" max="6" width="13" style="3" customWidth="1"/>
    <col min="7" max="7" width="2.796875" style="3" customWidth="1"/>
    <col min="8" max="8" width="13.5" style="3" customWidth="1"/>
    <col min="9" max="9" width="14.5" style="3" customWidth="1"/>
    <col min="10" max="10" width="11.5" style="3" customWidth="1"/>
    <col min="11" max="11" width="3" style="3" customWidth="1"/>
    <col min="12" max="12" width="2.296875" style="3" customWidth="1"/>
    <col min="13" max="14" width="11.5" style="3" customWidth="1"/>
    <col min="15" max="15" width="3.296875" style="2" customWidth="1"/>
    <col min="16" max="16" width="2.5" style="2" customWidth="1"/>
    <col min="17" max="17" width="3.296875" style="2" customWidth="1"/>
    <col min="18" max="18" width="22.5" style="34" customWidth="1"/>
    <col min="19" max="19" width="34.5" style="2" customWidth="1"/>
    <col min="20" max="20" width="22.5" style="2" customWidth="1"/>
    <col min="21" max="21" width="9.296875" style="2" customWidth="1"/>
    <col min="22" max="22" width="22.5" style="2" customWidth="1"/>
    <col min="23" max="23" width="9" style="2" customWidth="1"/>
    <col min="24" max="24" width="3.296875" style="2" customWidth="1"/>
    <col min="25" max="25" width="3" style="2" customWidth="1"/>
    <col min="26" max="26" width="3.296875" style="2" customWidth="1"/>
    <col min="27" max="27" width="22.796875" style="2" customWidth="1"/>
    <col min="28" max="31" width="15" style="2" customWidth="1"/>
    <col min="32" max="32" width="25.296875" style="2" customWidth="1"/>
    <col min="33" max="33" width="3.296875" style="2" customWidth="1"/>
    <col min="34" max="16384" width="8.5" style="2"/>
  </cols>
  <sheetData>
    <row r="1" spans="1:55" s="3" customFormat="1">
      <c r="A1" s="2"/>
      <c r="B1" s="2"/>
      <c r="C1" s="2"/>
      <c r="D1" s="2"/>
      <c r="E1" s="2"/>
      <c r="F1" s="2"/>
      <c r="G1" s="2"/>
      <c r="H1" s="2"/>
      <c r="I1" s="2"/>
      <c r="J1" s="2"/>
      <c r="K1" s="2"/>
      <c r="L1" s="2"/>
      <c r="M1" s="2"/>
      <c r="N1" s="2"/>
      <c r="O1" s="2"/>
      <c r="P1" s="2"/>
      <c r="Q1" s="2"/>
      <c r="R1" s="309">
        <f>'Revenue Summary'!I51</f>
        <v>235233449.41806769</v>
      </c>
      <c r="S1" s="2"/>
      <c r="T1" s="2"/>
      <c r="U1" s="2"/>
      <c r="V1" s="307">
        <v>0.49</v>
      </c>
      <c r="W1" s="308" t="s">
        <v>150</v>
      </c>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row>
    <row r="2" spans="1:55" s="3" customFormat="1">
      <c r="A2" s="2"/>
      <c r="B2" s="4"/>
      <c r="C2" s="4" t="s">
        <v>151</v>
      </c>
      <c r="D2" s="4"/>
      <c r="E2" s="4"/>
      <c r="F2" s="4"/>
      <c r="G2" s="4"/>
      <c r="H2" s="4"/>
      <c r="I2" s="4"/>
      <c r="J2" s="4"/>
      <c r="K2" s="4"/>
      <c r="L2" s="4"/>
      <c r="M2" s="4"/>
      <c r="N2" s="4"/>
      <c r="O2" s="4"/>
      <c r="P2" s="2"/>
      <c r="Q2" s="4"/>
      <c r="R2" s="33" t="s">
        <v>32</v>
      </c>
      <c r="S2" s="4"/>
      <c r="T2" s="4"/>
      <c r="U2" s="4"/>
      <c r="V2" s="4"/>
      <c r="W2" s="4"/>
      <c r="X2" s="4"/>
      <c r="Y2" s="2"/>
      <c r="Z2" s="4"/>
      <c r="AA2" s="4" t="s">
        <v>33</v>
      </c>
      <c r="AB2" s="4"/>
      <c r="AC2" s="4"/>
      <c r="AD2" s="4"/>
      <c r="AE2" s="4"/>
      <c r="AF2" s="4"/>
      <c r="AG2" s="4"/>
      <c r="AH2" s="2"/>
      <c r="AI2" s="2"/>
      <c r="AJ2" s="2"/>
      <c r="AK2" s="2"/>
      <c r="AL2" s="2"/>
      <c r="AM2" s="2"/>
      <c r="AN2" s="2"/>
      <c r="AO2" s="2"/>
      <c r="AP2" s="2"/>
      <c r="AQ2" s="2"/>
      <c r="AR2" s="2"/>
      <c r="AS2" s="2"/>
      <c r="AT2" s="2"/>
      <c r="AU2" s="2"/>
      <c r="AV2" s="2"/>
      <c r="AW2" s="2"/>
      <c r="AX2" s="2"/>
      <c r="AY2" s="2"/>
      <c r="AZ2" s="2"/>
      <c r="BA2" s="2"/>
      <c r="BB2" s="2"/>
      <c r="BC2" s="2"/>
    </row>
    <row r="3" spans="1:55" s="3" customFormat="1" ht="15" customHeight="1">
      <c r="A3" s="2"/>
      <c r="B3" s="4"/>
      <c r="C3" s="4"/>
      <c r="D3" s="1617" t="s">
        <v>152</v>
      </c>
      <c r="E3" s="1618"/>
      <c r="F3" s="1619"/>
      <c r="G3" s="5"/>
      <c r="H3" s="1620" t="s">
        <v>153</v>
      </c>
      <c r="I3" s="1627"/>
      <c r="J3" s="1615"/>
      <c r="K3" s="10"/>
      <c r="L3" s="10"/>
      <c r="M3" s="1620" t="s">
        <v>154</v>
      </c>
      <c r="N3" s="1615"/>
      <c r="O3" s="4"/>
      <c r="P3" s="6"/>
      <c r="Q3" s="4"/>
      <c r="R3" s="4"/>
      <c r="S3" s="8" t="s">
        <v>37</v>
      </c>
      <c r="T3" s="1625" t="s">
        <v>38</v>
      </c>
      <c r="U3" s="1625"/>
      <c r="V3" s="1628" t="s">
        <v>39</v>
      </c>
      <c r="W3" s="1628"/>
      <c r="X3" s="4"/>
      <c r="Y3" s="2"/>
      <c r="Z3" s="4"/>
      <c r="AA3" s="8" t="s">
        <v>40</v>
      </c>
      <c r="AB3" s="1625" t="s">
        <v>41</v>
      </c>
      <c r="AC3" s="1625"/>
      <c r="AD3" s="1625" t="s">
        <v>42</v>
      </c>
      <c r="AE3" s="1625"/>
      <c r="AF3" s="5" t="s">
        <v>43</v>
      </c>
      <c r="AG3" s="4"/>
      <c r="AH3" s="2"/>
      <c r="AI3" s="2"/>
      <c r="AJ3" s="2"/>
      <c r="AK3" s="2"/>
      <c r="AL3" s="2"/>
      <c r="AM3" s="2"/>
      <c r="AN3" s="2"/>
      <c r="AO3" s="2"/>
      <c r="AP3" s="2"/>
      <c r="AQ3" s="2"/>
      <c r="AR3" s="2"/>
      <c r="AS3" s="2"/>
      <c r="AT3" s="2"/>
      <c r="AU3" s="2"/>
      <c r="AV3" s="2"/>
      <c r="AW3" s="2"/>
      <c r="AX3" s="2"/>
      <c r="AY3" s="2"/>
      <c r="AZ3" s="2"/>
      <c r="BA3" s="2"/>
      <c r="BB3" s="2"/>
      <c r="BC3" s="2"/>
    </row>
    <row r="4" spans="1:55" s="3" customFormat="1" ht="14.55" customHeight="1">
      <c r="A4" s="2"/>
      <c r="B4" s="5"/>
      <c r="C4" s="4"/>
      <c r="D4" s="5"/>
      <c r="E4" s="5"/>
      <c r="F4" s="5"/>
      <c r="G4" s="5"/>
      <c r="H4" s="5"/>
      <c r="I4" s="5"/>
      <c r="J4" s="5"/>
      <c r="K4" s="5"/>
      <c r="L4" s="5"/>
      <c r="M4" s="5"/>
      <c r="N4" s="5"/>
      <c r="O4" s="5"/>
      <c r="P4" s="6"/>
      <c r="Q4" s="4"/>
      <c r="R4" s="4"/>
      <c r="S4" s="43" t="s">
        <v>5</v>
      </c>
      <c r="T4" s="5" t="s">
        <v>155</v>
      </c>
      <c r="U4" s="5" t="s">
        <v>156</v>
      </c>
      <c r="V4" s="5" t="s">
        <v>155</v>
      </c>
      <c r="W4" s="5" t="s">
        <v>156</v>
      </c>
      <c r="X4" s="4"/>
      <c r="Y4" s="2"/>
      <c r="Z4" s="5"/>
      <c r="AA4" s="5"/>
      <c r="AB4" s="5"/>
      <c r="AC4" s="5"/>
      <c r="AD4" s="5"/>
      <c r="AE4" s="5"/>
      <c r="AF4" s="5"/>
      <c r="AG4" s="5"/>
      <c r="AH4" s="2"/>
      <c r="AI4" s="2"/>
      <c r="AJ4" s="2"/>
      <c r="AK4" s="2"/>
      <c r="AL4" s="2"/>
      <c r="AM4" s="2"/>
      <c r="AN4" s="2"/>
      <c r="AO4" s="2"/>
      <c r="AP4" s="2"/>
      <c r="AQ4" s="2"/>
      <c r="AR4" s="2"/>
      <c r="AS4" s="2"/>
      <c r="AT4" s="2"/>
      <c r="AU4" s="2"/>
      <c r="AV4" s="2"/>
      <c r="AW4" s="2"/>
      <c r="AX4" s="2"/>
      <c r="AY4" s="2"/>
      <c r="AZ4" s="2"/>
      <c r="BA4" s="2"/>
      <c r="BB4" s="2"/>
      <c r="BC4" s="2"/>
    </row>
    <row r="5" spans="1:55" s="3" customFormat="1">
      <c r="A5" s="2"/>
      <c r="B5" s="4"/>
      <c r="C5" s="4"/>
      <c r="D5" s="5"/>
      <c r="E5" s="5"/>
      <c r="F5" s="5"/>
      <c r="G5" s="5"/>
      <c r="H5" s="5" t="s">
        <v>44</v>
      </c>
      <c r="I5" s="5" t="s">
        <v>45</v>
      </c>
      <c r="J5" s="5"/>
      <c r="K5" s="5"/>
      <c r="L5" s="5"/>
      <c r="M5" s="5"/>
      <c r="N5" s="5"/>
      <c r="O5" s="4"/>
      <c r="P5" s="2"/>
      <c r="Q5" s="4"/>
      <c r="R5" s="4" t="s">
        <v>47</v>
      </c>
      <c r="S5" s="55" t="s">
        <v>48</v>
      </c>
      <c r="T5" s="59">
        <f>'Rate Summary'!C167</f>
        <v>9.7790000000000002E-2</v>
      </c>
      <c r="U5" s="51" t="s">
        <v>157</v>
      </c>
      <c r="V5" s="372">
        <v>0.14000000000000001</v>
      </c>
      <c r="W5" s="378" t="s">
        <v>157</v>
      </c>
      <c r="X5" s="4"/>
      <c r="Y5" s="2"/>
      <c r="Z5" s="4"/>
      <c r="AA5" s="43" t="s">
        <v>49</v>
      </c>
      <c r="AB5" s="48">
        <f>ROUND('Billing Determinant Forecast'!E3/'Billing Units'!AB5,6)</f>
        <v>0.110197</v>
      </c>
      <c r="AC5" s="47" t="s">
        <v>157</v>
      </c>
      <c r="AD5" s="382">
        <f>AB5</f>
        <v>0.110197</v>
      </c>
      <c r="AE5" s="45" t="s">
        <v>157</v>
      </c>
      <c r="AF5" s="50" t="s">
        <v>50</v>
      </c>
      <c r="AG5" s="4"/>
      <c r="AH5" s="2"/>
      <c r="AI5" s="2"/>
      <c r="AJ5" s="2"/>
      <c r="AK5" s="2"/>
      <c r="AL5" s="2"/>
      <c r="AM5" s="2"/>
      <c r="AN5" s="2"/>
      <c r="AO5" s="2"/>
      <c r="AP5" s="2"/>
      <c r="AQ5" s="2"/>
      <c r="AR5" s="2"/>
      <c r="AS5" s="2"/>
      <c r="AT5" s="2"/>
      <c r="AU5" s="2"/>
      <c r="AV5" s="2"/>
      <c r="AW5" s="2"/>
      <c r="AX5" s="2"/>
      <c r="AY5" s="2"/>
      <c r="AZ5" s="2"/>
      <c r="BA5" s="2"/>
      <c r="BB5" s="2"/>
      <c r="BC5" s="2"/>
    </row>
    <row r="6" spans="1:55" s="3" customFormat="1">
      <c r="A6" s="2"/>
      <c r="B6" s="4"/>
      <c r="C6" s="4" t="s">
        <v>3</v>
      </c>
      <c r="D6" s="58">
        <f>'Rate Summary'!C12</f>
        <v>4</v>
      </c>
      <c r="E6" s="5"/>
      <c r="F6" s="5"/>
      <c r="G6" s="7"/>
      <c r="H6" s="59">
        <f>'Rate Summary'!C15</f>
        <v>4.9439999999999998E-2</v>
      </c>
      <c r="I6" s="59">
        <f>'Rate Summary'!C16</f>
        <v>5.5640000000000002E-2</v>
      </c>
      <c r="J6" s="7"/>
      <c r="K6" s="7"/>
      <c r="L6" s="7"/>
      <c r="M6" s="7"/>
      <c r="N6" s="7"/>
      <c r="O6" s="4"/>
      <c r="P6" s="2"/>
      <c r="Q6" s="4"/>
      <c r="R6" s="4" t="s">
        <v>47</v>
      </c>
      <c r="S6" s="55" t="s">
        <v>45</v>
      </c>
      <c r="T6" s="59">
        <f>'Rate Summary'!C168</f>
        <v>8.7790000000000007E-2</v>
      </c>
      <c r="U6" s="51" t="s">
        <v>157</v>
      </c>
      <c r="V6" s="372">
        <v>0.17499999999999999</v>
      </c>
      <c r="W6" s="378" t="s">
        <v>157</v>
      </c>
      <c r="X6" s="4"/>
      <c r="Y6" s="2"/>
      <c r="Z6" s="4"/>
      <c r="AA6" s="43"/>
      <c r="AB6" s="49"/>
      <c r="AC6" s="5"/>
      <c r="AD6" s="383"/>
      <c r="AE6" s="5"/>
      <c r="AF6" s="43"/>
      <c r="AG6" s="4"/>
      <c r="AH6" s="2"/>
      <c r="AI6" s="2"/>
      <c r="AJ6" s="2"/>
      <c r="AK6" s="2"/>
      <c r="AL6" s="2"/>
      <c r="AM6" s="2"/>
      <c r="AN6" s="2"/>
      <c r="AO6" s="2"/>
      <c r="AP6" s="2"/>
      <c r="AQ6" s="2"/>
      <c r="AR6" s="2"/>
      <c r="AS6" s="2"/>
      <c r="AT6" s="2"/>
      <c r="AU6" s="2"/>
      <c r="AV6" s="2"/>
      <c r="AW6" s="2"/>
      <c r="AX6" s="2"/>
      <c r="AY6" s="2"/>
      <c r="AZ6" s="2"/>
      <c r="BA6" s="2"/>
      <c r="BB6" s="2"/>
      <c r="BC6" s="2"/>
    </row>
    <row r="7" spans="1:55" s="3" customFormat="1" ht="14.55" customHeight="1">
      <c r="A7" s="2"/>
      <c r="B7" s="4"/>
      <c r="C7" s="4"/>
      <c r="D7" s="4"/>
      <c r="E7" s="5"/>
      <c r="F7" s="5"/>
      <c r="G7" s="7"/>
      <c r="H7" s="4" t="s">
        <v>51</v>
      </c>
      <c r="I7" s="4" t="s">
        <v>52</v>
      </c>
      <c r="J7" s="4" t="s">
        <v>53</v>
      </c>
      <c r="K7" s="4"/>
      <c r="L7" s="7"/>
      <c r="M7" s="7"/>
      <c r="N7" s="7"/>
      <c r="O7" s="4"/>
      <c r="P7" s="2"/>
      <c r="Q7" s="4"/>
      <c r="R7" s="4"/>
      <c r="S7" s="55"/>
      <c r="T7" s="55"/>
      <c r="U7" s="55"/>
      <c r="V7" s="379"/>
      <c r="W7" s="365"/>
      <c r="X7" s="4"/>
      <c r="Y7" s="2"/>
      <c r="Z7" s="4"/>
      <c r="AA7" s="43" t="s">
        <v>54</v>
      </c>
      <c r="AB7" s="48">
        <f>ROUND('Billing Determinant Forecast'!E6/'Billing Units'!AB7,6)</f>
        <v>4.6743E-2</v>
      </c>
      <c r="AC7" s="47" t="s">
        <v>157</v>
      </c>
      <c r="AD7" s="382">
        <f>AB7</f>
        <v>4.6743E-2</v>
      </c>
      <c r="AE7" s="45" t="s">
        <v>157</v>
      </c>
      <c r="AF7" s="50" t="s">
        <v>50</v>
      </c>
      <c r="AG7" s="4"/>
      <c r="AH7" s="2"/>
      <c r="AI7" s="2"/>
      <c r="AJ7" s="2"/>
      <c r="AK7" s="2"/>
      <c r="AL7" s="2"/>
      <c r="AM7" s="2"/>
      <c r="AN7" s="2"/>
      <c r="AO7" s="2"/>
      <c r="AP7" s="2"/>
      <c r="AQ7" s="2"/>
      <c r="AR7" s="2"/>
      <c r="AS7" s="2"/>
      <c r="AT7" s="2"/>
      <c r="AU7" s="2"/>
      <c r="AV7" s="2"/>
      <c r="AW7" s="2"/>
      <c r="AX7" s="2"/>
      <c r="AY7" s="2"/>
      <c r="AZ7" s="2"/>
      <c r="BA7" s="2"/>
      <c r="BB7" s="2"/>
      <c r="BC7" s="2"/>
    </row>
    <row r="8" spans="1:55" s="3" customFormat="1">
      <c r="A8" s="2"/>
      <c r="B8" s="4"/>
      <c r="C8" s="4" t="s">
        <v>55</v>
      </c>
      <c r="D8" s="38"/>
      <c r="E8" s="5"/>
      <c r="F8" s="5"/>
      <c r="G8" s="7"/>
      <c r="H8" s="39"/>
      <c r="I8" s="39"/>
      <c r="J8" s="39"/>
      <c r="K8" s="350"/>
      <c r="L8" s="7"/>
      <c r="M8" s="7"/>
      <c r="N8" s="7"/>
      <c r="O8" s="4"/>
      <c r="P8" s="2"/>
      <c r="Q8" s="2"/>
      <c r="R8" s="34"/>
      <c r="S8" s="2"/>
      <c r="T8" s="2"/>
      <c r="U8" s="2"/>
      <c r="V8" s="361"/>
      <c r="W8" s="361"/>
      <c r="X8" s="2"/>
      <c r="Y8" s="2"/>
      <c r="Z8" s="4"/>
      <c r="AA8" s="43"/>
      <c r="AB8" s="49"/>
      <c r="AC8" s="5"/>
      <c r="AD8" s="383"/>
      <c r="AE8" s="5"/>
      <c r="AF8" s="43"/>
      <c r="AG8" s="4"/>
      <c r="AH8" s="2"/>
      <c r="AI8" s="2"/>
      <c r="AJ8" s="2"/>
      <c r="AK8" s="2"/>
      <c r="AL8" s="2"/>
      <c r="AM8" s="2"/>
      <c r="AN8" s="2"/>
      <c r="AO8" s="2"/>
      <c r="AP8" s="2"/>
      <c r="AQ8" s="2"/>
      <c r="AR8" s="2"/>
      <c r="AS8" s="2"/>
      <c r="AT8" s="2"/>
      <c r="AU8" s="2"/>
      <c r="AV8" s="2"/>
      <c r="AW8" s="2"/>
      <c r="AX8" s="2"/>
      <c r="AY8" s="2"/>
      <c r="AZ8" s="2"/>
      <c r="BA8" s="2"/>
      <c r="BB8" s="2"/>
      <c r="BC8" s="2"/>
    </row>
    <row r="9" spans="1:55" s="3" customFormat="1">
      <c r="A9" s="2"/>
      <c r="B9" s="4"/>
      <c r="C9" s="7"/>
      <c r="D9" s="7"/>
      <c r="E9" s="5"/>
      <c r="F9" s="5"/>
      <c r="G9" s="7"/>
      <c r="H9" s="5" t="s">
        <v>44</v>
      </c>
      <c r="I9" s="5" t="s">
        <v>45</v>
      </c>
      <c r="J9" s="7"/>
      <c r="K9" s="7"/>
      <c r="L9" s="7"/>
      <c r="M9" s="7"/>
      <c r="N9" s="7"/>
      <c r="O9" s="4"/>
      <c r="P9" s="2"/>
      <c r="Q9" s="4"/>
      <c r="R9" s="33" t="s">
        <v>56</v>
      </c>
      <c r="S9" s="4"/>
      <c r="T9" s="4"/>
      <c r="U9" s="4"/>
      <c r="V9" s="365"/>
      <c r="W9" s="365"/>
      <c r="X9" s="4"/>
      <c r="Y9" s="2"/>
      <c r="Z9" s="4"/>
      <c r="AA9" s="43" t="s">
        <v>57</v>
      </c>
      <c r="AB9" s="48">
        <v>0</v>
      </c>
      <c r="AC9" s="47" t="s">
        <v>157</v>
      </c>
      <c r="AD9" s="382">
        <f>AB9</f>
        <v>0</v>
      </c>
      <c r="AE9" s="45" t="s">
        <v>157</v>
      </c>
      <c r="AF9" s="50" t="s">
        <v>58</v>
      </c>
      <c r="AG9" s="4"/>
      <c r="AH9" s="2"/>
      <c r="AI9" s="2"/>
      <c r="AJ9" s="2"/>
      <c r="AK9" s="2"/>
      <c r="AL9" s="2"/>
      <c r="AM9" s="2"/>
      <c r="AN9" s="2"/>
      <c r="AO9" s="2"/>
      <c r="AP9" s="2"/>
      <c r="AQ9" s="2"/>
      <c r="AR9" s="2"/>
      <c r="AS9" s="2"/>
      <c r="AT9" s="2"/>
      <c r="AU9" s="2"/>
      <c r="AV9" s="2"/>
      <c r="AW9" s="2"/>
      <c r="AX9" s="2"/>
      <c r="AY9" s="2"/>
      <c r="AZ9" s="2"/>
      <c r="BA9" s="2"/>
      <c r="BB9" s="2"/>
      <c r="BC9" s="2"/>
    </row>
    <row r="10" spans="1:55" s="3" customFormat="1">
      <c r="A10" s="2"/>
      <c r="B10" s="4"/>
      <c r="C10" s="7" t="s">
        <v>6</v>
      </c>
      <c r="D10" s="58">
        <f>'Rate Summary'!C20</f>
        <v>3</v>
      </c>
      <c r="E10" s="5"/>
      <c r="F10" s="5"/>
      <c r="G10" s="7"/>
      <c r="H10" s="59">
        <f>'Rate Summary'!C23</f>
        <v>2.0539999999999999E-2</v>
      </c>
      <c r="I10" s="59">
        <f>'Rate Summary'!C24</f>
        <v>5.5640000000000002E-2</v>
      </c>
      <c r="J10" s="7"/>
      <c r="K10" s="7"/>
      <c r="L10" s="7"/>
      <c r="M10" s="7"/>
      <c r="N10" s="7"/>
      <c r="O10" s="4"/>
      <c r="P10" s="2"/>
      <c r="Q10" s="4"/>
      <c r="R10" s="33"/>
      <c r="S10" s="4"/>
      <c r="T10" s="4"/>
      <c r="U10" s="4"/>
      <c r="V10" s="365"/>
      <c r="W10" s="365"/>
      <c r="X10" s="4"/>
      <c r="Y10" s="2"/>
      <c r="Z10" s="4"/>
      <c r="AA10" s="43"/>
      <c r="AB10" s="49"/>
      <c r="AC10" s="5"/>
      <c r="AD10" s="383"/>
      <c r="AE10" s="5"/>
      <c r="AF10" s="43"/>
      <c r="AG10" s="4"/>
      <c r="AH10" s="2"/>
      <c r="AI10" s="2"/>
      <c r="AJ10" s="2"/>
      <c r="AK10" s="2"/>
      <c r="AL10" s="2"/>
      <c r="AM10" s="2"/>
      <c r="AN10" s="2"/>
      <c r="AO10" s="2"/>
      <c r="AP10" s="2"/>
      <c r="AQ10" s="2"/>
      <c r="AR10" s="2"/>
      <c r="AS10" s="2"/>
      <c r="AT10" s="2"/>
      <c r="AU10" s="2"/>
      <c r="AV10" s="2"/>
      <c r="AW10" s="2"/>
      <c r="AX10" s="2"/>
      <c r="AY10" s="2"/>
      <c r="AZ10" s="2"/>
      <c r="BA10" s="2"/>
      <c r="BB10" s="2"/>
      <c r="BC10" s="2"/>
    </row>
    <row r="11" spans="1:55" s="3" customFormat="1">
      <c r="A11" s="2"/>
      <c r="B11" s="4"/>
      <c r="C11" s="7"/>
      <c r="D11" s="7"/>
      <c r="E11" s="5"/>
      <c r="F11" s="5"/>
      <c r="G11" s="7"/>
      <c r="H11" s="5" t="s">
        <v>44</v>
      </c>
      <c r="I11" s="5" t="s">
        <v>45</v>
      </c>
      <c r="J11" s="7"/>
      <c r="K11" s="7"/>
      <c r="L11" s="7"/>
      <c r="M11" s="7"/>
      <c r="N11" s="7"/>
      <c r="O11" s="4"/>
      <c r="P11" s="2"/>
      <c r="Q11" s="5"/>
      <c r="R11" s="54" t="s">
        <v>60</v>
      </c>
      <c r="S11" s="8" t="s">
        <v>37</v>
      </c>
      <c r="T11" s="1625" t="s">
        <v>158</v>
      </c>
      <c r="U11" s="1625"/>
      <c r="V11" s="1626" t="s">
        <v>159</v>
      </c>
      <c r="W11" s="1626"/>
      <c r="X11" s="5"/>
      <c r="Y11" s="2"/>
      <c r="Z11" s="4"/>
      <c r="AA11" s="43" t="s">
        <v>61</v>
      </c>
      <c r="AB11" s="48">
        <f>ROUND(93592037/'Billing Units'!AB7,6)</f>
        <v>6.0280000000000004E-3</v>
      </c>
      <c r="AC11" s="47" t="s">
        <v>157</v>
      </c>
      <c r="AD11" s="382">
        <f>AB11</f>
        <v>6.0280000000000004E-3</v>
      </c>
      <c r="AE11" s="45" t="s">
        <v>157</v>
      </c>
      <c r="AF11" s="50" t="s">
        <v>50</v>
      </c>
      <c r="AG11" s="4"/>
      <c r="AH11" s="2"/>
      <c r="AI11" s="2"/>
      <c r="AJ11" s="2"/>
      <c r="AK11" s="2"/>
      <c r="AL11" s="2"/>
      <c r="AM11" s="2"/>
      <c r="AN11" s="2"/>
      <c r="AO11" s="2"/>
      <c r="AP11" s="2"/>
      <c r="AQ11" s="2"/>
      <c r="AR11" s="2"/>
      <c r="AS11" s="2"/>
      <c r="AT11" s="2"/>
      <c r="AU11" s="2"/>
      <c r="AV11" s="2"/>
      <c r="AW11" s="2"/>
      <c r="AX11" s="2"/>
      <c r="AY11" s="2"/>
      <c r="AZ11" s="2"/>
      <c r="BA11" s="2"/>
      <c r="BB11" s="2"/>
      <c r="BC11" s="2"/>
    </row>
    <row r="12" spans="1:55" s="3" customFormat="1" ht="15" customHeight="1">
      <c r="A12" s="2"/>
      <c r="B12" s="4"/>
      <c r="C12" s="7" t="s">
        <v>8</v>
      </c>
      <c r="D12" s="58">
        <f>'Rate Summary'!C28</f>
        <v>2</v>
      </c>
      <c r="E12" s="5"/>
      <c r="F12" s="5"/>
      <c r="G12" s="7"/>
      <c r="H12" s="59">
        <f>'Rate Summary'!C31</f>
        <v>6.94E-3</v>
      </c>
      <c r="I12" s="59">
        <f>'Rate Summary'!C32</f>
        <v>5.5640000000000002E-2</v>
      </c>
      <c r="J12" s="7"/>
      <c r="K12" s="7"/>
      <c r="L12" s="7"/>
      <c r="M12" s="7"/>
      <c r="N12" s="7"/>
      <c r="O12" s="4"/>
      <c r="P12" s="2"/>
      <c r="Q12" s="5"/>
      <c r="R12" s="353"/>
      <c r="S12" s="5"/>
      <c r="T12" s="5"/>
      <c r="U12" s="5"/>
      <c r="V12" s="367"/>
      <c r="W12" s="367"/>
      <c r="X12" s="5"/>
      <c r="Y12" s="2"/>
      <c r="Z12" s="4"/>
      <c r="AA12" s="43"/>
      <c r="AB12" s="49"/>
      <c r="AC12" s="5"/>
      <c r="AD12" s="383"/>
      <c r="AE12" s="5"/>
      <c r="AF12" s="43"/>
      <c r="AG12" s="4"/>
      <c r="AH12" s="2"/>
      <c r="AI12" s="2"/>
      <c r="AJ12" s="2"/>
      <c r="AK12" s="2"/>
      <c r="AL12" s="2"/>
      <c r="AM12" s="2"/>
      <c r="AN12" s="2"/>
      <c r="AO12" s="2"/>
      <c r="AP12" s="2"/>
      <c r="AQ12" s="2"/>
      <c r="AR12" s="2"/>
      <c r="AS12" s="2"/>
      <c r="AT12" s="2"/>
      <c r="AU12" s="2"/>
      <c r="AV12" s="2"/>
      <c r="AW12" s="2"/>
      <c r="AX12" s="2"/>
      <c r="AY12" s="2"/>
      <c r="AZ12" s="2"/>
      <c r="BA12" s="2"/>
      <c r="BB12" s="2"/>
      <c r="BC12" s="2"/>
    </row>
    <row r="13" spans="1:55" s="3" customFormat="1">
      <c r="A13" s="2"/>
      <c r="B13" s="4"/>
      <c r="C13" s="7"/>
      <c r="D13" s="5" t="s">
        <v>63</v>
      </c>
      <c r="E13" s="5" t="s">
        <v>64</v>
      </c>
      <c r="F13" s="5" t="s">
        <v>65</v>
      </c>
      <c r="G13" s="7"/>
      <c r="H13" s="7" t="s">
        <v>66</v>
      </c>
      <c r="I13" s="7" t="s">
        <v>67</v>
      </c>
      <c r="J13" s="7" t="s">
        <v>68</v>
      </c>
      <c r="K13" s="7"/>
      <c r="L13" s="7"/>
      <c r="M13" s="7"/>
      <c r="N13" s="7"/>
      <c r="O13" s="4"/>
      <c r="P13" s="36"/>
      <c r="Q13" s="4"/>
      <c r="R13" s="33" t="s">
        <v>2</v>
      </c>
      <c r="S13" s="4"/>
      <c r="T13" s="4" t="s">
        <v>155</v>
      </c>
      <c r="U13" s="4" t="s">
        <v>156</v>
      </c>
      <c r="V13" s="365" t="s">
        <v>155</v>
      </c>
      <c r="W13" s="365" t="s">
        <v>156</v>
      </c>
      <c r="X13" s="4"/>
      <c r="Y13" s="2"/>
      <c r="Z13" s="4"/>
      <c r="AA13" s="43" t="s">
        <v>69</v>
      </c>
      <c r="AB13" s="48">
        <f>ROUND(172082372/'Billing Units'!AB7,6)</f>
        <v>1.1083000000000001E-2</v>
      </c>
      <c r="AC13" s="47" t="s">
        <v>157</v>
      </c>
      <c r="AD13" s="382">
        <f>AB13</f>
        <v>1.1083000000000001E-2</v>
      </c>
      <c r="AE13" s="45" t="s">
        <v>157</v>
      </c>
      <c r="AF13" s="50" t="s">
        <v>50</v>
      </c>
      <c r="AG13" s="4"/>
      <c r="AH13" s="2"/>
      <c r="AI13" s="2"/>
      <c r="AJ13" s="2"/>
      <c r="AK13" s="2"/>
      <c r="AL13" s="2"/>
      <c r="AM13" s="2"/>
      <c r="AN13" s="2"/>
      <c r="AO13" s="2"/>
      <c r="AP13" s="2"/>
      <c r="AQ13" s="2"/>
      <c r="AR13" s="2"/>
      <c r="AS13" s="2"/>
      <c r="AT13" s="2"/>
      <c r="AU13" s="2"/>
      <c r="AV13" s="2"/>
      <c r="AW13" s="2"/>
      <c r="AX13" s="2"/>
      <c r="AY13" s="2"/>
      <c r="AZ13" s="2"/>
      <c r="BA13" s="2"/>
      <c r="BB13" s="2"/>
      <c r="BC13" s="2"/>
    </row>
    <row r="14" spans="1:55" s="3" customFormat="1">
      <c r="A14" s="2"/>
      <c r="B14" s="4"/>
      <c r="C14" s="7" t="s">
        <v>9</v>
      </c>
      <c r="D14" s="61">
        <f>'Rate Summary'!C37</f>
        <v>30</v>
      </c>
      <c r="E14" s="61">
        <f>'Rate Summary'!C41</f>
        <v>40</v>
      </c>
      <c r="F14" s="61">
        <f>'Rate Summary'!C45</f>
        <v>50</v>
      </c>
      <c r="G14" s="7"/>
      <c r="H14" s="59">
        <f>'Rate Summary'!C38</f>
        <v>5.5640000000000002E-2</v>
      </c>
      <c r="I14" s="59">
        <f>'Rate Summary'!C42</f>
        <v>5.5640000000000002E-2</v>
      </c>
      <c r="J14" s="59">
        <f>'Rate Summary'!C46</f>
        <v>5.5640000000000002E-2</v>
      </c>
      <c r="K14" s="351"/>
      <c r="L14" s="7"/>
      <c r="M14" s="7"/>
      <c r="N14" s="7"/>
      <c r="O14" s="4"/>
      <c r="P14" s="37"/>
      <c r="Q14" s="4"/>
      <c r="R14" s="33"/>
      <c r="S14" s="4" t="s">
        <v>70</v>
      </c>
      <c r="T14" s="4"/>
      <c r="U14" s="4"/>
      <c r="V14" s="365"/>
      <c r="W14" s="365"/>
      <c r="X14" s="4"/>
      <c r="Y14" s="2"/>
      <c r="Z14" s="4"/>
      <c r="AA14" s="43"/>
      <c r="AB14" s="49"/>
      <c r="AC14" s="5"/>
      <c r="AD14" s="383"/>
      <c r="AE14" s="5"/>
      <c r="AF14" s="43"/>
      <c r="AG14" s="4"/>
      <c r="AH14" s="2"/>
      <c r="AI14" s="2"/>
      <c r="AJ14" s="2"/>
      <c r="AK14" s="2"/>
      <c r="AL14" s="2"/>
      <c r="AM14" s="2"/>
      <c r="AN14" s="2"/>
      <c r="AO14" s="2"/>
      <c r="AP14" s="2"/>
      <c r="AQ14" s="2"/>
      <c r="AR14" s="2"/>
      <c r="AS14" s="2"/>
      <c r="AT14" s="2"/>
      <c r="AU14" s="2"/>
      <c r="AV14" s="2"/>
      <c r="AW14" s="2"/>
      <c r="AX14" s="2"/>
      <c r="AY14" s="2"/>
      <c r="AZ14" s="2"/>
      <c r="BA14" s="2"/>
      <c r="BB14" s="2"/>
      <c r="BC14" s="2"/>
    </row>
    <row r="15" spans="1:55" s="3" customFormat="1">
      <c r="A15" s="2"/>
      <c r="B15" s="4"/>
      <c r="C15" s="7"/>
      <c r="D15" s="7"/>
      <c r="E15" s="7"/>
      <c r="F15" s="7"/>
      <c r="G15" s="7"/>
      <c r="H15" s="7" t="s">
        <v>71</v>
      </c>
      <c r="I15" s="7"/>
      <c r="J15" s="7"/>
      <c r="K15" s="7"/>
      <c r="L15" s="7"/>
      <c r="M15" s="7"/>
      <c r="N15" s="7"/>
      <c r="O15" s="4"/>
      <c r="P15" s="37"/>
      <c r="Q15" s="4"/>
      <c r="R15" s="33"/>
      <c r="S15" s="4" t="s">
        <v>72</v>
      </c>
      <c r="T15" s="4"/>
      <c r="U15" s="4"/>
      <c r="V15" s="365"/>
      <c r="W15" s="365"/>
      <c r="X15" s="4"/>
      <c r="Y15" s="2"/>
      <c r="Z15" s="4"/>
      <c r="AA15" s="43" t="s">
        <v>73</v>
      </c>
      <c r="AB15" s="48">
        <f>ROUND(13408003/'Billing Units'!AB7,6)</f>
        <v>8.6399999999999997E-4</v>
      </c>
      <c r="AC15" s="47" t="s">
        <v>157</v>
      </c>
      <c r="AD15" s="382">
        <f>AB15</f>
        <v>8.6399999999999997E-4</v>
      </c>
      <c r="AE15" s="45" t="s">
        <v>157</v>
      </c>
      <c r="AF15" s="50" t="s">
        <v>50</v>
      </c>
      <c r="AG15" s="4"/>
      <c r="AH15" s="2"/>
      <c r="AI15" s="2"/>
      <c r="AJ15" s="2"/>
      <c r="AK15" s="2"/>
      <c r="AL15" s="2"/>
      <c r="AM15" s="2"/>
      <c r="AN15" s="2"/>
      <c r="AO15" s="2"/>
      <c r="AP15" s="2"/>
      <c r="AQ15" s="2"/>
      <c r="AR15" s="2"/>
      <c r="AS15" s="2"/>
      <c r="AT15" s="2"/>
      <c r="AU15" s="2"/>
      <c r="AV15" s="2"/>
      <c r="AW15" s="2"/>
      <c r="AX15" s="2"/>
      <c r="AY15" s="2"/>
      <c r="AZ15" s="2"/>
      <c r="BA15" s="2"/>
      <c r="BB15" s="2"/>
      <c r="BC15" s="2"/>
    </row>
    <row r="16" spans="1:55" s="3" customFormat="1">
      <c r="A16" s="2"/>
      <c r="B16" s="4"/>
      <c r="C16" s="7" t="s">
        <v>10</v>
      </c>
      <c r="D16" s="58">
        <f>'Rate Summary'!C50</f>
        <v>5</v>
      </c>
      <c r="E16" s="5"/>
      <c r="F16" s="5"/>
      <c r="G16" s="7"/>
      <c r="H16" s="59">
        <f>'Rate Summary'!C52</f>
        <v>8.4489999999999996E-2</v>
      </c>
      <c r="I16" s="7"/>
      <c r="J16" s="7"/>
      <c r="K16" s="7"/>
      <c r="L16" s="7"/>
      <c r="M16" s="7"/>
      <c r="N16" s="7"/>
      <c r="O16" s="4"/>
      <c r="P16" s="37"/>
      <c r="Q16" s="4"/>
      <c r="R16" s="4" t="s">
        <v>74</v>
      </c>
      <c r="S16" s="4" t="s">
        <v>75</v>
      </c>
      <c r="T16" s="60">
        <f>'Rate Summary'!C177</f>
        <v>5.9</v>
      </c>
      <c r="U16" s="46" t="s">
        <v>160</v>
      </c>
      <c r="V16" s="371">
        <f>ROUND(T16*(1+$V$1),2)</f>
        <v>8.7899999999999991</v>
      </c>
      <c r="W16" s="380" t="s">
        <v>160</v>
      </c>
      <c r="X16" s="4"/>
      <c r="Y16" s="2"/>
      <c r="Z16" s="4"/>
      <c r="AA16" s="5"/>
      <c r="AB16" s="49"/>
      <c r="AC16" s="5"/>
      <c r="AD16" s="383"/>
      <c r="AE16" s="5"/>
      <c r="AF16" s="43"/>
      <c r="AG16" s="4"/>
      <c r="AH16" s="2"/>
      <c r="AI16" s="2"/>
      <c r="AJ16" s="2"/>
      <c r="AK16" s="2"/>
      <c r="AL16" s="2"/>
      <c r="AM16" s="2"/>
      <c r="AN16" s="2"/>
      <c r="AO16" s="2"/>
      <c r="AP16" s="2"/>
      <c r="AQ16" s="2"/>
      <c r="AR16" s="2"/>
      <c r="AS16" s="2"/>
      <c r="AT16" s="2"/>
      <c r="AU16" s="2"/>
      <c r="AV16" s="2"/>
      <c r="AW16" s="2"/>
      <c r="AX16" s="2"/>
      <c r="AY16" s="2"/>
      <c r="AZ16" s="2"/>
      <c r="BA16" s="2"/>
      <c r="BB16" s="2"/>
      <c r="BC16" s="2"/>
    </row>
    <row r="17" spans="1:55" s="3" customFormat="1" ht="15" customHeight="1">
      <c r="A17" s="2"/>
      <c r="B17" s="4"/>
      <c r="C17" s="7"/>
      <c r="D17" s="7"/>
      <c r="E17" s="5"/>
      <c r="F17" s="5"/>
      <c r="G17" s="7"/>
      <c r="H17" s="7" t="s">
        <v>76</v>
      </c>
      <c r="I17" s="5" t="s">
        <v>45</v>
      </c>
      <c r="J17" s="7"/>
      <c r="K17" s="7"/>
      <c r="L17" s="7"/>
      <c r="M17" s="7" t="s">
        <v>77</v>
      </c>
      <c r="N17" s="7" t="s">
        <v>78</v>
      </c>
      <c r="O17" s="4"/>
      <c r="P17" s="37"/>
      <c r="Q17" s="4"/>
      <c r="R17" s="4" t="s">
        <v>79</v>
      </c>
      <c r="S17" s="4" t="s">
        <v>80</v>
      </c>
      <c r="T17" s="60">
        <f>'Rate Summary'!C178</f>
        <v>6.32</v>
      </c>
      <c r="U17" s="46" t="s">
        <v>160</v>
      </c>
      <c r="V17" s="371">
        <f t="shared" ref="V17:V22" si="0">ROUND(T17*(1+$V$1),2)</f>
        <v>9.42</v>
      </c>
      <c r="W17" s="380" t="s">
        <v>160</v>
      </c>
      <c r="X17" s="4"/>
      <c r="Y17" s="2"/>
      <c r="Z17" s="4"/>
      <c r="AA17" s="43" t="s">
        <v>161</v>
      </c>
      <c r="AB17" s="48">
        <f>ROUND(41000000/'Billing Units'!AB17,6)</f>
        <v>2.6410000000000001E-3</v>
      </c>
      <c r="AC17" s="47" t="s">
        <v>157</v>
      </c>
      <c r="AD17" s="382">
        <f>AB17</f>
        <v>2.6410000000000001E-3</v>
      </c>
      <c r="AE17" s="45" t="s">
        <v>157</v>
      </c>
      <c r="AF17" s="50" t="s">
        <v>50</v>
      </c>
      <c r="AG17" s="4"/>
      <c r="AH17" s="2"/>
      <c r="AI17" s="2"/>
      <c r="AJ17" s="2"/>
      <c r="AK17" s="2"/>
      <c r="AL17" s="2"/>
      <c r="AM17" s="2"/>
      <c r="AN17" s="2"/>
      <c r="AO17" s="2"/>
      <c r="AP17" s="2"/>
      <c r="AQ17" s="2"/>
      <c r="AR17" s="2"/>
      <c r="AS17" s="2"/>
      <c r="AT17" s="2"/>
      <c r="AU17" s="2"/>
      <c r="AV17" s="2"/>
      <c r="AW17" s="2"/>
      <c r="AX17" s="2"/>
      <c r="AY17" s="2"/>
      <c r="AZ17" s="2"/>
      <c r="BA17" s="2"/>
      <c r="BB17" s="2"/>
      <c r="BC17" s="2"/>
    </row>
    <row r="18" spans="1:55" s="3" customFormat="1">
      <c r="A18" s="2"/>
      <c r="B18" s="4"/>
      <c r="C18" s="7" t="s">
        <v>12</v>
      </c>
      <c r="D18" s="58">
        <f>'Rate Summary'!C56</f>
        <v>200</v>
      </c>
      <c r="E18" s="5"/>
      <c r="F18" s="5"/>
      <c r="G18" s="7"/>
      <c r="H18" s="59">
        <f>'Rate Summary'!C59</f>
        <v>4.6940000000000003E-2</v>
      </c>
      <c r="I18" s="59">
        <f>'Rate Summary'!C60</f>
        <v>3.8940000000000002E-2</v>
      </c>
      <c r="J18" s="7"/>
      <c r="K18" s="7"/>
      <c r="L18" s="7"/>
      <c r="M18" s="60">
        <f>'Rate Summary'!C62</f>
        <v>8.1</v>
      </c>
      <c r="N18" s="312">
        <f>'Rate Summary'!C64</f>
        <v>10</v>
      </c>
      <c r="O18" s="4"/>
      <c r="P18" s="2"/>
      <c r="Q18" s="4"/>
      <c r="R18" s="4" t="s">
        <v>82</v>
      </c>
      <c r="S18" s="4" t="s">
        <v>83</v>
      </c>
      <c r="T18" s="60">
        <f>'Rate Summary'!C179</f>
        <v>7.05</v>
      </c>
      <c r="U18" s="46" t="s">
        <v>160</v>
      </c>
      <c r="V18" s="371">
        <f t="shared" si="0"/>
        <v>10.5</v>
      </c>
      <c r="W18" s="380" t="s">
        <v>160</v>
      </c>
      <c r="X18" s="4"/>
      <c r="Y18" s="2"/>
      <c r="Z18" s="4"/>
      <c r="AA18" s="5"/>
      <c r="AB18" s="5"/>
      <c r="AC18" s="5"/>
      <c r="AD18" s="5"/>
      <c r="AE18" s="5"/>
      <c r="AF18" s="5"/>
      <c r="AG18" s="4"/>
      <c r="AH18" s="2"/>
      <c r="AI18" s="2"/>
      <c r="AJ18" s="2"/>
      <c r="AK18" s="2"/>
      <c r="AL18" s="2"/>
      <c r="AM18" s="2"/>
      <c r="AN18" s="2"/>
      <c r="AO18" s="2"/>
      <c r="AP18" s="2"/>
      <c r="AQ18" s="2"/>
      <c r="AR18" s="2"/>
      <c r="AS18" s="2"/>
      <c r="AT18" s="2"/>
      <c r="AU18" s="2"/>
      <c r="AV18" s="2"/>
      <c r="AW18" s="2"/>
      <c r="AX18" s="2"/>
      <c r="AY18" s="2"/>
      <c r="AZ18" s="2"/>
      <c r="BA18" s="2"/>
      <c r="BB18" s="2"/>
      <c r="BC18" s="2"/>
    </row>
    <row r="19" spans="1:55" s="3" customFormat="1">
      <c r="A19" s="2"/>
      <c r="B19" s="4"/>
      <c r="C19" s="7"/>
      <c r="D19" s="7"/>
      <c r="E19" s="5"/>
      <c r="F19" s="5"/>
      <c r="G19" s="7"/>
      <c r="H19" s="7" t="s">
        <v>76</v>
      </c>
      <c r="I19" s="5" t="s">
        <v>45</v>
      </c>
      <c r="J19" s="7"/>
      <c r="K19" s="7"/>
      <c r="L19" s="7"/>
      <c r="M19" s="7" t="s">
        <v>77</v>
      </c>
      <c r="N19" s="7" t="s">
        <v>78</v>
      </c>
      <c r="O19" s="4"/>
      <c r="P19" s="2"/>
      <c r="Q19" s="4"/>
      <c r="R19" s="4" t="s">
        <v>84</v>
      </c>
      <c r="S19" s="4" t="s">
        <v>85</v>
      </c>
      <c r="T19" s="60">
        <f>'Rate Summary'!C180</f>
        <v>7.89</v>
      </c>
      <c r="U19" s="46" t="s">
        <v>160</v>
      </c>
      <c r="V19" s="371">
        <f t="shared" si="0"/>
        <v>11.76</v>
      </c>
      <c r="W19" s="380" t="s">
        <v>160</v>
      </c>
      <c r="X19" s="4"/>
      <c r="Y19" s="2"/>
      <c r="Z19" s="2"/>
      <c r="AA19" s="6"/>
      <c r="AB19" s="6"/>
      <c r="AC19" s="6"/>
      <c r="AD19" s="6"/>
      <c r="AE19" s="6"/>
      <c r="AF19" s="6"/>
      <c r="AG19" s="2"/>
      <c r="AH19" s="2"/>
      <c r="AI19" s="2"/>
      <c r="AJ19" s="2"/>
      <c r="AK19" s="2"/>
      <c r="AL19" s="2"/>
      <c r="AM19" s="2"/>
      <c r="AN19" s="2"/>
      <c r="AO19" s="2"/>
      <c r="AP19" s="2"/>
      <c r="AQ19" s="2"/>
      <c r="AR19" s="2"/>
      <c r="AS19" s="2"/>
      <c r="AT19" s="2"/>
      <c r="AU19" s="2"/>
      <c r="AV19" s="2"/>
      <c r="AW19" s="2"/>
      <c r="AX19" s="2"/>
      <c r="AY19" s="2"/>
      <c r="AZ19" s="2"/>
      <c r="BA19" s="2"/>
      <c r="BB19" s="2"/>
      <c r="BC19" s="2"/>
    </row>
    <row r="20" spans="1:55" s="3" customFormat="1">
      <c r="A20" s="2"/>
      <c r="B20" s="4"/>
      <c r="C20" s="7" t="s">
        <v>13</v>
      </c>
      <c r="D20" s="58">
        <f>'Rate Summary'!C68</f>
        <v>450</v>
      </c>
      <c r="E20" s="5"/>
      <c r="F20" s="5"/>
      <c r="G20" s="7"/>
      <c r="H20" s="59">
        <f>'Rate Summary'!C71</f>
        <v>3.6499999999999998E-2</v>
      </c>
      <c r="I20" s="59">
        <f>'Rate Summary'!C72</f>
        <v>3.2500000000000001E-2</v>
      </c>
      <c r="J20" s="7"/>
      <c r="K20" s="7"/>
      <c r="L20" s="7"/>
      <c r="M20" s="60">
        <f>'Rate Summary'!C74</f>
        <v>7.7</v>
      </c>
      <c r="N20" s="312">
        <f>'Rate Summary'!C76</f>
        <v>9.6</v>
      </c>
      <c r="O20" s="4"/>
      <c r="P20" s="2"/>
      <c r="Q20" s="4"/>
      <c r="R20" s="4" t="s">
        <v>86</v>
      </c>
      <c r="S20" s="4" t="s">
        <v>87</v>
      </c>
      <c r="T20" s="60">
        <f>'Rate Summary'!C181</f>
        <v>12.16</v>
      </c>
      <c r="U20" s="46" t="s">
        <v>160</v>
      </c>
      <c r="V20" s="371">
        <f t="shared" si="0"/>
        <v>18.12</v>
      </c>
      <c r="W20" s="380" t="s">
        <v>160</v>
      </c>
      <c r="X20" s="4"/>
      <c r="Y20" s="2"/>
      <c r="Z20" s="2"/>
      <c r="AA20" s="6"/>
      <c r="AB20" s="6"/>
      <c r="AC20" s="6"/>
      <c r="AD20" s="6"/>
      <c r="AE20" s="6"/>
      <c r="AF20" s="6"/>
      <c r="AG20" s="2"/>
      <c r="AH20" s="2"/>
      <c r="AI20" s="2"/>
      <c r="AJ20" s="2"/>
      <c r="AK20" s="2"/>
      <c r="AL20" s="2"/>
      <c r="AM20" s="2"/>
      <c r="AN20" s="2"/>
      <c r="AO20" s="2"/>
      <c r="AP20" s="2"/>
      <c r="AQ20" s="2"/>
      <c r="AR20" s="2"/>
      <c r="AS20" s="2"/>
      <c r="AT20" s="2"/>
      <c r="AU20" s="2"/>
      <c r="AV20" s="2"/>
      <c r="AW20" s="2"/>
      <c r="AX20" s="2"/>
      <c r="AY20" s="2"/>
      <c r="AZ20" s="2"/>
      <c r="BA20" s="2"/>
      <c r="BB20" s="2"/>
      <c r="BC20" s="2"/>
    </row>
    <row r="21" spans="1:55" s="3" customFormat="1" ht="15" customHeight="1">
      <c r="A21" s="2"/>
      <c r="B21" s="4"/>
      <c r="C21" s="7"/>
      <c r="D21" s="7"/>
      <c r="E21" s="5"/>
      <c r="F21" s="5"/>
      <c r="G21" s="7"/>
      <c r="H21" s="7" t="s">
        <v>88</v>
      </c>
      <c r="I21" s="7" t="s">
        <v>89</v>
      </c>
      <c r="J21" s="7"/>
      <c r="K21" s="7"/>
      <c r="L21" s="7"/>
      <c r="M21" s="7" t="s">
        <v>88</v>
      </c>
      <c r="N21" s="7" t="s">
        <v>89</v>
      </c>
      <c r="O21" s="4"/>
      <c r="P21" s="2"/>
      <c r="Q21" s="4"/>
      <c r="R21" s="4" t="s">
        <v>90</v>
      </c>
      <c r="S21" s="4" t="s">
        <v>91</v>
      </c>
      <c r="T21" s="60">
        <f>'Rate Summary'!C182</f>
        <v>13.32</v>
      </c>
      <c r="U21" s="46" t="s">
        <v>160</v>
      </c>
      <c r="V21" s="371">
        <f t="shared" si="0"/>
        <v>19.850000000000001</v>
      </c>
      <c r="W21" s="380" t="s">
        <v>160</v>
      </c>
      <c r="X21" s="4"/>
      <c r="Y21" s="2"/>
      <c r="Z21" s="2"/>
      <c r="AA21" s="6"/>
      <c r="AB21" s="6"/>
      <c r="AC21" s="6"/>
      <c r="AD21" s="6"/>
      <c r="AE21" s="6"/>
      <c r="AF21" s="6"/>
      <c r="AG21" s="2"/>
      <c r="AH21" s="2"/>
      <c r="AI21" s="2"/>
      <c r="AJ21" s="2"/>
      <c r="AK21" s="2"/>
      <c r="AL21" s="2"/>
      <c r="AM21" s="2"/>
      <c r="AN21" s="2"/>
      <c r="AO21" s="2"/>
      <c r="AP21" s="2"/>
      <c r="AQ21" s="2"/>
      <c r="AR21" s="2"/>
      <c r="AS21" s="2"/>
      <c r="AT21" s="2"/>
      <c r="AU21" s="2"/>
      <c r="AV21" s="2"/>
      <c r="AW21" s="2"/>
      <c r="AX21" s="2"/>
      <c r="AY21" s="2"/>
      <c r="AZ21" s="2"/>
      <c r="BA21" s="2"/>
      <c r="BB21" s="2"/>
      <c r="BC21" s="2"/>
    </row>
    <row r="22" spans="1:55" s="3" customFormat="1">
      <c r="A22" s="2"/>
      <c r="B22" s="4"/>
      <c r="C22" s="7" t="s">
        <v>14</v>
      </c>
      <c r="D22" s="58">
        <f>'Rate Summary'!C80</f>
        <v>200</v>
      </c>
      <c r="E22" s="5"/>
      <c r="F22" s="5"/>
      <c r="G22" s="7"/>
      <c r="H22" s="59">
        <f>'Rate Summary'!C83</f>
        <v>5.7790000000000001E-2</v>
      </c>
      <c r="I22" s="59">
        <f>'Rate Summary'!C84</f>
        <v>1.8790000000000001E-2</v>
      </c>
      <c r="J22" s="7"/>
      <c r="K22" s="7"/>
      <c r="L22" s="7"/>
      <c r="M22" s="60">
        <f>'Rate Summary'!C87</f>
        <v>8.1</v>
      </c>
      <c r="N22" s="60">
        <f>'Rate Summary'!C88</f>
        <v>1.1000000000000001</v>
      </c>
      <c r="O22" s="4"/>
      <c r="P22" s="2"/>
      <c r="Q22" s="4"/>
      <c r="R22" s="4" t="s">
        <v>92</v>
      </c>
      <c r="S22" s="4" t="s">
        <v>93</v>
      </c>
      <c r="T22" s="60">
        <f>'Rate Summary'!C183</f>
        <v>18.16</v>
      </c>
      <c r="U22" s="46" t="s">
        <v>160</v>
      </c>
      <c r="V22" s="371">
        <f t="shared" si="0"/>
        <v>27.06</v>
      </c>
      <c r="W22" s="380" t="s">
        <v>160</v>
      </c>
      <c r="X22" s="4"/>
      <c r="Y22" s="2"/>
      <c r="Z22" s="2"/>
      <c r="AA22" s="6"/>
      <c r="AB22" s="6"/>
      <c r="AC22" s="6"/>
      <c r="AD22" s="6"/>
      <c r="AE22" s="6"/>
      <c r="AF22" s="6"/>
      <c r="AG22" s="2"/>
      <c r="AH22" s="2"/>
      <c r="AI22" s="2"/>
      <c r="AJ22" s="2"/>
      <c r="AK22" s="2"/>
      <c r="AL22" s="2"/>
      <c r="AM22" s="2"/>
      <c r="AN22" s="2"/>
      <c r="AO22" s="2"/>
      <c r="AP22" s="2"/>
      <c r="AQ22" s="2"/>
      <c r="AR22" s="2"/>
      <c r="AS22" s="2"/>
      <c r="AT22" s="2"/>
      <c r="AU22" s="2"/>
      <c r="AV22" s="2"/>
      <c r="AW22" s="2"/>
      <c r="AX22" s="2"/>
      <c r="AY22" s="2"/>
      <c r="AZ22" s="2"/>
      <c r="BA22" s="2"/>
      <c r="BB22" s="2"/>
      <c r="BC22" s="2"/>
    </row>
    <row r="23" spans="1:55" s="3" customFormat="1">
      <c r="A23" s="2"/>
      <c r="B23" s="4"/>
      <c r="C23" s="7"/>
      <c r="D23" s="7"/>
      <c r="E23" s="5"/>
      <c r="F23" s="5"/>
      <c r="G23" s="7"/>
      <c r="H23" s="7" t="s">
        <v>88</v>
      </c>
      <c r="I23" s="7" t="s">
        <v>89</v>
      </c>
      <c r="J23" s="7"/>
      <c r="K23" s="7"/>
      <c r="L23" s="7"/>
      <c r="M23" s="7" t="s">
        <v>88</v>
      </c>
      <c r="N23" s="7" t="s">
        <v>89</v>
      </c>
      <c r="O23" s="4"/>
      <c r="P23" s="2"/>
      <c r="Q23" s="4"/>
      <c r="R23" s="33"/>
      <c r="S23" s="4"/>
      <c r="T23" s="35"/>
      <c r="U23" s="4"/>
      <c r="V23" s="381"/>
      <c r="W23" s="365"/>
      <c r="X23" s="4"/>
      <c r="Y23" s="2"/>
      <c r="Z23" s="2"/>
      <c r="AA23" s="6"/>
      <c r="AB23" s="6">
        <v>5.7800000000000004E-3</v>
      </c>
      <c r="AC23" s="6"/>
      <c r="AD23" s="6"/>
      <c r="AE23" s="6"/>
      <c r="AF23" s="6"/>
      <c r="AG23" s="2"/>
      <c r="AH23" s="2"/>
      <c r="AI23" s="2"/>
      <c r="AJ23" s="2"/>
      <c r="AK23" s="2"/>
      <c r="AL23" s="2"/>
      <c r="AM23" s="2"/>
      <c r="AN23" s="2"/>
      <c r="AO23" s="2"/>
      <c r="AP23" s="2"/>
      <c r="AQ23" s="2"/>
      <c r="AR23" s="2"/>
      <c r="AS23" s="2"/>
      <c r="AT23" s="2"/>
      <c r="AU23" s="2"/>
      <c r="AV23" s="2"/>
      <c r="AW23" s="2"/>
      <c r="AX23" s="2"/>
      <c r="AY23" s="2"/>
      <c r="AZ23" s="2"/>
      <c r="BA23" s="2"/>
      <c r="BB23" s="2"/>
      <c r="BC23" s="2"/>
    </row>
    <row r="24" spans="1:55" s="3" customFormat="1">
      <c r="A24" s="2"/>
      <c r="B24" s="4"/>
      <c r="C24" s="7" t="s">
        <v>16</v>
      </c>
      <c r="D24" s="58">
        <f>'Rate Summary'!C101</f>
        <v>450</v>
      </c>
      <c r="E24" s="5"/>
      <c r="F24" s="5"/>
      <c r="G24" s="7"/>
      <c r="H24" s="59">
        <f>'Rate Summary'!C104</f>
        <v>4.6789999999999998E-2</v>
      </c>
      <c r="I24" s="59">
        <f>'Rate Summary'!C105</f>
        <v>1.779E-2</v>
      </c>
      <c r="J24" s="7"/>
      <c r="K24" s="7"/>
      <c r="L24" s="7"/>
      <c r="M24" s="60">
        <f>'Rate Summary'!C108</f>
        <v>7.7</v>
      </c>
      <c r="N24" s="60">
        <f>'Rate Summary'!C109</f>
        <v>1</v>
      </c>
      <c r="O24" s="4"/>
      <c r="P24" s="2"/>
      <c r="Q24" s="4"/>
      <c r="R24" s="33"/>
      <c r="S24" s="4" t="s">
        <v>94</v>
      </c>
      <c r="T24" s="35"/>
      <c r="U24" s="4"/>
      <c r="V24" s="381"/>
      <c r="W24" s="365"/>
      <c r="X24" s="4"/>
      <c r="Y24" s="2"/>
      <c r="Z24" s="2"/>
      <c r="AA24" s="6"/>
      <c r="AB24" s="6"/>
      <c r="AC24" s="6"/>
      <c r="AD24" s="6"/>
      <c r="AE24" s="6"/>
      <c r="AF24" s="6"/>
      <c r="AG24" s="2"/>
      <c r="AH24" s="2"/>
      <c r="AI24" s="2"/>
      <c r="AJ24" s="2"/>
      <c r="AK24" s="2"/>
      <c r="AL24" s="2"/>
      <c r="AM24" s="2"/>
      <c r="AN24" s="2"/>
      <c r="AO24" s="2"/>
      <c r="AP24" s="2"/>
      <c r="AQ24" s="2"/>
      <c r="AR24" s="2"/>
      <c r="AS24" s="2"/>
      <c r="AT24" s="2"/>
      <c r="AU24" s="2"/>
      <c r="AV24" s="2"/>
      <c r="AW24" s="2"/>
      <c r="AX24" s="2"/>
      <c r="AY24" s="2"/>
      <c r="AZ24" s="2"/>
      <c r="BA24" s="2"/>
      <c r="BB24" s="2"/>
      <c r="BC24" s="2"/>
    </row>
    <row r="25" spans="1:55" s="3" customFormat="1">
      <c r="A25" s="2"/>
      <c r="B25" s="4"/>
      <c r="C25" s="5"/>
      <c r="D25" s="7"/>
      <c r="E25" s="5"/>
      <c r="F25" s="5"/>
      <c r="G25" s="7"/>
      <c r="H25" s="7" t="s">
        <v>88</v>
      </c>
      <c r="I25" s="7" t="s">
        <v>89</v>
      </c>
      <c r="J25" s="7"/>
      <c r="K25" s="7"/>
      <c r="L25" s="7"/>
      <c r="M25" s="7" t="s">
        <v>88</v>
      </c>
      <c r="N25" s="7" t="s">
        <v>89</v>
      </c>
      <c r="O25" s="4"/>
      <c r="P25" s="2"/>
      <c r="Q25" s="4"/>
      <c r="R25" s="33"/>
      <c r="S25" s="4" t="s">
        <v>72</v>
      </c>
      <c r="T25" s="35"/>
      <c r="U25" s="4"/>
      <c r="V25" s="381"/>
      <c r="W25" s="365"/>
      <c r="X25" s="4"/>
      <c r="Y25" s="2"/>
      <c r="Z25" s="2"/>
      <c r="AA25" s="6"/>
      <c r="AB25" s="6">
        <v>1.2047E-2</v>
      </c>
      <c r="AC25" s="6"/>
      <c r="AD25" s="6"/>
      <c r="AE25" s="6"/>
      <c r="AF25" s="6"/>
      <c r="AG25" s="2"/>
      <c r="AH25" s="2"/>
      <c r="AI25" s="2"/>
      <c r="AJ25" s="2"/>
      <c r="AK25" s="2"/>
      <c r="AL25" s="2"/>
      <c r="AM25" s="2"/>
      <c r="AN25" s="2"/>
      <c r="AO25" s="2"/>
      <c r="AP25" s="2"/>
      <c r="AQ25" s="2"/>
      <c r="AR25" s="2"/>
      <c r="AS25" s="2"/>
      <c r="AT25" s="2"/>
      <c r="AU25" s="2"/>
      <c r="AV25" s="2"/>
      <c r="AW25" s="2"/>
      <c r="AX25" s="2"/>
      <c r="AY25" s="2"/>
      <c r="AZ25" s="2"/>
      <c r="BA25" s="2"/>
      <c r="BB25" s="2"/>
      <c r="BC25" s="2"/>
    </row>
    <row r="26" spans="1:55" s="3" customFormat="1" ht="15" customHeight="1">
      <c r="A26" s="2"/>
      <c r="B26" s="4"/>
      <c r="C26" s="62" t="s">
        <v>95</v>
      </c>
      <c r="D26" s="63">
        <f>D24</f>
        <v>450</v>
      </c>
      <c r="E26" s="64"/>
      <c r="F26" s="64"/>
      <c r="G26" s="62"/>
      <c r="H26" s="65">
        <f>H24</f>
        <v>4.6789999999999998E-2</v>
      </c>
      <c r="I26" s="65">
        <f>I24</f>
        <v>1.779E-2</v>
      </c>
      <c r="J26" s="62"/>
      <c r="K26" s="62"/>
      <c r="L26" s="62"/>
      <c r="M26" s="313">
        <f>M24</f>
        <v>7.7</v>
      </c>
      <c r="N26" s="313">
        <f>N24</f>
        <v>1</v>
      </c>
      <c r="O26" s="4"/>
      <c r="P26" s="2"/>
      <c r="Q26" s="4"/>
      <c r="R26" s="4" t="s">
        <v>96</v>
      </c>
      <c r="S26" s="4" t="s">
        <v>75</v>
      </c>
      <c r="T26" s="60">
        <f>'Rate Summary'!C187</f>
        <v>8.9499999999999993</v>
      </c>
      <c r="U26" s="46" t="s">
        <v>160</v>
      </c>
      <c r="V26" s="371">
        <f t="shared" ref="V26:V31" si="1">ROUND(T26*(1+$V$1),2)</f>
        <v>13.34</v>
      </c>
      <c r="W26" s="380" t="s">
        <v>160</v>
      </c>
      <c r="X26" s="4"/>
      <c r="Y26" s="2"/>
      <c r="Z26" s="2"/>
      <c r="AA26" s="6"/>
      <c r="AB26" s="6"/>
      <c r="AC26" s="6"/>
      <c r="AD26" s="6"/>
      <c r="AE26" s="6"/>
      <c r="AF26" s="6"/>
      <c r="AG26" s="2"/>
      <c r="AH26" s="2"/>
      <c r="AI26" s="2"/>
      <c r="AJ26" s="2"/>
      <c r="AK26" s="2"/>
      <c r="AL26" s="2"/>
      <c r="AM26" s="2"/>
      <c r="AN26" s="2"/>
      <c r="AO26" s="2"/>
      <c r="AP26" s="2"/>
      <c r="AQ26" s="2"/>
      <c r="AR26" s="2"/>
      <c r="AS26" s="2"/>
      <c r="AT26" s="2"/>
      <c r="AU26" s="2"/>
      <c r="AV26" s="2"/>
      <c r="AW26" s="2"/>
      <c r="AX26" s="2"/>
      <c r="AY26" s="2"/>
      <c r="AZ26" s="2"/>
      <c r="BA26" s="2"/>
      <c r="BB26" s="2"/>
      <c r="BC26" s="2"/>
    </row>
    <row r="27" spans="1:55" s="3" customFormat="1" ht="15" customHeight="1">
      <c r="A27" s="2"/>
      <c r="B27" s="4"/>
      <c r="C27" s="7"/>
      <c r="D27" s="7"/>
      <c r="E27" s="5"/>
      <c r="F27" s="5"/>
      <c r="G27" s="7"/>
      <c r="H27" s="7" t="s">
        <v>97</v>
      </c>
      <c r="I27" s="7" t="s">
        <v>45</v>
      </c>
      <c r="J27" s="7"/>
      <c r="K27" s="7"/>
      <c r="L27" s="7"/>
      <c r="M27" s="7" t="s">
        <v>98</v>
      </c>
      <c r="N27" s="7" t="s">
        <v>78</v>
      </c>
      <c r="O27" s="4"/>
      <c r="P27" s="2"/>
      <c r="Q27" s="4"/>
      <c r="R27" s="4" t="s">
        <v>99</v>
      </c>
      <c r="S27" s="4" t="s">
        <v>80</v>
      </c>
      <c r="T27" s="60">
        <f>'Rate Summary'!C188</f>
        <v>9.32</v>
      </c>
      <c r="U27" s="46" t="s">
        <v>160</v>
      </c>
      <c r="V27" s="371">
        <f t="shared" si="1"/>
        <v>13.89</v>
      </c>
      <c r="W27" s="380" t="s">
        <v>160</v>
      </c>
      <c r="X27" s="4"/>
      <c r="Y27" s="2"/>
      <c r="Z27" s="2"/>
      <c r="AA27" s="6"/>
      <c r="AB27" s="6">
        <v>8.3600000000000005E-4</v>
      </c>
      <c r="AC27" s="6"/>
      <c r="AD27" s="6"/>
      <c r="AE27" s="6"/>
      <c r="AF27" s="6"/>
      <c r="AG27" s="2"/>
      <c r="AH27" s="2"/>
      <c r="AI27" s="2"/>
      <c r="AJ27" s="2"/>
      <c r="AK27" s="2"/>
      <c r="AL27" s="2"/>
      <c r="AM27" s="2"/>
      <c r="AN27" s="2"/>
      <c r="AO27" s="2"/>
      <c r="AP27" s="2"/>
      <c r="AQ27" s="2"/>
      <c r="AR27" s="2"/>
      <c r="AS27" s="2"/>
      <c r="AT27" s="2"/>
      <c r="AU27" s="2"/>
      <c r="AV27" s="2"/>
      <c r="AW27" s="2"/>
      <c r="AX27" s="2"/>
      <c r="AY27" s="2"/>
      <c r="AZ27" s="2"/>
      <c r="BA27" s="2"/>
      <c r="BB27" s="2"/>
      <c r="BC27" s="2"/>
    </row>
    <row r="28" spans="1:55" s="3" customFormat="1">
      <c r="A28" s="2"/>
      <c r="B28" s="4"/>
      <c r="C28" s="7" t="s">
        <v>17</v>
      </c>
      <c r="D28" s="58">
        <f>'Rate Summary'!C122</f>
        <v>450</v>
      </c>
      <c r="E28" s="5"/>
      <c r="F28" s="5"/>
      <c r="G28" s="7"/>
      <c r="H28" s="59">
        <f>'Rate Summary'!C125</f>
        <v>2.496E-2</v>
      </c>
      <c r="I28" s="59">
        <f>'Rate Summary'!C126</f>
        <v>1.8960000000000001E-2</v>
      </c>
      <c r="J28" s="7"/>
      <c r="K28" s="7"/>
      <c r="L28" s="7"/>
      <c r="M28" s="60">
        <f>'Rate Summary'!C128</f>
        <v>6</v>
      </c>
      <c r="N28" s="312">
        <f>'Rate Summary'!C130</f>
        <v>9.6</v>
      </c>
      <c r="O28" s="4"/>
      <c r="P28" s="2"/>
      <c r="Q28" s="4"/>
      <c r="R28" s="4" t="s">
        <v>100</v>
      </c>
      <c r="S28" s="4" t="s">
        <v>83</v>
      </c>
      <c r="T28" s="60">
        <f>'Rate Summary'!C189</f>
        <v>10.1</v>
      </c>
      <c r="U28" s="46" t="s">
        <v>160</v>
      </c>
      <c r="V28" s="371">
        <f t="shared" si="1"/>
        <v>15.05</v>
      </c>
      <c r="W28" s="380" t="s">
        <v>160</v>
      </c>
      <c r="X28" s="4"/>
      <c r="Y28" s="2"/>
      <c r="Z28" s="2"/>
      <c r="AA28" s="6"/>
      <c r="AB28" s="6"/>
      <c r="AC28" s="6"/>
      <c r="AD28" s="6"/>
      <c r="AE28" s="6"/>
      <c r="AF28" s="6"/>
      <c r="AG28" s="2"/>
      <c r="AH28" s="2"/>
      <c r="AI28" s="2"/>
      <c r="AJ28" s="2"/>
      <c r="AK28" s="2"/>
      <c r="AL28" s="2"/>
      <c r="AM28" s="2"/>
      <c r="AN28" s="2"/>
      <c r="AO28" s="2"/>
      <c r="AP28" s="2"/>
      <c r="AQ28" s="2"/>
      <c r="AR28" s="2"/>
      <c r="AS28" s="2"/>
      <c r="AT28" s="2"/>
      <c r="AU28" s="2"/>
      <c r="AV28" s="2"/>
      <c r="AW28" s="2"/>
      <c r="AX28" s="2"/>
      <c r="AY28" s="2"/>
      <c r="AZ28" s="2"/>
      <c r="BA28" s="2"/>
      <c r="BB28" s="2"/>
      <c r="BC28" s="2"/>
    </row>
    <row r="29" spans="1:55" s="3" customFormat="1">
      <c r="A29" s="2"/>
      <c r="B29" s="4"/>
      <c r="C29" s="7"/>
      <c r="D29" s="7"/>
      <c r="E29" s="5"/>
      <c r="F29" s="5"/>
      <c r="G29" s="7"/>
      <c r="H29" s="7" t="s">
        <v>71</v>
      </c>
      <c r="I29" s="7"/>
      <c r="J29" s="7"/>
      <c r="K29" s="7"/>
      <c r="L29" s="7"/>
      <c r="M29" s="7"/>
      <c r="N29" s="7"/>
      <c r="O29" s="4"/>
      <c r="P29" s="2"/>
      <c r="Q29" s="4"/>
      <c r="R29" s="4" t="s">
        <v>101</v>
      </c>
      <c r="S29" s="4" t="s">
        <v>85</v>
      </c>
      <c r="T29" s="60">
        <f>'Rate Summary'!C190</f>
        <v>10.89</v>
      </c>
      <c r="U29" s="46" t="s">
        <v>160</v>
      </c>
      <c r="V29" s="371">
        <f t="shared" si="1"/>
        <v>16.23</v>
      </c>
      <c r="W29" s="380" t="s">
        <v>160</v>
      </c>
      <c r="X29" s="4"/>
      <c r="Y29" s="2"/>
      <c r="Z29" s="2"/>
      <c r="AA29" s="6"/>
      <c r="AB29" s="6"/>
      <c r="AC29" s="6"/>
      <c r="AD29" s="6"/>
      <c r="AE29" s="6"/>
      <c r="AF29" s="6"/>
      <c r="AG29" s="2"/>
      <c r="AH29" s="2"/>
      <c r="AI29" s="2"/>
      <c r="AJ29" s="2"/>
      <c r="AK29" s="2"/>
      <c r="AL29" s="2"/>
      <c r="AM29" s="2"/>
      <c r="AN29" s="2"/>
      <c r="AO29" s="2"/>
      <c r="AP29" s="2"/>
      <c r="AQ29" s="2"/>
      <c r="AR29" s="2"/>
      <c r="AS29" s="2"/>
      <c r="AT29" s="2"/>
      <c r="AU29" s="2"/>
      <c r="AV29" s="2"/>
      <c r="AW29" s="2"/>
      <c r="AX29" s="2"/>
      <c r="AY29" s="2"/>
      <c r="AZ29" s="2"/>
      <c r="BA29" s="2"/>
      <c r="BB29" s="2"/>
      <c r="BC29" s="2"/>
    </row>
    <row r="30" spans="1:55" s="3" customFormat="1">
      <c r="A30" s="2"/>
      <c r="B30" s="4"/>
      <c r="C30" s="7" t="s">
        <v>19</v>
      </c>
      <c r="D30" s="58">
        <f>'Rate Summary'!C160</f>
        <v>10</v>
      </c>
      <c r="E30" s="5"/>
      <c r="F30" s="5"/>
      <c r="G30" s="7"/>
      <c r="H30" s="59">
        <f>'Rate Summary'!C162</f>
        <v>6.1789999999999998E-2</v>
      </c>
      <c r="I30" s="7"/>
      <c r="J30" s="7"/>
      <c r="K30" s="7"/>
      <c r="L30" s="7"/>
      <c r="M30" s="7"/>
      <c r="N30" s="7"/>
      <c r="O30" s="4"/>
      <c r="P30" s="2"/>
      <c r="Q30" s="4"/>
      <c r="R30" s="4" t="s">
        <v>102</v>
      </c>
      <c r="S30" s="4" t="s">
        <v>87</v>
      </c>
      <c r="T30" s="60">
        <f>'Rate Summary'!C191</f>
        <v>13.16</v>
      </c>
      <c r="U30" s="46" t="s">
        <v>160</v>
      </c>
      <c r="V30" s="371">
        <f t="shared" si="1"/>
        <v>19.61</v>
      </c>
      <c r="W30" s="380" t="s">
        <v>160</v>
      </c>
      <c r="X30" s="4"/>
      <c r="Y30" s="2"/>
      <c r="Z30" s="2"/>
      <c r="AA30" s="6"/>
      <c r="AB30" s="6"/>
      <c r="AC30" s="6"/>
      <c r="AD30" s="6"/>
      <c r="AE30" s="6"/>
      <c r="AF30" s="6"/>
      <c r="AG30" s="2"/>
      <c r="AH30" s="2"/>
      <c r="AI30" s="2"/>
      <c r="AJ30" s="2"/>
      <c r="AK30" s="2"/>
      <c r="AL30" s="2"/>
      <c r="AM30" s="2"/>
      <c r="AN30" s="2"/>
      <c r="AO30" s="2"/>
      <c r="AP30" s="2"/>
      <c r="AQ30" s="2"/>
      <c r="AR30" s="2"/>
      <c r="AS30" s="2"/>
      <c r="AT30" s="2"/>
      <c r="AU30" s="2"/>
      <c r="AV30" s="2"/>
      <c r="AW30" s="2"/>
      <c r="AX30" s="2"/>
      <c r="AY30" s="2"/>
      <c r="AZ30" s="2"/>
      <c r="BA30" s="2"/>
      <c r="BB30" s="2"/>
      <c r="BC30" s="2"/>
    </row>
    <row r="31" spans="1:55" s="3" customFormat="1">
      <c r="A31" s="2"/>
      <c r="B31" s="4"/>
      <c r="C31" s="7"/>
      <c r="D31" s="7"/>
      <c r="E31" s="5" t="s">
        <v>162</v>
      </c>
      <c r="F31" s="5" t="s">
        <v>163</v>
      </c>
      <c r="G31" s="7"/>
      <c r="H31" s="7" t="s">
        <v>164</v>
      </c>
      <c r="I31" s="7"/>
      <c r="J31" s="7"/>
      <c r="K31" s="7"/>
      <c r="L31" s="7"/>
      <c r="M31" s="7"/>
      <c r="N31" s="7"/>
      <c r="O31" s="4"/>
      <c r="P31" s="2"/>
      <c r="Q31" s="4"/>
      <c r="R31" s="4" t="s">
        <v>106</v>
      </c>
      <c r="S31" s="4" t="s">
        <v>91</v>
      </c>
      <c r="T31" s="60">
        <f>'Rate Summary'!C192</f>
        <v>14.32</v>
      </c>
      <c r="U31" s="46" t="s">
        <v>160</v>
      </c>
      <c r="V31" s="371">
        <f t="shared" si="1"/>
        <v>21.34</v>
      </c>
      <c r="W31" s="380" t="s">
        <v>160</v>
      </c>
      <c r="X31" s="4"/>
      <c r="Y31" s="2"/>
      <c r="Z31" s="2"/>
      <c r="AA31" s="6"/>
      <c r="AB31" s="6"/>
      <c r="AC31" s="6"/>
      <c r="AD31" s="6"/>
      <c r="AE31" s="6"/>
      <c r="AF31" s="6"/>
      <c r="AG31" s="2"/>
      <c r="AH31" s="2"/>
      <c r="AI31" s="2"/>
      <c r="AJ31" s="2"/>
      <c r="AK31" s="2"/>
      <c r="AL31" s="2"/>
      <c r="AM31" s="2"/>
      <c r="AN31" s="2"/>
      <c r="AO31" s="2"/>
      <c r="AP31" s="2"/>
      <c r="AQ31" s="2"/>
      <c r="AR31" s="2"/>
      <c r="AS31" s="2"/>
      <c r="AT31" s="2"/>
      <c r="AU31" s="2"/>
      <c r="AV31" s="2"/>
      <c r="AW31" s="2"/>
      <c r="AX31" s="2"/>
      <c r="AY31" s="2"/>
      <c r="AZ31" s="2"/>
      <c r="BA31" s="2"/>
      <c r="BB31" s="2"/>
      <c r="BC31" s="2"/>
    </row>
    <row r="32" spans="1:55" s="3" customFormat="1">
      <c r="A32" s="2"/>
      <c r="B32" s="4"/>
      <c r="C32" s="7" t="s">
        <v>21</v>
      </c>
      <c r="D32" s="58">
        <f>'Rate Summary'!C145</f>
        <v>5</v>
      </c>
      <c r="E32" s="60">
        <f>'Rate Summary'!C148</f>
        <v>55.43</v>
      </c>
      <c r="F32" s="60">
        <f>'Rate Summary'!C149</f>
        <v>41.74</v>
      </c>
      <c r="G32" s="7"/>
      <c r="H32" s="59">
        <f>'Rate Summary'!C150</f>
        <v>8.4489999999999996E-2</v>
      </c>
      <c r="I32" s="5"/>
      <c r="J32" s="5"/>
      <c r="K32" s="5"/>
      <c r="L32" s="7"/>
      <c r="M32" s="7"/>
      <c r="N32" s="7"/>
      <c r="O32" s="4"/>
      <c r="P32" s="2"/>
      <c r="Q32" s="4"/>
      <c r="R32" s="33"/>
      <c r="S32" s="4"/>
      <c r="T32" s="35"/>
      <c r="U32" s="4"/>
      <c r="V32" s="381"/>
      <c r="W32" s="365"/>
      <c r="X32" s="4"/>
      <c r="Y32" s="2"/>
      <c r="Z32" s="2"/>
      <c r="AA32" s="6"/>
      <c r="AB32" s="6"/>
      <c r="AC32" s="6"/>
      <c r="AD32" s="6"/>
      <c r="AE32" s="6"/>
      <c r="AF32" s="6"/>
      <c r="AG32" s="2"/>
      <c r="AH32" s="2"/>
      <c r="AI32" s="2"/>
      <c r="AJ32" s="2"/>
      <c r="AK32" s="2"/>
      <c r="AL32" s="2"/>
      <c r="AM32" s="2"/>
      <c r="AN32" s="2"/>
      <c r="AO32" s="2"/>
      <c r="AP32" s="2"/>
      <c r="AQ32" s="2"/>
      <c r="AR32" s="2"/>
      <c r="AS32" s="2"/>
      <c r="AT32" s="2"/>
      <c r="AU32" s="2"/>
      <c r="AV32" s="2"/>
      <c r="AW32" s="2"/>
      <c r="AX32" s="2"/>
      <c r="AY32" s="2"/>
      <c r="AZ32" s="2"/>
      <c r="BA32" s="2"/>
      <c r="BB32" s="2"/>
      <c r="BC32" s="2"/>
    </row>
    <row r="33" spans="1:55" s="3" customFormat="1">
      <c r="A33" s="2"/>
      <c r="B33" s="4"/>
      <c r="C33" s="7"/>
      <c r="D33" s="5"/>
      <c r="E33" s="49">
        <f>E32/656</f>
        <v>8.4496951219512201E-2</v>
      </c>
      <c r="F33" s="5"/>
      <c r="G33" s="7"/>
      <c r="H33" s="5" t="s">
        <v>71</v>
      </c>
      <c r="I33" s="5"/>
      <c r="J33" s="5"/>
      <c r="K33" s="5"/>
      <c r="L33" s="7"/>
      <c r="M33" s="7"/>
      <c r="N33" s="7"/>
      <c r="O33" s="4"/>
      <c r="P33" s="2"/>
      <c r="Q33" s="4"/>
      <c r="R33" s="33"/>
      <c r="S33" s="4" t="s">
        <v>107</v>
      </c>
      <c r="T33" s="35"/>
      <c r="U33" s="4"/>
      <c r="V33" s="381"/>
      <c r="W33" s="365"/>
      <c r="X33" s="4"/>
      <c r="Y33" s="2"/>
      <c r="Z33" s="2"/>
      <c r="AA33" s="6"/>
      <c r="AB33" s="6"/>
      <c r="AC33" s="6"/>
      <c r="AD33" s="6"/>
      <c r="AE33" s="6"/>
      <c r="AF33" s="6"/>
      <c r="AG33" s="2"/>
      <c r="AH33" s="2"/>
      <c r="AI33" s="2"/>
      <c r="AJ33" s="2"/>
      <c r="AK33" s="2"/>
      <c r="AL33" s="2"/>
      <c r="AM33" s="2"/>
      <c r="AN33" s="2"/>
      <c r="AO33" s="2"/>
      <c r="AP33" s="2"/>
      <c r="AQ33" s="2"/>
      <c r="AR33" s="2"/>
      <c r="AS33" s="2"/>
      <c r="AT33" s="2"/>
      <c r="AU33" s="2"/>
      <c r="AV33" s="2"/>
      <c r="AW33" s="2"/>
      <c r="AX33" s="2"/>
      <c r="AY33" s="2"/>
      <c r="AZ33" s="2"/>
      <c r="BA33" s="2"/>
      <c r="BB33" s="2"/>
      <c r="BC33" s="2"/>
    </row>
    <row r="34" spans="1:55" s="3" customFormat="1">
      <c r="A34" s="2"/>
      <c r="B34" s="4"/>
      <c r="C34" s="7" t="s">
        <v>22</v>
      </c>
      <c r="D34" s="58">
        <f>'Rate Summary'!C154</f>
        <v>4.5999999999999996</v>
      </c>
      <c r="E34" s="5"/>
      <c r="F34" s="5"/>
      <c r="G34" s="7"/>
      <c r="H34" s="59">
        <f>'Rate Summary'!C156</f>
        <v>8.4489999999999996E-2</v>
      </c>
      <c r="I34" s="5"/>
      <c r="J34" s="5"/>
      <c r="K34" s="5"/>
      <c r="L34" s="7"/>
      <c r="M34" s="7"/>
      <c r="N34" s="7"/>
      <c r="O34" s="4"/>
      <c r="P34" s="2"/>
      <c r="Q34" s="4"/>
      <c r="R34" s="33"/>
      <c r="S34" s="4" t="s">
        <v>108</v>
      </c>
      <c r="T34" s="35"/>
      <c r="U34" s="4"/>
      <c r="V34" s="381"/>
      <c r="W34" s="365"/>
      <c r="X34" s="4"/>
      <c r="Y34" s="2"/>
      <c r="Z34" s="2"/>
      <c r="AA34" s="6"/>
      <c r="AB34" s="6"/>
      <c r="AC34" s="6"/>
      <c r="AD34" s="6"/>
      <c r="AE34" s="6"/>
      <c r="AF34" s="6"/>
      <c r="AG34" s="2"/>
      <c r="AH34" s="2"/>
      <c r="AI34" s="2"/>
      <c r="AJ34" s="2"/>
      <c r="AK34" s="2"/>
      <c r="AL34" s="2"/>
      <c r="AM34" s="2"/>
      <c r="AN34" s="2"/>
      <c r="AO34" s="2"/>
      <c r="AP34" s="2"/>
      <c r="AQ34" s="2"/>
      <c r="AR34" s="2"/>
      <c r="AS34" s="2"/>
      <c r="AT34" s="2"/>
      <c r="AU34" s="2"/>
      <c r="AV34" s="2"/>
      <c r="AW34" s="2"/>
      <c r="AX34" s="2"/>
      <c r="AY34" s="2"/>
      <c r="AZ34" s="2"/>
      <c r="BA34" s="2"/>
      <c r="BB34" s="2"/>
      <c r="BC34" s="2"/>
    </row>
    <row r="35" spans="1:55" s="3" customFormat="1">
      <c r="A35" s="2"/>
      <c r="B35" s="4"/>
      <c r="C35" s="7"/>
      <c r="D35" s="5"/>
      <c r="E35" s="5"/>
      <c r="F35" s="5"/>
      <c r="G35" s="7"/>
      <c r="H35" s="5" t="s">
        <v>71</v>
      </c>
      <c r="I35" s="5"/>
      <c r="J35" s="5"/>
      <c r="K35" s="5"/>
      <c r="L35" s="7"/>
      <c r="M35" s="7" t="s">
        <v>98</v>
      </c>
      <c r="N35" s="7" t="s">
        <v>78</v>
      </c>
      <c r="O35" s="4"/>
      <c r="P35" s="2"/>
      <c r="Q35" s="4"/>
      <c r="R35" s="4" t="s">
        <v>109</v>
      </c>
      <c r="S35" s="4" t="s">
        <v>110</v>
      </c>
      <c r="T35" s="60">
        <f>'Rate Summary'!C196</f>
        <v>5.82</v>
      </c>
      <c r="U35" s="46" t="s">
        <v>160</v>
      </c>
      <c r="V35" s="371">
        <f t="shared" ref="V35:V39" si="2">ROUND(T35*(1+$V$1),2)</f>
        <v>8.67</v>
      </c>
      <c r="W35" s="380" t="s">
        <v>160</v>
      </c>
      <c r="X35" s="4"/>
      <c r="Y35" s="2"/>
      <c r="Z35" s="2"/>
      <c r="AA35" s="6"/>
      <c r="AB35" s="6"/>
      <c r="AC35" s="6"/>
      <c r="AD35" s="6"/>
      <c r="AE35" s="6"/>
      <c r="AF35" s="6"/>
      <c r="AG35" s="2"/>
      <c r="AH35" s="2"/>
      <c r="AI35" s="2"/>
      <c r="AJ35" s="2"/>
      <c r="AK35" s="2"/>
      <c r="AL35" s="2"/>
      <c r="AM35" s="2"/>
      <c r="AN35" s="2"/>
      <c r="AO35" s="2"/>
      <c r="AP35" s="2"/>
      <c r="AQ35" s="2"/>
      <c r="AR35" s="2"/>
      <c r="AS35" s="2"/>
      <c r="AT35" s="2"/>
      <c r="AU35" s="2"/>
      <c r="AV35" s="2"/>
      <c r="AW35" s="2"/>
      <c r="AX35" s="2"/>
      <c r="AY35" s="2"/>
      <c r="AZ35" s="2"/>
      <c r="BA35" s="2"/>
      <c r="BB35" s="2"/>
      <c r="BC35" s="2"/>
    </row>
    <row r="36" spans="1:55" s="3" customFormat="1">
      <c r="A36" s="2"/>
      <c r="B36" s="4"/>
      <c r="C36" s="7" t="s">
        <v>24</v>
      </c>
      <c r="D36" s="58">
        <f>'Rate Summary'!C136</f>
        <v>521.67999999999995</v>
      </c>
      <c r="E36" s="5"/>
      <c r="F36" s="5"/>
      <c r="G36" s="7"/>
      <c r="H36" s="59">
        <f>'Rate Summary'!C138</f>
        <v>2.811E-2</v>
      </c>
      <c r="I36" s="5"/>
      <c r="J36" s="5"/>
      <c r="K36" s="5"/>
      <c r="L36" s="7"/>
      <c r="M36" s="312">
        <f>'Rate Summary'!C140</f>
        <v>8.58</v>
      </c>
      <c r="N36" s="312">
        <f>'Rate Summary'!C141</f>
        <v>11.59</v>
      </c>
      <c r="O36" s="4"/>
      <c r="P36" s="2"/>
      <c r="Q36" s="4"/>
      <c r="R36" s="4" t="s">
        <v>111</v>
      </c>
      <c r="S36" s="4" t="s">
        <v>112</v>
      </c>
      <c r="T36" s="60">
        <f>'Rate Summary'!C197</f>
        <v>7.83</v>
      </c>
      <c r="U36" s="46" t="s">
        <v>160</v>
      </c>
      <c r="V36" s="371">
        <f t="shared" si="2"/>
        <v>11.67</v>
      </c>
      <c r="W36" s="380" t="s">
        <v>160</v>
      </c>
      <c r="X36" s="4"/>
      <c r="Y36" s="2"/>
      <c r="Z36" s="2"/>
      <c r="AA36" s="6"/>
      <c r="AB36" s="6"/>
      <c r="AC36" s="6"/>
      <c r="AD36" s="6"/>
      <c r="AE36" s="6"/>
      <c r="AF36" s="6"/>
      <c r="AG36" s="2"/>
      <c r="AH36" s="2"/>
      <c r="AI36" s="2"/>
      <c r="AJ36" s="2"/>
      <c r="AK36" s="2"/>
      <c r="AL36" s="2"/>
      <c r="AM36" s="2"/>
      <c r="AN36" s="2"/>
      <c r="AO36" s="2"/>
      <c r="AP36" s="2"/>
      <c r="AQ36" s="2"/>
      <c r="AR36" s="2"/>
      <c r="AS36" s="2"/>
      <c r="AT36" s="2"/>
      <c r="AU36" s="2"/>
      <c r="AV36" s="2"/>
      <c r="AW36" s="2"/>
      <c r="AX36" s="2"/>
      <c r="AY36" s="2"/>
      <c r="AZ36" s="2"/>
      <c r="BA36" s="2"/>
      <c r="BB36" s="2"/>
      <c r="BC36" s="2"/>
    </row>
    <row r="37" spans="1:55" s="3" customFormat="1">
      <c r="A37" s="2"/>
      <c r="B37" s="4"/>
      <c r="C37" s="5"/>
      <c r="D37" s="5"/>
      <c r="E37" s="5"/>
      <c r="F37" s="5"/>
      <c r="G37" s="5"/>
      <c r="H37" s="5"/>
      <c r="I37" s="5"/>
      <c r="J37" s="5"/>
      <c r="K37" s="5"/>
      <c r="L37" s="7"/>
      <c r="M37" s="7"/>
      <c r="N37" s="7"/>
      <c r="O37" s="4"/>
      <c r="P37" s="2"/>
      <c r="Q37" s="4"/>
      <c r="R37" s="4" t="s">
        <v>113</v>
      </c>
      <c r="S37" s="4" t="s">
        <v>114</v>
      </c>
      <c r="T37" s="60">
        <f>'Rate Summary'!C198</f>
        <v>13.41</v>
      </c>
      <c r="U37" s="46" t="s">
        <v>160</v>
      </c>
      <c r="V37" s="371">
        <f t="shared" si="2"/>
        <v>19.98</v>
      </c>
      <c r="W37" s="380" t="s">
        <v>160</v>
      </c>
      <c r="X37" s="4"/>
      <c r="Y37" s="2"/>
      <c r="Z37" s="2"/>
      <c r="AA37" s="6"/>
      <c r="AB37" s="6"/>
      <c r="AC37" s="6"/>
      <c r="AD37" s="6"/>
      <c r="AE37" s="6"/>
      <c r="AF37" s="6"/>
      <c r="AG37" s="2"/>
      <c r="AH37" s="2"/>
      <c r="AI37" s="2"/>
      <c r="AJ37" s="2"/>
      <c r="AK37" s="2"/>
      <c r="AL37" s="2"/>
      <c r="AM37" s="2"/>
      <c r="AN37" s="2"/>
      <c r="AO37" s="2"/>
      <c r="AP37" s="2"/>
      <c r="AQ37" s="2"/>
      <c r="AR37" s="2"/>
      <c r="AS37" s="2"/>
      <c r="AT37" s="2"/>
      <c r="AU37" s="2"/>
      <c r="AV37" s="2"/>
      <c r="AW37" s="2"/>
      <c r="AX37" s="2"/>
      <c r="AY37" s="2"/>
      <c r="AZ37" s="2"/>
      <c r="BA37" s="2"/>
      <c r="BB37" s="2"/>
      <c r="BC37" s="2"/>
    </row>
    <row r="38" spans="1:55" s="3" customFormat="1">
      <c r="A38" s="2"/>
      <c r="B38" s="2"/>
      <c r="C38" s="2"/>
      <c r="D38" s="2"/>
      <c r="E38" s="2"/>
      <c r="F38" s="2"/>
      <c r="G38" s="2"/>
      <c r="H38" s="2"/>
      <c r="I38" s="2"/>
      <c r="J38" s="2"/>
      <c r="K38" s="2"/>
      <c r="L38" s="2"/>
      <c r="M38" s="2"/>
      <c r="N38" s="2"/>
      <c r="O38" s="2"/>
      <c r="P38" s="2"/>
      <c r="Q38" s="4"/>
      <c r="R38" s="4" t="s">
        <v>115</v>
      </c>
      <c r="S38" s="4" t="s">
        <v>116</v>
      </c>
      <c r="T38" s="60">
        <f>'Rate Summary'!C199</f>
        <v>28.03</v>
      </c>
      <c r="U38" s="46" t="s">
        <v>160</v>
      </c>
      <c r="V38" s="371">
        <f t="shared" si="2"/>
        <v>41.76</v>
      </c>
      <c r="W38" s="380" t="s">
        <v>160</v>
      </c>
      <c r="X38" s="4"/>
      <c r="Y38" s="2"/>
      <c r="Z38" s="2"/>
      <c r="AA38" s="6"/>
      <c r="AB38" s="6"/>
      <c r="AC38" s="6"/>
      <c r="AD38" s="6"/>
      <c r="AE38" s="6"/>
      <c r="AF38" s="6"/>
      <c r="AG38" s="2"/>
      <c r="AH38" s="2"/>
      <c r="AI38" s="2"/>
      <c r="AJ38" s="2"/>
      <c r="AK38" s="2"/>
      <c r="AL38" s="2"/>
      <c r="AM38" s="2"/>
      <c r="AN38" s="2"/>
      <c r="AO38" s="2"/>
      <c r="AP38" s="2"/>
      <c r="AQ38" s="2"/>
      <c r="AR38" s="2"/>
      <c r="AS38" s="2"/>
      <c r="AT38" s="2"/>
      <c r="AU38" s="2"/>
      <c r="AV38" s="2"/>
      <c r="AW38" s="2"/>
      <c r="AX38" s="2"/>
      <c r="AY38" s="2"/>
      <c r="AZ38" s="2"/>
      <c r="BA38" s="2"/>
      <c r="BB38" s="2"/>
      <c r="BC38" s="2"/>
    </row>
    <row r="39" spans="1:55" s="3" customFormat="1">
      <c r="A39" s="2"/>
      <c r="B39" s="361"/>
      <c r="C39" s="361"/>
      <c r="D39" s="362">
        <v>1</v>
      </c>
      <c r="E39" s="363" t="s">
        <v>165</v>
      </c>
      <c r="F39" s="361"/>
      <c r="G39" s="361"/>
      <c r="H39" s="364">
        <v>0.32400000000000001</v>
      </c>
      <c r="I39" s="363" t="s">
        <v>166</v>
      </c>
      <c r="J39" s="361"/>
      <c r="K39" s="361"/>
      <c r="L39" s="361"/>
      <c r="M39" s="361"/>
      <c r="N39" s="361"/>
      <c r="O39" s="361"/>
      <c r="P39" s="2"/>
      <c r="Q39" s="4"/>
      <c r="R39" s="4" t="s">
        <v>117</v>
      </c>
      <c r="S39" s="4" t="s">
        <v>118</v>
      </c>
      <c r="T39" s="60">
        <f>'Rate Summary'!C200</f>
        <v>25.03</v>
      </c>
      <c r="U39" s="46" t="s">
        <v>160</v>
      </c>
      <c r="V39" s="371">
        <f t="shared" si="2"/>
        <v>37.29</v>
      </c>
      <c r="W39" s="380" t="s">
        <v>160</v>
      </c>
      <c r="X39" s="4"/>
      <c r="Y39" s="2"/>
      <c r="Z39" s="2"/>
      <c r="AA39" s="6"/>
      <c r="AB39" s="6"/>
      <c r="AC39" s="6"/>
      <c r="AD39" s="6"/>
      <c r="AE39" s="6"/>
      <c r="AF39" s="6"/>
      <c r="AG39" s="2"/>
      <c r="AH39" s="2"/>
      <c r="AI39" s="2"/>
      <c r="AJ39" s="2"/>
      <c r="AK39" s="2"/>
      <c r="AL39" s="2"/>
      <c r="AM39" s="2"/>
      <c r="AN39" s="2"/>
      <c r="AO39" s="2"/>
      <c r="AP39" s="2"/>
      <c r="AQ39" s="2"/>
      <c r="AR39" s="2"/>
      <c r="AS39" s="2"/>
      <c r="AT39" s="2"/>
      <c r="AU39" s="2"/>
      <c r="AV39" s="2"/>
      <c r="AW39" s="2"/>
      <c r="AX39" s="2"/>
      <c r="AY39" s="2"/>
      <c r="AZ39" s="2"/>
      <c r="BA39" s="2"/>
      <c r="BB39" s="2"/>
      <c r="BC39" s="2"/>
    </row>
    <row r="40" spans="1:55" s="3" customFormat="1">
      <c r="A40" s="2"/>
      <c r="B40" s="361"/>
      <c r="C40" s="361"/>
      <c r="D40" s="361"/>
      <c r="E40" s="361"/>
      <c r="F40" s="361"/>
      <c r="G40" s="361"/>
      <c r="H40" s="361"/>
      <c r="I40" s="361"/>
      <c r="J40" s="361"/>
      <c r="K40" s="361"/>
      <c r="L40" s="361"/>
      <c r="M40" s="361"/>
      <c r="N40" s="361"/>
      <c r="O40" s="361"/>
      <c r="P40" s="2"/>
      <c r="Q40" s="4"/>
      <c r="R40" s="33"/>
      <c r="S40" s="4" t="s">
        <v>119</v>
      </c>
      <c r="T40" s="35"/>
      <c r="U40" s="4"/>
      <c r="V40" s="381"/>
      <c r="W40" s="365"/>
      <c r="X40" s="4"/>
      <c r="Y40" s="2"/>
      <c r="Z40" s="2"/>
      <c r="AA40" s="6"/>
      <c r="AB40" s="6"/>
      <c r="AC40" s="6"/>
      <c r="AD40" s="6"/>
      <c r="AE40" s="6"/>
      <c r="AF40" s="6"/>
      <c r="AG40" s="2"/>
      <c r="AH40" s="2"/>
      <c r="AI40" s="2"/>
      <c r="AJ40" s="2"/>
      <c r="AK40" s="2"/>
      <c r="AL40" s="2"/>
      <c r="AM40" s="2"/>
      <c r="AN40" s="2"/>
      <c r="AO40" s="2"/>
      <c r="AP40" s="2"/>
      <c r="AQ40" s="2"/>
      <c r="AR40" s="2"/>
      <c r="AS40" s="2"/>
      <c r="AT40" s="2"/>
      <c r="AU40" s="2"/>
      <c r="AV40" s="2"/>
      <c r="AW40" s="2"/>
      <c r="AX40" s="2"/>
      <c r="AY40" s="2"/>
      <c r="AZ40" s="2"/>
      <c r="BA40" s="2"/>
      <c r="BB40" s="2"/>
      <c r="BC40" s="2"/>
    </row>
    <row r="41" spans="1:55" s="3" customFormat="1">
      <c r="A41" s="2"/>
      <c r="B41" s="365" t="str">
        <f>IF(ISNUMBER(COUNTIF(B42:B75,"*ERROR*")),"ERROR - Ensure subsidized rates are not modified, """)</f>
        <v>ERROR - Ensure subsidized rates are not modified, "</v>
      </c>
      <c r="C41" s="1622" t="s">
        <v>167</v>
      </c>
      <c r="D41" s="1622"/>
      <c r="E41" s="1622"/>
      <c r="F41" s="365"/>
      <c r="G41" s="365"/>
      <c r="H41" s="365"/>
      <c r="I41" s="365"/>
      <c r="J41" s="365"/>
      <c r="K41" s="365"/>
      <c r="L41" s="365"/>
      <c r="M41" s="365"/>
      <c r="N41" s="365"/>
      <c r="O41" s="365"/>
      <c r="P41" s="2"/>
      <c r="Q41" s="4"/>
      <c r="R41" s="4" t="s">
        <v>121</v>
      </c>
      <c r="S41" s="4" t="s">
        <v>110</v>
      </c>
      <c r="T41" s="60">
        <f>'Rate Summary'!C202</f>
        <v>4.22</v>
      </c>
      <c r="U41" s="46" t="s">
        <v>160</v>
      </c>
      <c r="V41" s="371">
        <f t="shared" ref="V41:V44" si="3">ROUND(T41*(1+$V$1),2)</f>
        <v>6.29</v>
      </c>
      <c r="W41" s="380" t="s">
        <v>160</v>
      </c>
      <c r="X41" s="4"/>
      <c r="Y41" s="2"/>
      <c r="Z41" s="2"/>
      <c r="AA41" s="6"/>
      <c r="AB41" s="6"/>
      <c r="AC41" s="6"/>
      <c r="AD41" s="6"/>
      <c r="AE41" s="6"/>
      <c r="AF41" s="6"/>
      <c r="AG41" s="2"/>
      <c r="AH41" s="2"/>
      <c r="AI41" s="2"/>
      <c r="AJ41" s="2"/>
      <c r="AK41" s="2"/>
      <c r="AL41" s="2"/>
      <c r="AM41" s="2"/>
      <c r="AN41" s="2"/>
      <c r="AO41" s="2"/>
      <c r="AP41" s="2"/>
      <c r="AQ41" s="2"/>
      <c r="AR41" s="2"/>
      <c r="AS41" s="2"/>
      <c r="AT41" s="2"/>
      <c r="AU41" s="2"/>
      <c r="AV41" s="2"/>
      <c r="AW41" s="2"/>
      <c r="AX41" s="2"/>
      <c r="AY41" s="2"/>
      <c r="AZ41" s="2"/>
      <c r="BA41" s="2"/>
      <c r="BB41" s="2"/>
      <c r="BC41" s="2"/>
    </row>
    <row r="42" spans="1:55" s="3" customFormat="1">
      <c r="A42" s="2"/>
      <c r="B42" s="365"/>
      <c r="C42" s="365"/>
      <c r="D42" s="1623" t="s">
        <v>4</v>
      </c>
      <c r="E42" s="1623"/>
      <c r="F42" s="1623"/>
      <c r="G42" s="1624" t="s">
        <v>5</v>
      </c>
      <c r="H42" s="1624"/>
      <c r="I42" s="1624"/>
      <c r="J42" s="1624"/>
      <c r="K42" s="366"/>
      <c r="L42" s="366"/>
      <c r="M42" s="1624" t="s">
        <v>168</v>
      </c>
      <c r="N42" s="1624"/>
      <c r="O42" s="365"/>
      <c r="P42" s="2"/>
      <c r="Q42" s="4"/>
      <c r="R42" s="4" t="s">
        <v>122</v>
      </c>
      <c r="S42" s="4" t="s">
        <v>112</v>
      </c>
      <c r="T42" s="60">
        <f>'Rate Summary'!C203</f>
        <v>6.18</v>
      </c>
      <c r="U42" s="46" t="s">
        <v>160</v>
      </c>
      <c r="V42" s="371">
        <f t="shared" si="3"/>
        <v>9.2100000000000009</v>
      </c>
      <c r="W42" s="380" t="s">
        <v>160</v>
      </c>
      <c r="X42" s="4"/>
      <c r="Y42" s="2"/>
      <c r="Z42" s="2"/>
      <c r="AA42" s="6"/>
      <c r="AB42" s="6"/>
      <c r="AC42" s="6"/>
      <c r="AD42" s="6"/>
      <c r="AE42" s="6"/>
      <c r="AF42" s="6"/>
      <c r="AG42" s="2"/>
      <c r="AH42" s="2"/>
      <c r="AI42" s="2"/>
      <c r="AJ42" s="2"/>
      <c r="AK42" s="2"/>
      <c r="AL42" s="2"/>
      <c r="AM42" s="2"/>
      <c r="AN42" s="2"/>
      <c r="AO42" s="2"/>
      <c r="AP42" s="2"/>
      <c r="AQ42" s="2"/>
      <c r="AR42" s="2"/>
      <c r="AS42" s="2"/>
      <c r="AT42" s="2"/>
      <c r="AU42" s="2"/>
      <c r="AV42" s="2"/>
      <c r="AW42" s="2"/>
      <c r="AX42" s="2"/>
      <c r="AY42" s="2"/>
      <c r="AZ42" s="2"/>
      <c r="BA42" s="2"/>
      <c r="BB42" s="2"/>
      <c r="BC42" s="2"/>
    </row>
    <row r="43" spans="1:55" s="3" customFormat="1">
      <c r="A43" s="2"/>
      <c r="B43" s="365"/>
      <c r="C43" s="365"/>
      <c r="D43" s="367"/>
      <c r="E43" s="367"/>
      <c r="F43" s="367"/>
      <c r="G43" s="367"/>
      <c r="H43" s="367" t="s">
        <v>44</v>
      </c>
      <c r="I43" s="367" t="s">
        <v>45</v>
      </c>
      <c r="J43" s="367"/>
      <c r="K43" s="367"/>
      <c r="L43" s="367"/>
      <c r="M43" s="367"/>
      <c r="N43" s="367"/>
      <c r="O43" s="365"/>
      <c r="P43" s="2"/>
      <c r="Q43" s="4"/>
      <c r="R43" s="4" t="s">
        <v>123</v>
      </c>
      <c r="S43" s="4" t="s">
        <v>114</v>
      </c>
      <c r="T43" s="60">
        <f>'Rate Summary'!C204</f>
        <v>8.31</v>
      </c>
      <c r="U43" s="46" t="s">
        <v>160</v>
      </c>
      <c r="V43" s="371">
        <f t="shared" si="3"/>
        <v>12.38</v>
      </c>
      <c r="W43" s="380" t="s">
        <v>160</v>
      </c>
      <c r="X43" s="4"/>
      <c r="Y43" s="2"/>
      <c r="Z43" s="2"/>
      <c r="AA43" s="6"/>
      <c r="AB43" s="6"/>
      <c r="AC43" s="6"/>
      <c r="AD43" s="6"/>
      <c r="AE43" s="6"/>
      <c r="AF43" s="6"/>
      <c r="AG43" s="2"/>
      <c r="AH43" s="2"/>
      <c r="AI43" s="2"/>
      <c r="AJ43" s="2"/>
      <c r="AK43" s="2"/>
      <c r="AL43" s="2"/>
      <c r="AM43" s="2"/>
      <c r="AN43" s="2"/>
      <c r="AO43" s="2"/>
      <c r="AP43" s="2"/>
      <c r="AQ43" s="2"/>
      <c r="AR43" s="2"/>
      <c r="AS43" s="2"/>
      <c r="AT43" s="2"/>
      <c r="AU43" s="2"/>
      <c r="AV43" s="2"/>
      <c r="AW43" s="2"/>
      <c r="AX43" s="2"/>
      <c r="AY43" s="2"/>
      <c r="AZ43" s="2"/>
      <c r="BA43" s="2"/>
      <c r="BB43" s="2"/>
      <c r="BC43" s="2"/>
    </row>
    <row r="44" spans="1:55" s="3" customFormat="1">
      <c r="A44" s="2"/>
      <c r="B44" s="365"/>
      <c r="C44" s="365" t="s">
        <v>3</v>
      </c>
      <c r="D44" s="368">
        <v>10</v>
      </c>
      <c r="E44" s="367"/>
      <c r="F44" s="367"/>
      <c r="G44" s="369"/>
      <c r="H44" s="370">
        <v>0.13200000000000001</v>
      </c>
      <c r="I44" s="370">
        <v>0.14749999999999999</v>
      </c>
      <c r="J44" s="369"/>
      <c r="K44" s="369"/>
      <c r="L44" s="369"/>
      <c r="M44" s="369"/>
      <c r="N44" s="369"/>
      <c r="O44" s="365"/>
      <c r="P44" s="2"/>
      <c r="Q44" s="4"/>
      <c r="R44" s="4" t="s">
        <v>124</v>
      </c>
      <c r="S44" s="4" t="s">
        <v>116</v>
      </c>
      <c r="T44" s="60">
        <f>'Rate Summary'!C205</f>
        <v>12.08</v>
      </c>
      <c r="U44" s="46" t="s">
        <v>160</v>
      </c>
      <c r="V44" s="371">
        <f t="shared" si="3"/>
        <v>18</v>
      </c>
      <c r="W44" s="380" t="s">
        <v>160</v>
      </c>
      <c r="X44" s="4"/>
      <c r="Y44" s="2"/>
      <c r="Z44" s="2"/>
      <c r="AA44" s="6"/>
      <c r="AB44" s="6"/>
      <c r="AC44" s="6"/>
      <c r="AD44" s="6"/>
      <c r="AE44" s="6"/>
      <c r="AF44" s="6"/>
      <c r="AG44" s="2"/>
      <c r="AH44" s="2"/>
      <c r="AI44" s="2"/>
      <c r="AJ44" s="2"/>
      <c r="AK44" s="2"/>
      <c r="AL44" s="2"/>
      <c r="AM44" s="2"/>
      <c r="AN44" s="2"/>
      <c r="AO44" s="2"/>
      <c r="AP44" s="2"/>
      <c r="AQ44" s="2"/>
      <c r="AR44" s="2"/>
      <c r="AS44" s="2"/>
      <c r="AT44" s="2"/>
      <c r="AU44" s="2"/>
      <c r="AV44" s="2"/>
      <c r="AW44" s="2"/>
      <c r="AX44" s="2"/>
      <c r="AY44" s="2"/>
      <c r="AZ44" s="2"/>
      <c r="BA44" s="2"/>
      <c r="BB44" s="2"/>
      <c r="BC44" s="2"/>
    </row>
    <row r="45" spans="1:55" s="3" customFormat="1">
      <c r="A45" s="2"/>
      <c r="B45" s="365"/>
      <c r="C45" s="365"/>
      <c r="D45" s="365"/>
      <c r="E45" s="367"/>
      <c r="F45" s="367"/>
      <c r="G45" s="369"/>
      <c r="H45" s="365" t="s">
        <v>51</v>
      </c>
      <c r="I45" s="365" t="s">
        <v>52</v>
      </c>
      <c r="J45" s="365" t="s">
        <v>53</v>
      </c>
      <c r="K45" s="365"/>
      <c r="L45" s="369"/>
      <c r="M45" s="369"/>
      <c r="N45" s="369"/>
      <c r="O45" s="365"/>
      <c r="P45" s="2"/>
      <c r="Q45" s="4"/>
      <c r="R45" s="33"/>
      <c r="S45" s="4"/>
      <c r="T45" s="35"/>
      <c r="U45" s="4"/>
      <c r="V45" s="381"/>
      <c r="W45" s="365"/>
      <c r="X45" s="4"/>
      <c r="Y45" s="2"/>
      <c r="Z45" s="2"/>
      <c r="AA45" s="6"/>
      <c r="AB45" s="6"/>
      <c r="AC45" s="6"/>
      <c r="AD45" s="6"/>
      <c r="AE45" s="6"/>
      <c r="AF45" s="6"/>
      <c r="AG45" s="2"/>
      <c r="AH45" s="2"/>
      <c r="AI45" s="2"/>
      <c r="AJ45" s="2"/>
      <c r="AK45" s="2"/>
      <c r="AL45" s="2"/>
      <c r="AM45" s="2"/>
      <c r="AN45" s="2"/>
      <c r="AO45" s="2"/>
      <c r="AP45" s="2"/>
      <c r="AQ45" s="2"/>
      <c r="AR45" s="2"/>
      <c r="AS45" s="2"/>
      <c r="AT45" s="2"/>
      <c r="AU45" s="2"/>
      <c r="AV45" s="2"/>
      <c r="AW45" s="2"/>
      <c r="AX45" s="2"/>
      <c r="AY45" s="2"/>
      <c r="AZ45" s="2"/>
      <c r="BA45" s="2"/>
      <c r="BB45" s="2"/>
      <c r="BC45" s="2"/>
    </row>
    <row r="46" spans="1:55" s="3" customFormat="1">
      <c r="A46" s="2"/>
      <c r="B46" s="365"/>
      <c r="C46" s="365" t="s">
        <v>55</v>
      </c>
      <c r="D46" s="371">
        <f>ROUND(D8*(1+$D$39),0)</f>
        <v>0</v>
      </c>
      <c r="E46" s="367"/>
      <c r="F46" s="367"/>
      <c r="G46" s="369"/>
      <c r="H46" s="372">
        <f>ROUND(H8*(1+$H$39),5)</f>
        <v>0</v>
      </c>
      <c r="I46" s="372">
        <f>ROUND(I8*(1+$H$39),5)</f>
        <v>0</v>
      </c>
      <c r="J46" s="372">
        <f>ROUND(J8*(1+$H$39),5)</f>
        <v>0</v>
      </c>
      <c r="K46" s="373"/>
      <c r="L46" s="369"/>
      <c r="M46" s="369"/>
      <c r="N46" s="369"/>
      <c r="O46" s="365"/>
      <c r="P46" s="2"/>
      <c r="Q46" s="4"/>
      <c r="R46" s="33" t="s">
        <v>11</v>
      </c>
      <c r="S46" s="4"/>
      <c r="T46" s="35"/>
      <c r="U46" s="4"/>
      <c r="V46" s="381"/>
      <c r="W46" s="365"/>
      <c r="X46" s="4"/>
      <c r="Y46" s="2"/>
      <c r="Z46" s="2"/>
      <c r="AA46" s="6"/>
      <c r="AB46" s="6"/>
      <c r="AC46" s="6"/>
      <c r="AD46" s="6"/>
      <c r="AE46" s="6"/>
      <c r="AF46" s="6"/>
      <c r="AG46" s="2"/>
      <c r="AH46" s="2"/>
      <c r="AI46" s="2"/>
      <c r="AJ46" s="2"/>
      <c r="AK46" s="2"/>
      <c r="AL46" s="2"/>
      <c r="AM46" s="2"/>
      <c r="AN46" s="2"/>
      <c r="AO46" s="2"/>
      <c r="AP46" s="2"/>
      <c r="AQ46" s="2"/>
      <c r="AR46" s="2"/>
      <c r="AS46" s="2"/>
      <c r="AT46" s="2"/>
      <c r="AU46" s="2"/>
      <c r="AV46" s="2"/>
      <c r="AW46" s="2"/>
      <c r="AX46" s="2"/>
      <c r="AY46" s="2"/>
      <c r="AZ46" s="2"/>
      <c r="BA46" s="2"/>
      <c r="BB46" s="2"/>
      <c r="BC46" s="2"/>
    </row>
    <row r="47" spans="1:55" s="3" customFormat="1">
      <c r="A47" s="2"/>
      <c r="B47" s="365"/>
      <c r="C47" s="369"/>
      <c r="D47" s="369"/>
      <c r="E47" s="367"/>
      <c r="F47" s="367"/>
      <c r="G47" s="369"/>
      <c r="H47" s="367" t="s">
        <v>44</v>
      </c>
      <c r="I47" s="367" t="s">
        <v>45</v>
      </c>
      <c r="J47" s="369"/>
      <c r="K47" s="369"/>
      <c r="L47" s="369"/>
      <c r="M47" s="369"/>
      <c r="N47" s="369"/>
      <c r="O47" s="365"/>
      <c r="P47" s="2"/>
      <c r="Q47" s="4"/>
      <c r="R47" s="4" t="s">
        <v>125</v>
      </c>
      <c r="S47" s="4" t="s">
        <v>4</v>
      </c>
      <c r="T47" s="60">
        <f>'Rate Summary'!C208</f>
        <v>5</v>
      </c>
      <c r="U47" s="46" t="s">
        <v>160</v>
      </c>
      <c r="V47" s="371">
        <f t="shared" ref="V47" si="4">ROUND(T47*(1+$V$1),2)</f>
        <v>7.45</v>
      </c>
      <c r="W47" s="380" t="s">
        <v>160</v>
      </c>
      <c r="X47" s="4"/>
      <c r="Y47" s="2"/>
      <c r="Z47" s="2"/>
      <c r="AA47" s="6"/>
      <c r="AB47" s="6"/>
      <c r="AC47" s="6"/>
      <c r="AD47" s="6"/>
      <c r="AE47" s="6"/>
      <c r="AF47" s="6"/>
      <c r="AG47" s="2"/>
      <c r="AH47" s="2"/>
      <c r="AI47" s="2"/>
      <c r="AJ47" s="2"/>
      <c r="AK47" s="2"/>
      <c r="AL47" s="2"/>
      <c r="AM47" s="2"/>
      <c r="AN47" s="2"/>
      <c r="AO47" s="2"/>
      <c r="AP47" s="2"/>
      <c r="AQ47" s="2"/>
      <c r="AR47" s="2"/>
      <c r="AS47" s="2"/>
      <c r="AT47" s="2"/>
      <c r="AU47" s="2"/>
      <c r="AV47" s="2"/>
      <c r="AW47" s="2"/>
      <c r="AX47" s="2"/>
      <c r="AY47" s="2"/>
      <c r="AZ47" s="2"/>
      <c r="BA47" s="2"/>
      <c r="BB47" s="2"/>
      <c r="BC47" s="2"/>
    </row>
    <row r="48" spans="1:55" s="3" customFormat="1">
      <c r="A48" s="2"/>
      <c r="B48" s="365"/>
      <c r="C48" s="369" t="s">
        <v>6</v>
      </c>
      <c r="D48" s="392">
        <v>5</v>
      </c>
      <c r="E48" s="367"/>
      <c r="F48" s="367"/>
      <c r="G48" s="369"/>
      <c r="H48" s="393">
        <v>4.4999999999999998E-2</v>
      </c>
      <c r="I48" s="393">
        <f>I44</f>
        <v>0.14749999999999999</v>
      </c>
      <c r="J48" s="369"/>
      <c r="K48" s="369"/>
      <c r="L48" s="369"/>
      <c r="M48" s="369"/>
      <c r="N48" s="369"/>
      <c r="O48" s="365"/>
      <c r="P48" s="2"/>
      <c r="Q48" s="4"/>
      <c r="R48" s="33"/>
      <c r="S48" s="4"/>
      <c r="T48" s="35"/>
      <c r="U48" s="4"/>
      <c r="V48" s="381"/>
      <c r="W48" s="365"/>
      <c r="X48" s="4"/>
      <c r="Y48" s="2"/>
      <c r="Z48" s="2"/>
      <c r="AA48" s="6"/>
      <c r="AB48" s="6"/>
      <c r="AC48" s="6"/>
      <c r="AD48" s="6"/>
      <c r="AE48" s="6"/>
      <c r="AF48" s="6"/>
      <c r="AG48" s="2"/>
      <c r="AH48" s="2"/>
      <c r="AI48" s="2"/>
      <c r="AJ48" s="2"/>
      <c r="AK48" s="2"/>
      <c r="AL48" s="2"/>
      <c r="AM48" s="2"/>
      <c r="AN48" s="2"/>
      <c r="AO48" s="2"/>
      <c r="AP48" s="2"/>
      <c r="AQ48" s="2"/>
      <c r="AR48" s="2"/>
      <c r="AS48" s="2"/>
      <c r="AT48" s="2"/>
      <c r="AU48" s="2"/>
      <c r="AV48" s="2"/>
      <c r="AW48" s="2"/>
      <c r="AX48" s="2"/>
      <c r="AY48" s="2"/>
      <c r="AZ48" s="2"/>
      <c r="BA48" s="2"/>
      <c r="BB48" s="2"/>
      <c r="BC48" s="2"/>
    </row>
    <row r="49" spans="1:55" s="3" customFormat="1">
      <c r="A49" s="2"/>
      <c r="B49" s="365"/>
      <c r="C49" s="369"/>
      <c r="D49" s="369"/>
      <c r="E49" s="367"/>
      <c r="F49" s="367"/>
      <c r="G49" s="369"/>
      <c r="H49" s="367" t="s">
        <v>44</v>
      </c>
      <c r="I49" s="367" t="s">
        <v>45</v>
      </c>
      <c r="J49" s="369"/>
      <c r="K49" s="369"/>
      <c r="L49" s="369"/>
      <c r="M49" s="369"/>
      <c r="N49" s="369"/>
      <c r="O49" s="365"/>
      <c r="P49" s="2"/>
      <c r="Q49" s="4"/>
      <c r="R49" s="4" t="s">
        <v>125</v>
      </c>
      <c r="S49" s="4" t="s">
        <v>5</v>
      </c>
      <c r="T49" s="59">
        <f>'Rate Summary'!C210</f>
        <v>7.7789999999999998E-2</v>
      </c>
      <c r="U49" s="46" t="s">
        <v>157</v>
      </c>
      <c r="V49" s="372">
        <v>0.105</v>
      </c>
      <c r="W49" s="380" t="s">
        <v>157</v>
      </c>
      <c r="X49" s="4"/>
      <c r="Y49" s="2"/>
      <c r="Z49" s="2"/>
      <c r="AA49" s="6"/>
      <c r="AB49" s="6"/>
      <c r="AC49" s="6"/>
      <c r="AD49" s="6"/>
      <c r="AE49" s="6"/>
      <c r="AF49" s="6"/>
      <c r="AG49" s="2"/>
      <c r="AH49" s="2"/>
      <c r="AI49" s="2"/>
      <c r="AJ49" s="2"/>
      <c r="AK49" s="2"/>
      <c r="AL49" s="2"/>
      <c r="AM49" s="2"/>
      <c r="AN49" s="2"/>
      <c r="AO49" s="2"/>
      <c r="AP49" s="2"/>
      <c r="AQ49" s="2"/>
      <c r="AR49" s="2"/>
      <c r="AS49" s="2"/>
      <c r="AT49" s="2"/>
      <c r="AU49" s="2"/>
      <c r="AV49" s="2"/>
      <c r="AW49" s="2"/>
      <c r="AX49" s="2"/>
      <c r="AY49" s="2"/>
      <c r="AZ49" s="2"/>
      <c r="BA49" s="2"/>
      <c r="BB49" s="2"/>
      <c r="BC49" s="2"/>
    </row>
    <row r="50" spans="1:55" s="3" customFormat="1">
      <c r="A50" s="2"/>
      <c r="B50" s="365"/>
      <c r="C50" s="369" t="s">
        <v>8</v>
      </c>
      <c r="D50" s="392">
        <v>4</v>
      </c>
      <c r="E50" s="367"/>
      <c r="F50" s="367"/>
      <c r="G50" s="369"/>
      <c r="H50" s="393">
        <v>0.04</v>
      </c>
      <c r="I50" s="393">
        <f>I44</f>
        <v>0.14749999999999999</v>
      </c>
      <c r="J50" s="369"/>
      <c r="K50" s="369"/>
      <c r="L50" s="369"/>
      <c r="M50" s="369"/>
      <c r="N50" s="369"/>
      <c r="O50" s="365"/>
      <c r="P50" s="2"/>
      <c r="Q50" s="4"/>
      <c r="R50" s="33"/>
      <c r="S50" s="4"/>
      <c r="T50" s="35"/>
      <c r="U50" s="4"/>
      <c r="V50" s="381"/>
      <c r="W50" s="365"/>
      <c r="X50" s="4"/>
      <c r="Y50" s="2"/>
      <c r="Z50" s="2"/>
      <c r="AA50" s="6"/>
      <c r="AB50" s="6"/>
      <c r="AC50" s="6"/>
      <c r="AD50" s="6"/>
      <c r="AE50" s="6"/>
      <c r="AF50" s="6"/>
      <c r="AG50" s="2"/>
      <c r="AH50" s="2"/>
      <c r="AI50" s="2"/>
      <c r="AJ50" s="2"/>
      <c r="AK50" s="2"/>
      <c r="AL50" s="2"/>
      <c r="AM50" s="2"/>
      <c r="AN50" s="2"/>
      <c r="AO50" s="2"/>
      <c r="AP50" s="2"/>
      <c r="AQ50" s="2"/>
      <c r="AR50" s="2"/>
      <c r="AS50" s="2"/>
      <c r="AT50" s="2"/>
      <c r="AU50" s="2"/>
      <c r="AV50" s="2"/>
      <c r="AW50" s="2"/>
      <c r="AX50" s="2"/>
      <c r="AY50" s="2"/>
      <c r="AZ50" s="2"/>
      <c r="BA50" s="2"/>
      <c r="BB50" s="2"/>
      <c r="BC50" s="2"/>
    </row>
    <row r="51" spans="1:55" s="3" customFormat="1">
      <c r="A51" s="2"/>
      <c r="B51" s="365"/>
      <c r="C51" s="369"/>
      <c r="D51" s="367" t="s">
        <v>63</v>
      </c>
      <c r="E51" s="367" t="s">
        <v>64</v>
      </c>
      <c r="F51" s="367" t="s">
        <v>65</v>
      </c>
      <c r="G51" s="369"/>
      <c r="H51" s="369" t="s">
        <v>66</v>
      </c>
      <c r="I51" s="369" t="s">
        <v>67</v>
      </c>
      <c r="J51" s="369" t="s">
        <v>68</v>
      </c>
      <c r="K51" s="369"/>
      <c r="L51" s="369"/>
      <c r="M51" s="369"/>
      <c r="N51" s="369"/>
      <c r="O51" s="365"/>
      <c r="P51" s="2"/>
      <c r="Q51" s="4"/>
      <c r="R51" s="33"/>
      <c r="S51" s="4" t="s">
        <v>72</v>
      </c>
      <c r="T51" s="35"/>
      <c r="U51" s="4"/>
      <c r="V51" s="381"/>
      <c r="W51" s="365"/>
      <c r="X51" s="4"/>
      <c r="Y51" s="2"/>
      <c r="Z51" s="2"/>
      <c r="AA51" s="6"/>
      <c r="AB51" s="6"/>
      <c r="AC51" s="6"/>
      <c r="AD51" s="6"/>
      <c r="AE51" s="6"/>
      <c r="AF51" s="6"/>
      <c r="AG51" s="2"/>
      <c r="AH51" s="2"/>
      <c r="AI51" s="2"/>
      <c r="AJ51" s="2"/>
      <c r="AK51" s="2"/>
      <c r="AL51" s="2"/>
      <c r="AM51" s="2"/>
      <c r="AN51" s="2"/>
      <c r="AO51" s="2"/>
      <c r="AP51" s="2"/>
      <c r="AQ51" s="2"/>
      <c r="AR51" s="2"/>
      <c r="AS51" s="2"/>
      <c r="AT51" s="2"/>
      <c r="AU51" s="2"/>
      <c r="AV51" s="2"/>
      <c r="AW51" s="2"/>
      <c r="AX51" s="2"/>
      <c r="AY51" s="2"/>
      <c r="AZ51" s="2"/>
      <c r="BA51" s="2"/>
      <c r="BB51" s="2"/>
      <c r="BC51" s="2"/>
    </row>
    <row r="52" spans="1:55" s="3" customFormat="1">
      <c r="A52" s="2"/>
      <c r="B52" s="365" t="str">
        <f>IF(AND(D52=D14,H52=$I$44,I52=$I$44,J52=$I$44), "", "ERROR - Do not change this rate. This is a subsidized Rate")</f>
        <v/>
      </c>
      <c r="C52" s="369" t="s">
        <v>9</v>
      </c>
      <c r="D52" s="392">
        <f>D14</f>
        <v>30</v>
      </c>
      <c r="E52" s="392">
        <f>E14</f>
        <v>40</v>
      </c>
      <c r="F52" s="392">
        <f>F14</f>
        <v>50</v>
      </c>
      <c r="G52" s="369"/>
      <c r="H52" s="393">
        <f>I44</f>
        <v>0.14749999999999999</v>
      </c>
      <c r="I52" s="393">
        <f>I44</f>
        <v>0.14749999999999999</v>
      </c>
      <c r="J52" s="393">
        <f>I44</f>
        <v>0.14749999999999999</v>
      </c>
      <c r="K52" s="369"/>
      <c r="L52" s="369"/>
      <c r="M52" s="369"/>
      <c r="N52" s="369"/>
      <c r="O52" s="365"/>
      <c r="P52" s="2"/>
      <c r="Q52" s="4"/>
      <c r="R52" s="33"/>
      <c r="S52" s="4" t="s">
        <v>75</v>
      </c>
      <c r="T52" s="40">
        <f>'Rate Summary'!C213</f>
        <v>1.55</v>
      </c>
      <c r="U52" s="46" t="s">
        <v>160</v>
      </c>
      <c r="V52" s="371">
        <f>ROUND(T52*(1+$V$1),2)</f>
        <v>2.31</v>
      </c>
      <c r="W52" s="380" t="s">
        <v>160</v>
      </c>
      <c r="X52" s="4"/>
      <c r="Y52" s="2"/>
      <c r="Z52" s="2"/>
      <c r="AA52" s="6"/>
      <c r="AB52" s="6"/>
      <c r="AC52" s="6"/>
      <c r="AD52" s="6"/>
      <c r="AE52" s="6"/>
      <c r="AF52" s="6"/>
      <c r="AG52" s="2"/>
      <c r="AH52" s="2"/>
      <c r="AI52" s="2"/>
      <c r="AJ52" s="2"/>
      <c r="AK52" s="2"/>
      <c r="AL52" s="2"/>
      <c r="AM52" s="2"/>
      <c r="AN52" s="2"/>
      <c r="AO52" s="2"/>
      <c r="AP52" s="2"/>
      <c r="AQ52" s="2"/>
      <c r="AR52" s="2"/>
      <c r="AS52" s="2"/>
      <c r="AT52" s="2"/>
      <c r="AU52" s="2"/>
      <c r="AV52" s="2"/>
      <c r="AW52" s="2"/>
      <c r="AX52" s="2"/>
      <c r="AY52" s="2"/>
      <c r="AZ52" s="2"/>
      <c r="BA52" s="2"/>
      <c r="BB52" s="2"/>
      <c r="BC52" s="2"/>
    </row>
    <row r="53" spans="1:55">
      <c r="B53" s="365"/>
      <c r="C53" s="369"/>
      <c r="D53" s="369"/>
      <c r="E53" s="369"/>
      <c r="F53" s="369"/>
      <c r="G53" s="369"/>
      <c r="H53" s="369" t="s">
        <v>71</v>
      </c>
      <c r="I53" s="369"/>
      <c r="J53" s="369"/>
      <c r="K53" s="369"/>
      <c r="L53" s="369"/>
      <c r="M53" s="369"/>
      <c r="N53" s="369"/>
      <c r="O53" s="365"/>
      <c r="Q53" s="4"/>
      <c r="R53" s="33"/>
      <c r="S53" s="4" t="s">
        <v>80</v>
      </c>
      <c r="T53" s="40">
        <f>'Rate Summary'!C214</f>
        <v>2.2200000000000002</v>
      </c>
      <c r="U53" s="46" t="s">
        <v>160</v>
      </c>
      <c r="V53" s="371">
        <f t="shared" ref="V53:V58" si="5">ROUND(T53*(1+$V$1),2)</f>
        <v>3.31</v>
      </c>
      <c r="W53" s="380" t="s">
        <v>160</v>
      </c>
      <c r="X53" s="4"/>
      <c r="AA53" s="6"/>
      <c r="AB53" s="6"/>
      <c r="AC53" s="6"/>
      <c r="AD53" s="6"/>
      <c r="AE53" s="6"/>
      <c r="AF53" s="6"/>
    </row>
    <row r="54" spans="1:55">
      <c r="B54" s="365"/>
      <c r="C54" s="369" t="s">
        <v>10</v>
      </c>
      <c r="D54" s="368">
        <v>25</v>
      </c>
      <c r="E54" s="367"/>
      <c r="F54" s="367"/>
      <c r="G54" s="369"/>
      <c r="H54" s="370">
        <v>0.16700000000000001</v>
      </c>
      <c r="I54" s="369"/>
      <c r="J54" s="369"/>
      <c r="K54" s="369"/>
      <c r="L54" s="369"/>
      <c r="M54" s="369"/>
      <c r="N54" s="369"/>
      <c r="O54" s="365"/>
      <c r="Q54" s="4"/>
      <c r="R54" s="33"/>
      <c r="S54" s="4" t="s">
        <v>83</v>
      </c>
      <c r="T54" s="40">
        <f>'Rate Summary'!C215</f>
        <v>3.1</v>
      </c>
      <c r="U54" s="46" t="s">
        <v>160</v>
      </c>
      <c r="V54" s="371">
        <f t="shared" si="5"/>
        <v>4.62</v>
      </c>
      <c r="W54" s="380" t="s">
        <v>160</v>
      </c>
      <c r="X54" s="4"/>
      <c r="AA54" s="6"/>
      <c r="AB54" s="6"/>
      <c r="AC54" s="6"/>
      <c r="AD54" s="6"/>
      <c r="AE54" s="6"/>
      <c r="AF54" s="6"/>
    </row>
    <row r="55" spans="1:55">
      <c r="B55" s="365"/>
      <c r="C55" s="369"/>
      <c r="D55" s="369"/>
      <c r="E55" s="367"/>
      <c r="F55" s="367"/>
      <c r="G55" s="369"/>
      <c r="H55" s="369" t="s">
        <v>76</v>
      </c>
      <c r="I55" s="367" t="s">
        <v>45</v>
      </c>
      <c r="J55" s="369"/>
      <c r="K55" s="369"/>
      <c r="L55" s="369"/>
      <c r="M55" s="369" t="s">
        <v>77</v>
      </c>
      <c r="N55" s="369" t="s">
        <v>78</v>
      </c>
      <c r="O55" s="365"/>
      <c r="Q55" s="4"/>
      <c r="R55" s="33"/>
      <c r="S55" s="4" t="s">
        <v>85</v>
      </c>
      <c r="T55" s="40">
        <f>'Rate Summary'!C216</f>
        <v>4.4400000000000004</v>
      </c>
      <c r="U55" s="46" t="s">
        <v>160</v>
      </c>
      <c r="V55" s="371">
        <f t="shared" si="5"/>
        <v>6.62</v>
      </c>
      <c r="W55" s="380" t="s">
        <v>160</v>
      </c>
      <c r="X55" s="4"/>
      <c r="AA55" s="6"/>
      <c r="AB55" s="6"/>
      <c r="AC55" s="6"/>
      <c r="AD55" s="6"/>
      <c r="AE55" s="6"/>
      <c r="AF55" s="6"/>
    </row>
    <row r="56" spans="1:55">
      <c r="B56" s="365"/>
      <c r="C56" s="369" t="s">
        <v>12</v>
      </c>
      <c r="D56" s="368">
        <v>500</v>
      </c>
      <c r="E56" s="367"/>
      <c r="F56" s="367"/>
      <c r="G56" s="369"/>
      <c r="H56" s="370">
        <v>0.125</v>
      </c>
      <c r="I56" s="370">
        <v>0.1</v>
      </c>
      <c r="J56" s="369"/>
      <c r="K56" s="369"/>
      <c r="L56" s="369"/>
      <c r="M56" s="368">
        <v>13</v>
      </c>
      <c r="N56" s="368">
        <v>16</v>
      </c>
      <c r="O56" s="365"/>
      <c r="Q56" s="4"/>
      <c r="R56" s="33"/>
      <c r="S56" s="4" t="s">
        <v>87</v>
      </c>
      <c r="T56" s="40">
        <f>'Rate Summary'!C217</f>
        <v>6.66</v>
      </c>
      <c r="U56" s="46" t="s">
        <v>160</v>
      </c>
      <c r="V56" s="371">
        <f t="shared" si="5"/>
        <v>9.92</v>
      </c>
      <c r="W56" s="380" t="s">
        <v>160</v>
      </c>
      <c r="X56" s="4"/>
      <c r="AA56" s="6"/>
      <c r="AB56" s="6"/>
      <c r="AC56" s="6"/>
      <c r="AD56" s="6"/>
      <c r="AE56" s="6"/>
      <c r="AF56" s="6"/>
    </row>
    <row r="57" spans="1:55">
      <c r="B57" s="365"/>
      <c r="C57" s="369"/>
      <c r="D57" s="369"/>
      <c r="E57" s="367"/>
      <c r="F57" s="367"/>
      <c r="G57" s="369"/>
      <c r="H57" s="369" t="s">
        <v>76</v>
      </c>
      <c r="I57" s="367" t="s">
        <v>45</v>
      </c>
      <c r="J57" s="369"/>
      <c r="K57" s="369"/>
      <c r="L57" s="369"/>
      <c r="M57" s="369" t="s">
        <v>77</v>
      </c>
      <c r="N57" s="369" t="s">
        <v>78</v>
      </c>
      <c r="O57" s="365"/>
      <c r="Q57" s="4"/>
      <c r="R57" s="33"/>
      <c r="S57" s="4" t="s">
        <v>91</v>
      </c>
      <c r="T57" s="40">
        <f>'Rate Summary'!C218</f>
        <v>8.32</v>
      </c>
      <c r="U57" s="46" t="s">
        <v>160</v>
      </c>
      <c r="V57" s="371">
        <f t="shared" si="5"/>
        <v>12.4</v>
      </c>
      <c r="W57" s="380" t="s">
        <v>160</v>
      </c>
      <c r="X57" s="4"/>
      <c r="AA57" s="6"/>
      <c r="AB57" s="6"/>
      <c r="AC57" s="6"/>
      <c r="AD57" s="6"/>
      <c r="AE57" s="6"/>
      <c r="AF57" s="6"/>
    </row>
    <row r="58" spans="1:55">
      <c r="B58" s="365"/>
      <c r="C58" s="369" t="s">
        <v>13</v>
      </c>
      <c r="D58" s="410">
        <v>2000</v>
      </c>
      <c r="E58" s="367"/>
      <c r="F58" s="367"/>
      <c r="G58" s="369"/>
      <c r="H58" s="411">
        <v>7.0499999999999993E-2</v>
      </c>
      <c r="I58" s="411">
        <v>4.4999999999999998E-2</v>
      </c>
      <c r="J58" s="369"/>
      <c r="K58" s="369"/>
      <c r="L58" s="369"/>
      <c r="M58" s="410">
        <v>12</v>
      </c>
      <c r="N58" s="410">
        <v>15</v>
      </c>
      <c r="O58" s="365"/>
      <c r="Q58" s="4"/>
      <c r="R58" s="33"/>
      <c r="S58" s="4" t="s">
        <v>93</v>
      </c>
      <c r="T58" s="40">
        <f>'Rate Summary'!C219</f>
        <v>12.76</v>
      </c>
      <c r="U58" s="46" t="s">
        <v>160</v>
      </c>
      <c r="V58" s="371">
        <f t="shared" si="5"/>
        <v>19.010000000000002</v>
      </c>
      <c r="W58" s="380" t="s">
        <v>160</v>
      </c>
      <c r="X58" s="4"/>
      <c r="AA58" s="6"/>
      <c r="AB58" s="6"/>
      <c r="AC58" s="6"/>
      <c r="AD58" s="6"/>
      <c r="AE58" s="6"/>
      <c r="AF58" s="6"/>
    </row>
    <row r="59" spans="1:55">
      <c r="B59" s="365"/>
      <c r="C59" s="369"/>
      <c r="D59" s="369"/>
      <c r="E59" s="367"/>
      <c r="F59" s="367"/>
      <c r="G59" s="369"/>
      <c r="H59" s="369" t="s">
        <v>88</v>
      </c>
      <c r="I59" s="369" t="s">
        <v>89</v>
      </c>
      <c r="J59" s="369"/>
      <c r="K59" s="369"/>
      <c r="L59" s="369"/>
      <c r="M59" s="369" t="s">
        <v>88</v>
      </c>
      <c r="N59" s="369" t="s">
        <v>89</v>
      </c>
      <c r="O59" s="365"/>
      <c r="Q59" s="4"/>
      <c r="R59" s="33"/>
      <c r="S59" s="4" t="s">
        <v>126</v>
      </c>
      <c r="T59" s="41">
        <f>'Rate Summary'!C220</f>
        <v>7.7789999999999998E-2</v>
      </c>
      <c r="U59" s="46" t="s">
        <v>157</v>
      </c>
      <c r="V59" s="372">
        <v>0.105</v>
      </c>
      <c r="W59" s="380" t="s">
        <v>157</v>
      </c>
      <c r="X59" s="4"/>
      <c r="AA59" s="6"/>
      <c r="AB59" s="6"/>
      <c r="AC59" s="6"/>
      <c r="AD59" s="6"/>
      <c r="AE59" s="6"/>
      <c r="AF59" s="6"/>
    </row>
    <row r="60" spans="1:55">
      <c r="B60" s="365"/>
      <c r="C60" s="369" t="s">
        <v>14</v>
      </c>
      <c r="D60" s="368">
        <v>500</v>
      </c>
      <c r="E60" s="367"/>
      <c r="F60" s="367"/>
      <c r="G60" s="369"/>
      <c r="H60" s="370">
        <v>0.14000000000000001</v>
      </c>
      <c r="I60" s="370">
        <v>8.7499999999999994E-2</v>
      </c>
      <c r="J60" s="369"/>
      <c r="K60" s="369"/>
      <c r="L60" s="369"/>
      <c r="M60" s="368">
        <v>13</v>
      </c>
      <c r="N60" s="368">
        <v>1.75</v>
      </c>
      <c r="O60" s="365"/>
      <c r="Q60" s="4"/>
      <c r="R60" s="33"/>
      <c r="S60" s="4"/>
      <c r="T60" s="35"/>
      <c r="U60" s="4"/>
      <c r="V60" s="381"/>
      <c r="W60" s="365"/>
      <c r="X60" s="4"/>
      <c r="AA60" s="6"/>
      <c r="AB60" s="6"/>
      <c r="AC60" s="6"/>
      <c r="AD60" s="6"/>
      <c r="AE60" s="6"/>
      <c r="AF60" s="6"/>
    </row>
    <row r="61" spans="1:55">
      <c r="B61" s="365"/>
      <c r="C61" s="369"/>
      <c r="D61" s="369"/>
      <c r="E61" s="367"/>
      <c r="F61" s="367"/>
      <c r="G61" s="369"/>
      <c r="H61" s="369" t="s">
        <v>88</v>
      </c>
      <c r="I61" s="369" t="s">
        <v>89</v>
      </c>
      <c r="J61" s="369"/>
      <c r="K61" s="369"/>
      <c r="L61" s="369"/>
      <c r="M61" s="369" t="s">
        <v>88</v>
      </c>
      <c r="N61" s="369" t="s">
        <v>89</v>
      </c>
      <c r="O61" s="365"/>
      <c r="Q61" s="4"/>
      <c r="R61" s="33" t="s">
        <v>18</v>
      </c>
      <c r="S61" s="4"/>
      <c r="T61" s="35"/>
      <c r="U61" s="4"/>
      <c r="V61" s="381"/>
      <c r="W61" s="365"/>
      <c r="X61" s="4"/>
      <c r="AA61" s="6"/>
      <c r="AB61" s="6"/>
      <c r="AC61" s="6"/>
      <c r="AD61" s="6"/>
      <c r="AE61" s="6"/>
      <c r="AF61" s="6"/>
    </row>
    <row r="62" spans="1:55">
      <c r="B62" s="365"/>
      <c r="C62" s="369" t="s">
        <v>16</v>
      </c>
      <c r="D62" s="410">
        <v>2000</v>
      </c>
      <c r="E62" s="367"/>
      <c r="F62" s="367"/>
      <c r="G62" s="369"/>
      <c r="H62" s="411">
        <v>0.08</v>
      </c>
      <c r="I62" s="411">
        <v>4.7500000000000001E-2</v>
      </c>
      <c r="J62" s="369"/>
      <c r="K62" s="369"/>
      <c r="L62" s="369"/>
      <c r="M62" s="410">
        <v>12</v>
      </c>
      <c r="N62" s="410">
        <v>1.5</v>
      </c>
      <c r="O62" s="365"/>
      <c r="Q62" s="4"/>
      <c r="R62" s="33"/>
      <c r="S62" s="4" t="s">
        <v>127</v>
      </c>
      <c r="T62" s="35"/>
      <c r="U62" s="4"/>
      <c r="V62" s="381"/>
      <c r="W62" s="365"/>
      <c r="X62" s="4"/>
      <c r="AA62" s="6"/>
      <c r="AB62" s="6"/>
      <c r="AC62" s="6"/>
      <c r="AD62" s="6"/>
      <c r="AE62" s="6"/>
      <c r="AF62" s="6"/>
    </row>
    <row r="63" spans="1:55">
      <c r="B63" s="365"/>
      <c r="C63" s="367"/>
      <c r="D63" s="369"/>
      <c r="E63" s="367"/>
      <c r="F63" s="367"/>
      <c r="G63" s="369"/>
      <c r="H63" s="369"/>
      <c r="I63" s="369"/>
      <c r="J63" s="369"/>
      <c r="K63" s="369"/>
      <c r="L63" s="369"/>
      <c r="M63" s="369"/>
      <c r="N63" s="369"/>
      <c r="O63" s="365"/>
      <c r="Q63" s="4"/>
      <c r="R63" s="33"/>
      <c r="S63" s="4" t="s">
        <v>72</v>
      </c>
      <c r="T63" s="35"/>
      <c r="U63" s="4"/>
      <c r="V63" s="381"/>
      <c r="W63" s="365"/>
      <c r="X63" s="4"/>
      <c r="AA63" s="6"/>
      <c r="AB63" s="6"/>
      <c r="AC63" s="6"/>
      <c r="AD63" s="6"/>
      <c r="AE63" s="6"/>
      <c r="AF63" s="6"/>
    </row>
    <row r="64" spans="1:55">
      <c r="B64" s="365"/>
      <c r="C64" s="374"/>
      <c r="D64" s="368"/>
      <c r="E64" s="375"/>
      <c r="F64" s="375"/>
      <c r="G64" s="374"/>
      <c r="H64" s="370"/>
      <c r="I64" s="370"/>
      <c r="J64" s="374"/>
      <c r="K64" s="374"/>
      <c r="L64" s="374"/>
      <c r="M64" s="376"/>
      <c r="N64" s="376"/>
      <c r="O64" s="365"/>
      <c r="Q64" s="4"/>
      <c r="R64" s="4" t="s">
        <v>128</v>
      </c>
      <c r="S64" s="4" t="s">
        <v>75</v>
      </c>
      <c r="T64" s="60">
        <f>'Rate Summary'!C225</f>
        <v>8.9499999999999993</v>
      </c>
      <c r="U64" s="46" t="s">
        <v>160</v>
      </c>
      <c r="V64" s="371">
        <f t="shared" ref="V64:V69" si="6">ROUND(T64*(1+$V$1),2)</f>
        <v>13.34</v>
      </c>
      <c r="W64" s="380"/>
      <c r="X64" s="4"/>
      <c r="AA64" s="6"/>
      <c r="AB64" s="6"/>
      <c r="AC64" s="6"/>
      <c r="AD64" s="6"/>
      <c r="AE64" s="6"/>
      <c r="AF64" s="6"/>
    </row>
    <row r="65" spans="2:32">
      <c r="B65" s="365"/>
      <c r="C65" s="369"/>
      <c r="D65" s="369"/>
      <c r="E65" s="367"/>
      <c r="F65" s="367"/>
      <c r="G65" s="369"/>
      <c r="H65" s="369" t="s">
        <v>97</v>
      </c>
      <c r="I65" s="369" t="s">
        <v>45</v>
      </c>
      <c r="J65" s="369"/>
      <c r="K65" s="369"/>
      <c r="L65" s="369"/>
      <c r="M65" s="369" t="s">
        <v>98</v>
      </c>
      <c r="N65" s="369" t="s">
        <v>78</v>
      </c>
      <c r="O65" s="365"/>
      <c r="Q65" s="4"/>
      <c r="R65" s="4" t="s">
        <v>129</v>
      </c>
      <c r="S65" s="4" t="s">
        <v>80</v>
      </c>
      <c r="T65" s="60">
        <f>'Rate Summary'!C226</f>
        <v>9.32</v>
      </c>
      <c r="U65" s="46" t="s">
        <v>160</v>
      </c>
      <c r="V65" s="371">
        <f t="shared" si="6"/>
        <v>13.89</v>
      </c>
      <c r="W65" s="380"/>
      <c r="X65" s="4"/>
      <c r="AA65" s="6"/>
      <c r="AB65" s="6"/>
      <c r="AC65" s="6"/>
      <c r="AD65" s="6"/>
      <c r="AE65" s="6"/>
      <c r="AF65" s="6"/>
    </row>
    <row r="66" spans="2:32">
      <c r="B66" s="365"/>
      <c r="C66" s="369" t="s">
        <v>17</v>
      </c>
      <c r="D66" s="410">
        <v>2000</v>
      </c>
      <c r="E66" s="367"/>
      <c r="F66" s="367"/>
      <c r="G66" s="369"/>
      <c r="H66" s="411">
        <v>4.9000000000000002E-2</v>
      </c>
      <c r="I66" s="411">
        <v>3.7999999999999999E-2</v>
      </c>
      <c r="J66" s="369"/>
      <c r="K66" s="369"/>
      <c r="L66" s="369"/>
      <c r="M66" s="410">
        <v>12</v>
      </c>
      <c r="N66" s="410">
        <v>15</v>
      </c>
      <c r="O66" s="365"/>
      <c r="Q66" s="4"/>
      <c r="R66" s="4" t="s">
        <v>130</v>
      </c>
      <c r="S66" s="4" t="s">
        <v>83</v>
      </c>
      <c r="T66" s="60">
        <f>'Rate Summary'!C227</f>
        <v>10.1</v>
      </c>
      <c r="U66" s="46" t="s">
        <v>160</v>
      </c>
      <c r="V66" s="371">
        <f t="shared" si="6"/>
        <v>15.05</v>
      </c>
      <c r="W66" s="380"/>
      <c r="X66" s="4"/>
      <c r="AA66" s="6"/>
      <c r="AB66" s="6"/>
      <c r="AC66" s="6"/>
      <c r="AD66" s="6"/>
      <c r="AE66" s="6"/>
      <c r="AF66" s="6"/>
    </row>
    <row r="67" spans="2:32">
      <c r="B67" s="365"/>
      <c r="C67" s="369"/>
      <c r="D67" s="369"/>
      <c r="E67" s="367"/>
      <c r="F67" s="367"/>
      <c r="G67" s="369"/>
      <c r="H67" s="369" t="s">
        <v>71</v>
      </c>
      <c r="I67" s="369"/>
      <c r="J67" s="369"/>
      <c r="K67" s="369"/>
      <c r="L67" s="369"/>
      <c r="M67" s="369"/>
      <c r="N67" s="369"/>
      <c r="O67" s="365"/>
      <c r="Q67" s="4"/>
      <c r="R67" s="4" t="s">
        <v>131</v>
      </c>
      <c r="S67" s="4" t="s">
        <v>85</v>
      </c>
      <c r="T67" s="60">
        <f>'Rate Summary'!C228</f>
        <v>10.89</v>
      </c>
      <c r="U67" s="46" t="s">
        <v>160</v>
      </c>
      <c r="V67" s="371">
        <f t="shared" si="6"/>
        <v>16.23</v>
      </c>
      <c r="W67" s="380"/>
      <c r="X67" s="4"/>
      <c r="AA67" s="6"/>
      <c r="AB67" s="6"/>
      <c r="AC67" s="6"/>
      <c r="AD67" s="6"/>
      <c r="AE67" s="6"/>
      <c r="AF67" s="6"/>
    </row>
    <row r="68" spans="2:32">
      <c r="B68" s="365"/>
      <c r="C68" s="369" t="s">
        <v>19</v>
      </c>
      <c r="D68" s="392">
        <v>21</v>
      </c>
      <c r="E68" s="367"/>
      <c r="F68" s="367"/>
      <c r="G68" s="369"/>
      <c r="H68" s="393">
        <v>0.15</v>
      </c>
      <c r="I68" s="369"/>
      <c r="J68" s="369"/>
      <c r="K68" s="369"/>
      <c r="L68" s="369"/>
      <c r="M68" s="369"/>
      <c r="N68" s="369"/>
      <c r="O68" s="365"/>
      <c r="Q68" s="4"/>
      <c r="R68" s="4" t="s">
        <v>132</v>
      </c>
      <c r="S68" s="4" t="s">
        <v>87</v>
      </c>
      <c r="T68" s="60">
        <f>'Rate Summary'!C229</f>
        <v>13.16</v>
      </c>
      <c r="U68" s="46" t="s">
        <v>160</v>
      </c>
      <c r="V68" s="371">
        <f t="shared" si="6"/>
        <v>19.61</v>
      </c>
      <c r="W68" s="380"/>
      <c r="X68" s="4"/>
      <c r="AA68" s="6"/>
      <c r="AB68" s="6"/>
      <c r="AC68" s="6"/>
      <c r="AD68" s="6"/>
      <c r="AE68" s="6"/>
      <c r="AF68" s="6"/>
    </row>
    <row r="69" spans="2:32">
      <c r="B69" s="365"/>
      <c r="C69" s="369"/>
      <c r="D69" s="369"/>
      <c r="E69" s="377" t="s">
        <v>162</v>
      </c>
      <c r="F69" s="377" t="s">
        <v>163</v>
      </c>
      <c r="G69" s="369"/>
      <c r="H69" s="369" t="s">
        <v>164</v>
      </c>
      <c r="I69" s="369"/>
      <c r="J69" s="369"/>
      <c r="K69" s="369"/>
      <c r="L69" s="369"/>
      <c r="M69" s="369"/>
      <c r="N69" s="369"/>
      <c r="O69" s="365"/>
      <c r="Q69" s="4"/>
      <c r="R69" s="4" t="s">
        <v>134</v>
      </c>
      <c r="S69" s="4" t="s">
        <v>91</v>
      </c>
      <c r="T69" s="60">
        <f>'Rate Summary'!C230</f>
        <v>14.32</v>
      </c>
      <c r="U69" s="46" t="s">
        <v>160</v>
      </c>
      <c r="V69" s="371">
        <f t="shared" si="6"/>
        <v>21.34</v>
      </c>
      <c r="W69" s="380"/>
      <c r="X69" s="4"/>
      <c r="AA69" s="6"/>
      <c r="AB69" s="6"/>
      <c r="AC69" s="6"/>
      <c r="AD69" s="6"/>
      <c r="AE69" s="6"/>
      <c r="AF69" s="6"/>
    </row>
    <row r="70" spans="2:32">
      <c r="B70" s="365"/>
      <c r="C70" s="369" t="s">
        <v>21</v>
      </c>
      <c r="D70" s="368">
        <v>25</v>
      </c>
      <c r="E70" s="371">
        <f>656*H54</f>
        <v>109.55200000000001</v>
      </c>
      <c r="F70" s="371">
        <f>494*H54</f>
        <v>82.498000000000005</v>
      </c>
      <c r="G70" s="369"/>
      <c r="H70" s="370">
        <v>0.17499999999999999</v>
      </c>
      <c r="I70" s="369"/>
      <c r="J70" s="369"/>
      <c r="K70" s="369"/>
      <c r="L70" s="369"/>
      <c r="M70" s="369"/>
      <c r="N70" s="369"/>
      <c r="O70" s="365"/>
      <c r="Q70" s="4"/>
      <c r="R70" s="33"/>
      <c r="S70" s="4" t="s">
        <v>135</v>
      </c>
      <c r="T70" s="35"/>
      <c r="U70" s="4"/>
      <c r="V70" s="381"/>
      <c r="W70" s="365"/>
      <c r="X70" s="4"/>
      <c r="AA70" s="6"/>
      <c r="AB70" s="6"/>
      <c r="AC70" s="6"/>
      <c r="AD70" s="6"/>
      <c r="AE70" s="6"/>
      <c r="AF70" s="6"/>
    </row>
    <row r="71" spans="2:32">
      <c r="B71" s="365"/>
      <c r="C71" s="369"/>
      <c r="D71" s="367"/>
      <c r="E71" s="367"/>
      <c r="F71" s="367"/>
      <c r="G71" s="369"/>
      <c r="H71" s="367" t="s">
        <v>71</v>
      </c>
      <c r="I71" s="367"/>
      <c r="J71" s="367"/>
      <c r="K71" s="367"/>
      <c r="L71" s="369"/>
      <c r="M71" s="369"/>
      <c r="N71" s="369"/>
      <c r="O71" s="365"/>
      <c r="Q71" s="4"/>
      <c r="R71" s="4" t="s">
        <v>136</v>
      </c>
      <c r="S71" s="4" t="s">
        <v>137</v>
      </c>
      <c r="T71" s="60">
        <f>'Rate Summary'!C232</f>
        <v>5.78</v>
      </c>
      <c r="U71" s="46" t="s">
        <v>160</v>
      </c>
      <c r="V71" s="371">
        <f t="shared" ref="V71" si="7">ROUND(T71*(1+$V$1),2)</f>
        <v>8.61</v>
      </c>
      <c r="W71" s="380" t="s">
        <v>160</v>
      </c>
      <c r="X71" s="4"/>
      <c r="AA71" s="6"/>
      <c r="AB71" s="6"/>
      <c r="AC71" s="6"/>
      <c r="AD71" s="6"/>
      <c r="AE71" s="6"/>
      <c r="AF71" s="6"/>
    </row>
    <row r="72" spans="2:32">
      <c r="B72" s="365"/>
      <c r="C72" s="369" t="s">
        <v>22</v>
      </c>
      <c r="D72" s="368">
        <v>10</v>
      </c>
      <c r="E72" s="367"/>
      <c r="F72" s="367"/>
      <c r="G72" s="369"/>
      <c r="H72" s="370">
        <v>0.1</v>
      </c>
      <c r="I72" s="367"/>
      <c r="J72" s="367"/>
      <c r="K72" s="367"/>
      <c r="L72" s="369"/>
      <c r="M72" s="369"/>
      <c r="N72" s="369"/>
      <c r="O72" s="365"/>
      <c r="Q72" s="4"/>
      <c r="R72" s="33"/>
      <c r="S72" s="4"/>
      <c r="T72" s="35"/>
      <c r="U72" s="4"/>
      <c r="V72" s="381"/>
      <c r="W72" s="365"/>
      <c r="X72" s="4"/>
      <c r="AA72" s="6"/>
      <c r="AB72" s="6"/>
      <c r="AC72" s="6"/>
      <c r="AD72" s="6"/>
      <c r="AE72" s="6"/>
      <c r="AF72" s="6"/>
    </row>
    <row r="73" spans="2:32">
      <c r="B73" s="365"/>
      <c r="C73" s="369"/>
      <c r="D73" s="367"/>
      <c r="E73" s="367"/>
      <c r="F73" s="367"/>
      <c r="G73" s="369"/>
      <c r="H73" s="367" t="s">
        <v>71</v>
      </c>
      <c r="I73" s="367"/>
      <c r="J73" s="367"/>
      <c r="K73" s="367"/>
      <c r="L73" s="369"/>
      <c r="M73" s="369" t="s">
        <v>98</v>
      </c>
      <c r="N73" s="369" t="s">
        <v>78</v>
      </c>
      <c r="O73" s="365"/>
      <c r="Q73" s="4"/>
      <c r="R73" s="33" t="s">
        <v>23</v>
      </c>
      <c r="S73" s="4"/>
      <c r="T73" s="35"/>
      <c r="U73" s="4"/>
      <c r="V73" s="381"/>
      <c r="W73" s="365"/>
      <c r="X73" s="4"/>
      <c r="AA73" s="6"/>
      <c r="AB73" s="6"/>
      <c r="AC73" s="6"/>
      <c r="AD73" s="6"/>
      <c r="AE73" s="6"/>
      <c r="AF73" s="6"/>
    </row>
    <row r="74" spans="2:32">
      <c r="B74" s="365"/>
      <c r="C74" s="369" t="s">
        <v>24</v>
      </c>
      <c r="D74" s="410">
        <v>2000</v>
      </c>
      <c r="E74" s="367"/>
      <c r="F74" s="367"/>
      <c r="G74" s="369"/>
      <c r="H74" s="370">
        <v>6.5000000000000002E-2</v>
      </c>
      <c r="I74" s="367"/>
      <c r="J74" s="367"/>
      <c r="K74" s="367"/>
      <c r="L74" s="369"/>
      <c r="M74" s="368">
        <v>15</v>
      </c>
      <c r="N74" s="368">
        <v>18</v>
      </c>
      <c r="O74" s="365"/>
      <c r="Q74" s="4"/>
      <c r="R74" s="4" t="s">
        <v>138</v>
      </c>
      <c r="S74" s="4" t="s">
        <v>4</v>
      </c>
      <c r="T74" s="60">
        <f>'Rate Summary'!C235</f>
        <v>5</v>
      </c>
      <c r="U74" s="46" t="s">
        <v>160</v>
      </c>
      <c r="V74" s="371">
        <v>10</v>
      </c>
      <c r="W74" s="380" t="s">
        <v>160</v>
      </c>
      <c r="X74" s="4"/>
      <c r="AA74" s="6"/>
      <c r="AB74" s="6"/>
      <c r="AC74" s="6"/>
      <c r="AD74" s="6"/>
      <c r="AE74" s="6"/>
      <c r="AF74" s="6"/>
    </row>
    <row r="75" spans="2:32">
      <c r="B75" s="365"/>
      <c r="C75" s="367"/>
      <c r="D75" s="367"/>
      <c r="E75" s="367"/>
      <c r="F75" s="367"/>
      <c r="G75" s="367"/>
      <c r="H75" s="367"/>
      <c r="I75" s="367"/>
      <c r="J75" s="367"/>
      <c r="K75" s="367"/>
      <c r="L75" s="369"/>
      <c r="M75" s="369"/>
      <c r="N75" s="369"/>
      <c r="O75" s="365"/>
      <c r="Q75" s="4"/>
      <c r="R75" s="33"/>
      <c r="S75" s="4"/>
      <c r="T75" s="35"/>
      <c r="U75" s="4"/>
      <c r="V75" s="381"/>
      <c r="W75" s="365"/>
      <c r="X75" s="4"/>
      <c r="AA75" s="6"/>
      <c r="AB75" s="6"/>
      <c r="AC75" s="6"/>
      <c r="AD75" s="6"/>
      <c r="AE75" s="6"/>
      <c r="AF75" s="6"/>
    </row>
    <row r="76" spans="2:32">
      <c r="C76" s="2"/>
      <c r="D76" s="2"/>
      <c r="E76" s="2"/>
      <c r="F76" s="2"/>
      <c r="G76" s="2"/>
      <c r="H76" s="2"/>
      <c r="I76" s="2"/>
      <c r="J76" s="2"/>
      <c r="K76" s="2"/>
      <c r="L76" s="2"/>
      <c r="M76" s="2"/>
      <c r="N76" s="2"/>
      <c r="Q76" s="4"/>
      <c r="R76" s="4" t="s">
        <v>138</v>
      </c>
      <c r="S76" s="4" t="s">
        <v>5</v>
      </c>
      <c r="T76" s="59">
        <f>'Rate Summary'!C237</f>
        <v>4.5289999999999997E-2</v>
      </c>
      <c r="U76" s="46" t="s">
        <v>157</v>
      </c>
      <c r="V76" s="372">
        <v>0.105</v>
      </c>
      <c r="W76" s="380" t="s">
        <v>157</v>
      </c>
      <c r="X76" s="4"/>
      <c r="AA76" s="6"/>
      <c r="AC76" s="6"/>
      <c r="AD76" s="6"/>
      <c r="AE76" s="6"/>
      <c r="AF76" s="6"/>
    </row>
    <row r="77" spans="2:32">
      <c r="C77" s="2"/>
      <c r="D77" s="2"/>
      <c r="E77" s="2"/>
      <c r="F77" s="2"/>
      <c r="G77" s="2"/>
      <c r="H77" s="2"/>
      <c r="I77" s="2"/>
      <c r="J77" s="2"/>
      <c r="K77" s="2"/>
      <c r="L77" s="2"/>
      <c r="M77" s="2"/>
      <c r="N77" s="2"/>
      <c r="Q77" s="4"/>
      <c r="R77" s="33"/>
      <c r="S77" s="4"/>
      <c r="T77" s="35"/>
      <c r="U77" s="4"/>
      <c r="V77" s="381"/>
      <c r="W77" s="365"/>
      <c r="X77" s="4"/>
      <c r="AA77" s="6"/>
      <c r="AC77" s="6"/>
      <c r="AD77" s="6"/>
      <c r="AE77" s="6"/>
      <c r="AF77" s="6"/>
    </row>
    <row r="78" spans="2:32">
      <c r="C78" s="2"/>
      <c r="D78" s="2"/>
      <c r="E78" s="2"/>
      <c r="F78" s="2"/>
      <c r="G78" s="2"/>
      <c r="H78" s="2"/>
      <c r="I78" s="2"/>
      <c r="J78" s="2"/>
      <c r="K78" s="2"/>
      <c r="L78" s="2"/>
      <c r="M78" s="2"/>
      <c r="N78" s="2"/>
      <c r="Q78" s="4"/>
      <c r="R78" s="33" t="s">
        <v>25</v>
      </c>
      <c r="S78" s="4"/>
      <c r="T78" s="35"/>
      <c r="U78" s="4"/>
      <c r="V78" s="381"/>
      <c r="W78" s="365"/>
      <c r="X78" s="4"/>
      <c r="AA78" s="6"/>
      <c r="AC78" s="6"/>
      <c r="AD78" s="6"/>
      <c r="AE78" s="6"/>
      <c r="AF78" s="6"/>
    </row>
    <row r="79" spans="2:32" ht="14.55" customHeight="1">
      <c r="C79" s="2"/>
      <c r="D79" s="2"/>
      <c r="E79" s="2"/>
      <c r="F79" s="2"/>
      <c r="G79" s="2"/>
      <c r="H79" s="2"/>
      <c r="I79" s="2"/>
      <c r="J79" s="2"/>
      <c r="K79" s="2"/>
      <c r="L79" s="2"/>
      <c r="M79" s="2"/>
      <c r="N79" s="2"/>
      <c r="Q79" s="4"/>
      <c r="R79" s="4" t="s">
        <v>139</v>
      </c>
      <c r="S79" s="4" t="s">
        <v>5</v>
      </c>
      <c r="T79" s="59">
        <f>'Rate Summary'!C240</f>
        <v>5.9290000000000002E-2</v>
      </c>
      <c r="U79" s="46" t="s">
        <v>157</v>
      </c>
      <c r="V79" s="372">
        <v>0.105</v>
      </c>
      <c r="W79" s="380" t="s">
        <v>157</v>
      </c>
      <c r="X79" s="4"/>
      <c r="AA79" s="6"/>
      <c r="AC79" s="6"/>
      <c r="AD79" s="6"/>
      <c r="AE79" s="6"/>
      <c r="AF79" s="6"/>
    </row>
    <row r="80" spans="2:32">
      <c r="C80" s="2"/>
      <c r="D80" s="2"/>
      <c r="E80" s="2"/>
      <c r="F80" s="2"/>
      <c r="G80" s="2"/>
      <c r="H80" s="2"/>
      <c r="I80" s="2"/>
      <c r="J80" s="2"/>
      <c r="K80" s="2"/>
      <c r="L80" s="2"/>
      <c r="M80" s="2"/>
      <c r="N80" s="2"/>
      <c r="Q80" s="4"/>
      <c r="R80" s="33"/>
      <c r="S80" s="4"/>
      <c r="T80" s="35"/>
      <c r="U80" s="4"/>
      <c r="V80" s="381"/>
      <c r="W80" s="365"/>
      <c r="X80" s="4"/>
      <c r="AA80" s="6"/>
      <c r="AC80" s="6"/>
      <c r="AD80" s="6"/>
      <c r="AE80" s="6"/>
      <c r="AF80" s="6"/>
    </row>
    <row r="81" spans="3:32">
      <c r="C81" s="2"/>
      <c r="D81" s="2"/>
      <c r="E81" s="2"/>
      <c r="F81" s="2"/>
      <c r="G81" s="2"/>
      <c r="H81" s="2"/>
      <c r="I81" s="2"/>
      <c r="J81" s="2"/>
      <c r="K81" s="2"/>
      <c r="L81" s="2"/>
      <c r="M81" s="2"/>
      <c r="N81" s="2"/>
      <c r="Q81" s="4"/>
      <c r="R81" s="33" t="s">
        <v>26</v>
      </c>
      <c r="S81" s="4"/>
      <c r="T81" s="35"/>
      <c r="U81" s="4"/>
      <c r="V81" s="381"/>
      <c r="W81" s="365"/>
      <c r="X81" s="4"/>
      <c r="AA81" s="6"/>
      <c r="AC81" s="6"/>
      <c r="AD81" s="6"/>
      <c r="AE81" s="6"/>
      <c r="AF81" s="6"/>
    </row>
    <row r="82" spans="3:32">
      <c r="C82" s="2"/>
      <c r="D82" s="2"/>
      <c r="E82" s="2"/>
      <c r="F82" s="2"/>
      <c r="G82" s="2"/>
      <c r="H82" s="2"/>
      <c r="I82" s="2"/>
      <c r="J82" s="2"/>
      <c r="K82" s="2"/>
      <c r="L82" s="2"/>
      <c r="M82" s="2"/>
      <c r="N82" s="2"/>
      <c r="Q82" s="4"/>
      <c r="R82" s="4" t="s">
        <v>140</v>
      </c>
      <c r="S82" s="4" t="s">
        <v>4</v>
      </c>
      <c r="T82" s="60">
        <f>'Rate Summary'!C243</f>
        <v>5</v>
      </c>
      <c r="U82" s="46" t="s">
        <v>160</v>
      </c>
      <c r="V82" s="371">
        <v>10</v>
      </c>
      <c r="W82" s="380" t="s">
        <v>160</v>
      </c>
      <c r="X82" s="4"/>
      <c r="AA82" s="6"/>
      <c r="AC82" s="6"/>
      <c r="AD82" s="6"/>
      <c r="AE82" s="6"/>
      <c r="AF82" s="6"/>
    </row>
    <row r="83" spans="3:32">
      <c r="C83" s="2"/>
      <c r="D83" s="2"/>
      <c r="E83" s="2"/>
      <c r="F83" s="2"/>
      <c r="G83" s="2"/>
      <c r="H83" s="2"/>
      <c r="I83" s="2"/>
      <c r="J83" s="2"/>
      <c r="K83" s="2"/>
      <c r="L83" s="2"/>
      <c r="M83" s="2"/>
      <c r="N83" s="2"/>
      <c r="Q83" s="4"/>
      <c r="R83" s="33"/>
      <c r="S83" s="4"/>
      <c r="T83" s="35"/>
      <c r="U83" s="4"/>
      <c r="V83" s="381"/>
      <c r="W83" s="365"/>
      <c r="X83" s="4"/>
      <c r="AA83" s="6"/>
      <c r="AC83" s="6"/>
      <c r="AD83" s="6"/>
      <c r="AE83" s="6"/>
      <c r="AF83" s="6"/>
    </row>
    <row r="84" spans="3:32">
      <c r="C84" s="2"/>
      <c r="D84" s="2"/>
      <c r="E84" s="2"/>
      <c r="F84" s="2"/>
      <c r="G84" s="2"/>
      <c r="H84" s="2"/>
      <c r="I84" s="2"/>
      <c r="J84" s="2"/>
      <c r="K84" s="2"/>
      <c r="L84" s="2"/>
      <c r="M84" s="2"/>
      <c r="N84" s="2"/>
      <c r="Q84" s="4"/>
      <c r="R84" s="4" t="s">
        <v>140</v>
      </c>
      <c r="S84" s="4" t="s">
        <v>5</v>
      </c>
      <c r="T84" s="59">
        <f>'Rate Summary'!C245</f>
        <v>4.5289999999999997E-2</v>
      </c>
      <c r="U84" s="46" t="s">
        <v>157</v>
      </c>
      <c r="V84" s="372">
        <v>0.105</v>
      </c>
      <c r="W84" s="380" t="s">
        <v>157</v>
      </c>
      <c r="X84" s="4"/>
      <c r="AA84" s="6"/>
      <c r="AC84" s="6"/>
      <c r="AD84" s="6"/>
      <c r="AE84" s="6"/>
      <c r="AF84" s="6"/>
    </row>
    <row r="85" spans="3:32">
      <c r="C85" s="2"/>
      <c r="D85" s="2"/>
      <c r="E85" s="2"/>
      <c r="F85" s="2"/>
      <c r="G85" s="2"/>
      <c r="H85" s="2"/>
      <c r="I85" s="2"/>
      <c r="J85" s="2"/>
      <c r="K85" s="2"/>
      <c r="L85" s="2"/>
      <c r="M85" s="2"/>
      <c r="N85" s="2"/>
      <c r="Q85" s="4"/>
      <c r="R85" s="33"/>
      <c r="S85" s="4"/>
      <c r="T85" s="35"/>
      <c r="U85" s="4"/>
      <c r="V85" s="381"/>
      <c r="W85" s="365"/>
      <c r="X85" s="4"/>
      <c r="AA85" s="6"/>
      <c r="AC85" s="6"/>
      <c r="AD85" s="6"/>
      <c r="AE85" s="6"/>
      <c r="AF85" s="6"/>
    </row>
    <row r="86" spans="3:32">
      <c r="C86" s="2"/>
      <c r="D86" s="2"/>
      <c r="E86" s="2"/>
      <c r="F86" s="2"/>
      <c r="G86" s="2"/>
      <c r="H86" s="2"/>
      <c r="I86" s="2"/>
      <c r="J86" s="2"/>
      <c r="K86" s="2"/>
      <c r="L86" s="2"/>
      <c r="M86" s="2"/>
      <c r="N86" s="2"/>
      <c r="Q86" s="4"/>
      <c r="R86" s="33" t="s">
        <v>27</v>
      </c>
      <c r="S86" s="4"/>
      <c r="T86" s="35"/>
      <c r="U86" s="4"/>
      <c r="V86" s="381"/>
      <c r="W86" s="365"/>
      <c r="X86" s="4"/>
      <c r="AA86" s="6"/>
      <c r="AC86" s="6"/>
      <c r="AD86" s="6"/>
      <c r="AE86" s="6"/>
      <c r="AF86" s="6"/>
    </row>
    <row r="87" spans="3:32">
      <c r="C87" s="2"/>
      <c r="D87" s="2"/>
      <c r="E87" s="2"/>
      <c r="F87" s="2"/>
      <c r="G87" s="2"/>
      <c r="H87" s="2"/>
      <c r="I87" s="2"/>
      <c r="J87" s="2"/>
      <c r="K87" s="2"/>
      <c r="L87" s="2"/>
      <c r="M87" s="2"/>
      <c r="N87" s="2"/>
      <c r="Q87" s="4"/>
      <c r="R87" s="301" t="s">
        <v>141</v>
      </c>
      <c r="S87" s="4" t="s">
        <v>7</v>
      </c>
      <c r="T87" s="60">
        <f>'Rate Summary'!C248</f>
        <v>1.51</v>
      </c>
      <c r="U87" s="46" t="s">
        <v>169</v>
      </c>
      <c r="V87" s="371">
        <v>2</v>
      </c>
      <c r="W87" s="380" t="s">
        <v>169</v>
      </c>
      <c r="X87" s="4"/>
      <c r="AA87" s="6"/>
      <c r="AC87" s="6"/>
      <c r="AD87" s="6"/>
      <c r="AE87" s="6"/>
      <c r="AF87" s="6"/>
    </row>
    <row r="88" spans="3:32">
      <c r="C88" s="2"/>
      <c r="D88" s="2"/>
      <c r="E88" s="2"/>
      <c r="F88" s="2"/>
      <c r="G88" s="2"/>
      <c r="H88" s="2"/>
      <c r="I88" s="2"/>
      <c r="J88" s="2"/>
      <c r="K88" s="2"/>
      <c r="L88" s="2"/>
      <c r="M88" s="2"/>
      <c r="N88" s="2"/>
      <c r="Q88" s="4"/>
      <c r="R88" s="33"/>
      <c r="S88" s="4"/>
      <c r="T88" s="35"/>
      <c r="U88" s="4"/>
      <c r="V88" s="381"/>
      <c r="W88" s="365"/>
      <c r="X88" s="4"/>
      <c r="AA88" s="6"/>
      <c r="AC88" s="6"/>
      <c r="AD88" s="6"/>
      <c r="AE88" s="6"/>
      <c r="AF88" s="6"/>
    </row>
    <row r="89" spans="3:32">
      <c r="C89" s="2"/>
      <c r="D89" s="2"/>
      <c r="E89" s="2"/>
      <c r="F89" s="2"/>
      <c r="G89" s="2"/>
      <c r="H89" s="2"/>
      <c r="I89" s="2"/>
      <c r="J89" s="2"/>
      <c r="K89" s="2"/>
      <c r="L89" s="2"/>
      <c r="M89" s="2"/>
      <c r="N89" s="2"/>
      <c r="Q89" s="4"/>
      <c r="R89" s="33" t="s">
        <v>28</v>
      </c>
      <c r="S89" s="4"/>
      <c r="T89" s="35"/>
      <c r="U89" s="4"/>
      <c r="V89" s="381"/>
      <c r="W89" s="365"/>
      <c r="X89" s="4"/>
      <c r="AA89" s="6"/>
    </row>
    <row r="90" spans="3:32">
      <c r="C90" s="2"/>
      <c r="D90" s="2"/>
      <c r="E90" s="2"/>
      <c r="F90" s="2"/>
      <c r="G90" s="2"/>
      <c r="H90" s="2"/>
      <c r="I90" s="2"/>
      <c r="J90" s="2"/>
      <c r="K90" s="2"/>
      <c r="L90" s="2"/>
      <c r="M90" s="2"/>
      <c r="N90" s="2"/>
      <c r="Q90" s="4"/>
      <c r="R90" s="4" t="s">
        <v>142</v>
      </c>
      <c r="S90" s="4" t="s">
        <v>7</v>
      </c>
      <c r="T90" s="60">
        <f>'Rate Summary'!C251</f>
        <v>7.51</v>
      </c>
      <c r="U90" s="46" t="s">
        <v>170</v>
      </c>
      <c r="V90" s="371">
        <v>10</v>
      </c>
      <c r="W90" s="380" t="s">
        <v>170</v>
      </c>
      <c r="X90" s="4"/>
      <c r="AA90" s="6"/>
    </row>
    <row r="91" spans="3:32">
      <c r="C91" s="2"/>
      <c r="D91" s="2"/>
      <c r="E91" s="2"/>
      <c r="F91" s="2"/>
      <c r="G91" s="2"/>
      <c r="H91" s="2"/>
      <c r="I91" s="2"/>
      <c r="J91" s="2"/>
      <c r="K91" s="2"/>
      <c r="L91" s="2"/>
      <c r="M91" s="2"/>
      <c r="N91" s="2"/>
      <c r="Q91" s="4"/>
      <c r="R91" s="33"/>
      <c r="S91" s="4"/>
      <c r="T91" s="35"/>
      <c r="U91" s="4"/>
      <c r="V91" s="381"/>
      <c r="W91" s="365"/>
      <c r="X91" s="4"/>
      <c r="AA91" s="6"/>
    </row>
    <row r="92" spans="3:32">
      <c r="C92" s="2"/>
      <c r="D92" s="2"/>
      <c r="E92" s="2"/>
      <c r="F92" s="2"/>
      <c r="G92" s="2"/>
      <c r="H92" s="2"/>
      <c r="I92" s="2"/>
      <c r="J92" s="2"/>
      <c r="K92" s="2"/>
      <c r="L92" s="2"/>
      <c r="M92" s="2"/>
      <c r="N92" s="2"/>
      <c r="Q92" s="4"/>
      <c r="R92" s="33" t="s">
        <v>29</v>
      </c>
      <c r="S92" s="4"/>
      <c r="T92" s="35"/>
      <c r="U92" s="4"/>
      <c r="V92" s="381"/>
      <c r="W92" s="365"/>
      <c r="X92" s="4"/>
      <c r="AA92" s="6"/>
    </row>
    <row r="93" spans="3:32">
      <c r="C93" s="2"/>
      <c r="D93" s="2"/>
      <c r="E93" s="2"/>
      <c r="F93" s="2"/>
      <c r="G93" s="2"/>
      <c r="H93" s="2"/>
      <c r="I93" s="2"/>
      <c r="J93" s="2"/>
      <c r="K93" s="2"/>
      <c r="L93" s="2"/>
      <c r="M93" s="2"/>
      <c r="N93" s="2"/>
      <c r="Q93" s="4"/>
      <c r="R93" s="4" t="s">
        <v>143</v>
      </c>
      <c r="S93" s="4" t="s">
        <v>7</v>
      </c>
      <c r="T93" s="60">
        <f>'Rate Summary'!C254</f>
        <v>2</v>
      </c>
      <c r="U93" s="46" t="s">
        <v>171</v>
      </c>
      <c r="V93" s="371">
        <v>4</v>
      </c>
      <c r="W93" s="380" t="s">
        <v>171</v>
      </c>
      <c r="X93" s="4"/>
      <c r="AA93" s="6"/>
    </row>
    <row r="94" spans="3:32">
      <c r="C94" s="2"/>
      <c r="D94" s="2"/>
      <c r="E94" s="2"/>
      <c r="F94" s="2"/>
      <c r="G94" s="2"/>
      <c r="H94" s="2"/>
      <c r="I94" s="2"/>
      <c r="J94" s="2"/>
      <c r="K94" s="2"/>
      <c r="L94" s="2"/>
      <c r="M94" s="2"/>
      <c r="N94" s="2"/>
      <c r="Q94" s="4"/>
      <c r="R94" s="4"/>
      <c r="S94" s="4"/>
      <c r="T94" s="4"/>
      <c r="U94" s="4"/>
      <c r="V94" s="365"/>
      <c r="W94" s="365"/>
      <c r="X94" s="4"/>
    </row>
    <row r="95" spans="3:32">
      <c r="C95" s="2"/>
      <c r="D95" s="2"/>
      <c r="E95" s="2"/>
      <c r="F95" s="2"/>
      <c r="G95" s="2"/>
      <c r="H95" s="2"/>
      <c r="I95" s="2"/>
      <c r="J95" s="2"/>
      <c r="K95" s="2"/>
      <c r="L95" s="2"/>
      <c r="M95" s="2"/>
      <c r="N95" s="2"/>
      <c r="Q95" s="4"/>
      <c r="R95" s="33" t="s">
        <v>144</v>
      </c>
      <c r="S95" s="4"/>
      <c r="T95" s="4"/>
      <c r="U95" s="4"/>
      <c r="V95" s="365"/>
      <c r="W95" s="365"/>
      <c r="X95" s="4"/>
    </row>
    <row r="96" spans="3:32">
      <c r="C96" s="2"/>
      <c r="D96" s="2"/>
      <c r="E96" s="2"/>
      <c r="F96" s="2"/>
      <c r="G96" s="2"/>
      <c r="H96" s="2"/>
      <c r="I96" s="2"/>
      <c r="J96" s="2"/>
      <c r="K96" s="2"/>
      <c r="L96" s="2"/>
      <c r="M96" s="2"/>
      <c r="N96" s="2"/>
      <c r="Q96" s="4"/>
      <c r="R96" s="4" t="s">
        <v>172</v>
      </c>
      <c r="S96" s="4" t="s">
        <v>7</v>
      </c>
      <c r="T96" s="40">
        <v>0</v>
      </c>
      <c r="U96" s="46" t="s">
        <v>160</v>
      </c>
      <c r="V96" s="371">
        <v>11</v>
      </c>
      <c r="W96" s="46" t="s">
        <v>160</v>
      </c>
      <c r="X96" s="4"/>
    </row>
    <row r="97" spans="3:24">
      <c r="C97" s="2"/>
      <c r="D97" s="2"/>
      <c r="E97" s="2"/>
      <c r="F97" s="2"/>
      <c r="G97" s="2"/>
      <c r="H97" s="2"/>
      <c r="I97" s="2"/>
      <c r="J97" s="2"/>
      <c r="K97" s="2"/>
      <c r="L97" s="2"/>
      <c r="M97" s="2"/>
      <c r="N97" s="2"/>
      <c r="Q97" s="4"/>
      <c r="R97" s="4" t="s">
        <v>173</v>
      </c>
      <c r="S97" s="4" t="s">
        <v>7</v>
      </c>
      <c r="T97" s="40">
        <v>0</v>
      </c>
      <c r="U97" s="46" t="s">
        <v>160</v>
      </c>
      <c r="V97" s="371">
        <v>13</v>
      </c>
      <c r="W97" s="46" t="s">
        <v>160</v>
      </c>
      <c r="X97" s="4"/>
    </row>
    <row r="98" spans="3:24">
      <c r="I98" s="2"/>
      <c r="J98" s="2"/>
      <c r="K98" s="2"/>
      <c r="L98" s="2"/>
      <c r="M98" s="2"/>
      <c r="N98" s="2"/>
      <c r="Q98" s="4"/>
      <c r="R98" s="4" t="s">
        <v>174</v>
      </c>
      <c r="S98" s="4" t="s">
        <v>7</v>
      </c>
      <c r="T98" s="40">
        <v>0</v>
      </c>
      <c r="U98" s="46" t="s">
        <v>160</v>
      </c>
      <c r="V98" s="371">
        <v>16</v>
      </c>
      <c r="W98" s="46" t="s">
        <v>160</v>
      </c>
      <c r="X98" s="4"/>
    </row>
    <row r="99" spans="3:24">
      <c r="I99" s="2"/>
      <c r="J99" s="2"/>
      <c r="K99" s="2"/>
      <c r="L99" s="2"/>
      <c r="M99" s="2"/>
      <c r="N99" s="2"/>
      <c r="Q99" s="4"/>
      <c r="R99" s="4" t="s">
        <v>148</v>
      </c>
      <c r="S99" s="4" t="s">
        <v>7</v>
      </c>
      <c r="T99" s="40">
        <v>0</v>
      </c>
      <c r="U99" s="46" t="s">
        <v>160</v>
      </c>
      <c r="V99" s="371">
        <v>0</v>
      </c>
      <c r="W99" s="46" t="s">
        <v>160</v>
      </c>
      <c r="X99" s="4"/>
    </row>
    <row r="100" spans="3:24">
      <c r="I100" s="2"/>
      <c r="J100" s="2"/>
      <c r="K100" s="2"/>
      <c r="L100" s="2"/>
      <c r="M100" s="2"/>
      <c r="N100" s="2"/>
      <c r="Q100" s="4"/>
      <c r="R100" s="4" t="s">
        <v>149</v>
      </c>
      <c r="S100" s="4" t="s">
        <v>7</v>
      </c>
      <c r="T100" s="40">
        <v>0</v>
      </c>
      <c r="U100" s="46" t="s">
        <v>160</v>
      </c>
      <c r="V100" s="371">
        <v>0</v>
      </c>
      <c r="W100" s="46" t="s">
        <v>160</v>
      </c>
      <c r="X100" s="4"/>
    </row>
    <row r="101" spans="3:24">
      <c r="I101" s="2"/>
      <c r="J101" s="2"/>
      <c r="K101" s="2"/>
      <c r="L101" s="2"/>
      <c r="M101" s="2"/>
      <c r="N101" s="2"/>
      <c r="Q101" s="4"/>
      <c r="R101" s="4"/>
      <c r="S101" s="4"/>
      <c r="T101" s="4"/>
      <c r="U101" s="4"/>
      <c r="V101" s="4"/>
      <c r="W101" s="4"/>
      <c r="X101" s="4"/>
    </row>
    <row r="102" spans="3:24">
      <c r="I102" s="2"/>
      <c r="J102" s="2"/>
      <c r="K102" s="2"/>
      <c r="L102" s="2"/>
      <c r="M102" s="2"/>
      <c r="N102" s="2"/>
    </row>
    <row r="103" spans="3:24">
      <c r="I103" s="2"/>
      <c r="J103" s="2"/>
      <c r="K103" s="2"/>
      <c r="L103" s="2"/>
      <c r="M103" s="2"/>
      <c r="N103" s="2"/>
    </row>
    <row r="104" spans="3:24">
      <c r="I104" s="2"/>
      <c r="J104" s="2"/>
      <c r="K104" s="2"/>
      <c r="L104" s="2"/>
      <c r="M104" s="2"/>
      <c r="N104" s="2"/>
    </row>
    <row r="105" spans="3:24">
      <c r="I105" s="2"/>
      <c r="J105" s="2"/>
      <c r="K105" s="2"/>
      <c r="L105" s="2"/>
      <c r="M105" s="2"/>
      <c r="N105" s="2"/>
    </row>
    <row r="106" spans="3:24">
      <c r="I106" s="2"/>
      <c r="J106" s="2"/>
      <c r="K106" s="2"/>
      <c r="L106" s="2"/>
      <c r="M106" s="2"/>
      <c r="N106" s="2"/>
    </row>
  </sheetData>
  <mergeCells count="13">
    <mergeCell ref="V11:W11"/>
    <mergeCell ref="AB3:AC3"/>
    <mergeCell ref="AD3:AE3"/>
    <mergeCell ref="D3:F3"/>
    <mergeCell ref="H3:J3"/>
    <mergeCell ref="M3:N3"/>
    <mergeCell ref="T3:U3"/>
    <mergeCell ref="V3:W3"/>
    <mergeCell ref="C41:E41"/>
    <mergeCell ref="D42:F42"/>
    <mergeCell ref="G42:J42"/>
    <mergeCell ref="M42:N42"/>
    <mergeCell ref="T11:U11"/>
  </mergeCells>
  <phoneticPr fontId="12" type="noConversion"/>
  <pageMargins left="0.7" right="0.7" top="0.75" bottom="0.75" header="0.3" footer="0.3"/>
  <pageSetup scale="59" orientation="landscape" r:id="rId1"/>
  <headerFooter>
    <oddHeader>&amp;L&amp;"Calibri"&amp;10&amp;K0000FFTRADING PARTNER&amp;1#</oddHead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85D82-CCB1-47D3-8519-ED99AB4D485E}">
  <sheetPr codeName="Sheet11">
    <tabColor theme="0" tint="-0.14999847407452621"/>
    <pageSetUpPr fitToPage="1"/>
  </sheetPr>
  <dimension ref="A1:L262"/>
  <sheetViews>
    <sheetView workbookViewId="0">
      <selection activeCell="H30" sqref="H30"/>
    </sheetView>
  </sheetViews>
  <sheetFormatPr defaultColWidth="8.5" defaultRowHeight="13.8"/>
  <cols>
    <col min="1" max="1" width="8.5" style="1"/>
    <col min="2" max="2" width="43.296875" style="1" customWidth="1"/>
    <col min="3" max="3" width="22.5" style="1" customWidth="1"/>
    <col min="4" max="4" width="10" style="1" customWidth="1"/>
    <col min="5" max="5" width="3.796875" style="1" customWidth="1"/>
    <col min="6" max="6" width="14" style="1" customWidth="1"/>
    <col min="7" max="16384" width="8.5" style="1"/>
  </cols>
  <sheetData>
    <row r="1" spans="1:12">
      <c r="A1" s="14"/>
      <c r="B1" s="14"/>
      <c r="C1" s="14"/>
      <c r="D1" s="14"/>
      <c r="E1" s="14"/>
    </row>
    <row r="2" spans="1:12">
      <c r="A2" s="14"/>
      <c r="B2" s="14"/>
      <c r="C2" s="14"/>
      <c r="D2" s="14"/>
      <c r="E2" s="14"/>
    </row>
    <row r="3" spans="1:12">
      <c r="A3" s="14"/>
      <c r="B3" s="14"/>
      <c r="C3" s="14"/>
      <c r="D3" s="14"/>
      <c r="E3" s="14"/>
    </row>
    <row r="4" spans="1:12">
      <c r="A4" s="14"/>
      <c r="B4" s="14"/>
      <c r="C4" s="14"/>
      <c r="D4" s="14"/>
      <c r="E4" s="14"/>
    </row>
    <row r="5" spans="1:12">
      <c r="A5" s="659"/>
      <c r="B5" s="659"/>
      <c r="C5" s="659"/>
      <c r="D5" s="659"/>
      <c r="E5" s="659"/>
    </row>
    <row r="6" spans="1:12">
      <c r="A6" s="659"/>
      <c r="B6" s="659"/>
      <c r="C6" s="659"/>
      <c r="D6" s="659"/>
      <c r="E6" s="659"/>
    </row>
    <row r="7" spans="1:12">
      <c r="A7" s="1629"/>
      <c r="B7" s="1629"/>
      <c r="C7" s="1629"/>
      <c r="D7" s="1629"/>
      <c r="E7" s="1629"/>
      <c r="F7" s="1629"/>
      <c r="G7" s="1629"/>
      <c r="H7" s="1629"/>
      <c r="I7" s="1629"/>
      <c r="J7" s="1629"/>
      <c r="K7" s="1629"/>
      <c r="L7" s="1629"/>
    </row>
    <row r="8" spans="1:12">
      <c r="A8" s="14"/>
      <c r="B8" s="14"/>
      <c r="C8" s="14"/>
      <c r="D8" s="14"/>
      <c r="E8" s="14"/>
    </row>
    <row r="9" spans="1:12" ht="14.4" thickBot="1">
      <c r="A9" s="413" t="s">
        <v>376</v>
      </c>
      <c r="B9" s="30"/>
      <c r="C9" s="345" t="s">
        <v>158</v>
      </c>
      <c r="D9" s="30"/>
      <c r="E9" s="30"/>
    </row>
    <row r="10" spans="1:12" ht="14.4" thickTop="1">
      <c r="A10" s="27"/>
      <c r="B10" s="14"/>
      <c r="C10" s="14"/>
      <c r="D10" s="14"/>
      <c r="E10" s="18"/>
    </row>
    <row r="11" spans="1:12">
      <c r="A11" s="27" t="s">
        <v>377</v>
      </c>
      <c r="B11" s="14"/>
      <c r="C11" s="14"/>
      <c r="D11" s="14"/>
      <c r="E11" s="18"/>
    </row>
    <row r="12" spans="1:12">
      <c r="A12" s="27"/>
      <c r="B12" s="14" t="s">
        <v>378</v>
      </c>
      <c r="C12" s="19">
        <v>4</v>
      </c>
      <c r="D12" s="14" t="s">
        <v>160</v>
      </c>
      <c r="E12" s="18"/>
    </row>
    <row r="13" spans="1:12">
      <c r="A13" s="27"/>
      <c r="B13" s="14"/>
      <c r="C13" s="19"/>
      <c r="D13" s="14"/>
      <c r="E13" s="18"/>
    </row>
    <row r="14" spans="1:12">
      <c r="A14" s="27"/>
      <c r="B14" s="14" t="s">
        <v>379</v>
      </c>
      <c r="C14" s="14"/>
      <c r="D14" s="14"/>
      <c r="E14" s="18"/>
    </row>
    <row r="15" spans="1:12">
      <c r="A15" s="27"/>
      <c r="B15" s="20" t="s">
        <v>380</v>
      </c>
      <c r="C15" s="21">
        <v>4.9439999999999998E-2</v>
      </c>
      <c r="D15" s="14" t="s">
        <v>157</v>
      </c>
      <c r="E15" s="18"/>
      <c r="F15" s="415"/>
      <c r="G15" s="416"/>
    </row>
    <row r="16" spans="1:12">
      <c r="A16" s="27"/>
      <c r="B16" s="20" t="s">
        <v>381</v>
      </c>
      <c r="C16" s="21">
        <v>5.5640000000000002E-2</v>
      </c>
      <c r="D16" s="14" t="s">
        <v>157</v>
      </c>
      <c r="E16" s="18"/>
      <c r="F16" s="415"/>
      <c r="G16" s="416"/>
    </row>
    <row r="17" spans="1:5">
      <c r="A17" s="29"/>
      <c r="B17" s="23"/>
      <c r="C17" s="23"/>
      <c r="D17" s="23"/>
      <c r="E17" s="24"/>
    </row>
    <row r="18" spans="1:5">
      <c r="A18" s="28"/>
      <c r="B18" s="15"/>
      <c r="C18" s="15"/>
      <c r="D18" s="15"/>
      <c r="E18" s="16"/>
    </row>
    <row r="19" spans="1:5">
      <c r="A19" s="27" t="s">
        <v>382</v>
      </c>
      <c r="B19" s="14"/>
      <c r="C19" s="14"/>
      <c r="D19" s="14"/>
      <c r="E19" s="18"/>
    </row>
    <row r="20" spans="1:5">
      <c r="A20" s="27"/>
      <c r="B20" s="14" t="s">
        <v>378</v>
      </c>
      <c r="C20" s="19">
        <v>3</v>
      </c>
      <c r="D20" s="14" t="s">
        <v>160</v>
      </c>
      <c r="E20" s="18"/>
    </row>
    <row r="21" spans="1:5">
      <c r="A21" s="27"/>
      <c r="B21" s="14"/>
      <c r="C21" s="14"/>
      <c r="D21" s="14"/>
      <c r="E21" s="18"/>
    </row>
    <row r="22" spans="1:5">
      <c r="A22" s="27"/>
      <c r="B22" s="14" t="s">
        <v>379</v>
      </c>
      <c r="C22" s="14"/>
      <c r="D22" s="14"/>
      <c r="E22" s="18"/>
    </row>
    <row r="23" spans="1:5">
      <c r="A23" s="27"/>
      <c r="B23" s="20" t="s">
        <v>380</v>
      </c>
      <c r="C23" s="21">
        <v>2.0539999999999999E-2</v>
      </c>
      <c r="D23" s="14" t="s">
        <v>157</v>
      </c>
      <c r="E23" s="18"/>
    </row>
    <row r="24" spans="1:5">
      <c r="A24" s="27"/>
      <c r="B24" s="20" t="s">
        <v>381</v>
      </c>
      <c r="C24" s="21">
        <v>5.5640000000000002E-2</v>
      </c>
      <c r="D24" s="14" t="s">
        <v>157</v>
      </c>
      <c r="E24" s="18"/>
    </row>
    <row r="25" spans="1:5">
      <c r="A25" s="29"/>
      <c r="B25" s="23"/>
      <c r="C25" s="23"/>
      <c r="D25" s="23"/>
      <c r="E25" s="24"/>
    </row>
    <row r="26" spans="1:5">
      <c r="A26" s="28"/>
      <c r="B26" s="15"/>
      <c r="C26" s="15"/>
      <c r="D26" s="15"/>
      <c r="E26" s="16"/>
    </row>
    <row r="27" spans="1:5">
      <c r="A27" s="27" t="s">
        <v>383</v>
      </c>
      <c r="B27" s="14"/>
      <c r="C27" s="14"/>
      <c r="D27" s="14"/>
      <c r="E27" s="18"/>
    </row>
    <row r="28" spans="1:5">
      <c r="A28" s="27"/>
      <c r="B28" s="14" t="s">
        <v>378</v>
      </c>
      <c r="C28" s="19">
        <v>2</v>
      </c>
      <c r="D28" s="14" t="s">
        <v>160</v>
      </c>
      <c r="E28" s="18"/>
    </row>
    <row r="29" spans="1:5">
      <c r="A29" s="27"/>
      <c r="B29" s="14"/>
      <c r="C29" s="14"/>
      <c r="D29" s="14"/>
      <c r="E29" s="18"/>
    </row>
    <row r="30" spans="1:5">
      <c r="A30" s="27"/>
      <c r="B30" s="14" t="s">
        <v>379</v>
      </c>
      <c r="C30" s="14"/>
      <c r="D30" s="14"/>
      <c r="E30" s="18"/>
    </row>
    <row r="31" spans="1:5">
      <c r="A31" s="27"/>
      <c r="B31" s="20" t="s">
        <v>380</v>
      </c>
      <c r="C31" s="21">
        <v>6.94E-3</v>
      </c>
      <c r="D31" s="14" t="s">
        <v>157</v>
      </c>
      <c r="E31" s="18"/>
    </row>
    <row r="32" spans="1:5">
      <c r="A32" s="27"/>
      <c r="B32" s="20" t="s">
        <v>381</v>
      </c>
      <c r="C32" s="21">
        <v>5.5640000000000002E-2</v>
      </c>
      <c r="D32" s="14" t="s">
        <v>157</v>
      </c>
      <c r="E32" s="18"/>
    </row>
    <row r="33" spans="1:5">
      <c r="A33" s="29"/>
      <c r="B33" s="23"/>
      <c r="C33" s="23"/>
      <c r="D33" s="23"/>
      <c r="E33" s="24"/>
    </row>
    <row r="34" spans="1:5">
      <c r="A34" s="28"/>
      <c r="B34" s="15"/>
      <c r="C34" s="15"/>
      <c r="D34" s="15"/>
      <c r="E34" s="16"/>
    </row>
    <row r="35" spans="1:5">
      <c r="A35" s="27" t="s">
        <v>384</v>
      </c>
      <c r="B35" s="14"/>
      <c r="C35" s="14"/>
      <c r="D35" s="14"/>
      <c r="E35" s="18"/>
    </row>
    <row r="36" spans="1:5">
      <c r="A36" s="27"/>
      <c r="B36" s="14" t="s">
        <v>385</v>
      </c>
      <c r="C36" s="14"/>
      <c r="D36" s="14"/>
      <c r="E36" s="18"/>
    </row>
    <row r="37" spans="1:5">
      <c r="A37" s="27"/>
      <c r="B37" s="20" t="s">
        <v>386</v>
      </c>
      <c r="C37" s="19">
        <v>30</v>
      </c>
      <c r="D37" s="14" t="s">
        <v>160</v>
      </c>
      <c r="E37" s="18"/>
    </row>
    <row r="38" spans="1:5">
      <c r="A38" s="27"/>
      <c r="B38" s="20" t="s">
        <v>387</v>
      </c>
      <c r="C38" s="21">
        <v>5.5640000000000002E-2</v>
      </c>
      <c r="D38" s="14" t="s">
        <v>157</v>
      </c>
      <c r="E38" s="18"/>
    </row>
    <row r="39" spans="1:5">
      <c r="A39" s="27"/>
      <c r="B39" s="14"/>
      <c r="C39" s="14"/>
      <c r="D39" s="14"/>
      <c r="E39" s="18"/>
    </row>
    <row r="40" spans="1:5">
      <c r="A40" s="27"/>
      <c r="B40" s="14" t="s">
        <v>388</v>
      </c>
      <c r="C40" s="14"/>
      <c r="D40" s="14"/>
      <c r="E40" s="18"/>
    </row>
    <row r="41" spans="1:5">
      <c r="A41" s="27"/>
      <c r="B41" s="20" t="s">
        <v>386</v>
      </c>
      <c r="C41" s="19">
        <v>40</v>
      </c>
      <c r="D41" s="14" t="s">
        <v>160</v>
      </c>
      <c r="E41" s="18"/>
    </row>
    <row r="42" spans="1:5">
      <c r="A42" s="27"/>
      <c r="B42" s="20" t="s">
        <v>389</v>
      </c>
      <c r="C42" s="21">
        <v>5.5640000000000002E-2</v>
      </c>
      <c r="D42" s="14" t="s">
        <v>157</v>
      </c>
      <c r="E42" s="18"/>
    </row>
    <row r="43" spans="1:5">
      <c r="A43" s="27"/>
      <c r="B43" s="14"/>
      <c r="C43" s="14"/>
      <c r="D43" s="14"/>
      <c r="E43" s="18"/>
    </row>
    <row r="44" spans="1:5">
      <c r="A44" s="27"/>
      <c r="B44" s="14" t="s">
        <v>390</v>
      </c>
      <c r="C44" s="14"/>
      <c r="D44" s="14"/>
      <c r="E44" s="18"/>
    </row>
    <row r="45" spans="1:5">
      <c r="A45" s="27"/>
      <c r="B45" s="20" t="s">
        <v>386</v>
      </c>
      <c r="C45" s="19">
        <v>50</v>
      </c>
      <c r="D45" s="14" t="s">
        <v>160</v>
      </c>
      <c r="E45" s="18"/>
    </row>
    <row r="46" spans="1:5">
      <c r="A46" s="27"/>
      <c r="B46" s="20" t="s">
        <v>391</v>
      </c>
      <c r="C46" s="21">
        <v>5.5640000000000002E-2</v>
      </c>
      <c r="D46" s="14" t="s">
        <v>157</v>
      </c>
      <c r="E46" s="18"/>
    </row>
    <row r="47" spans="1:5">
      <c r="A47" s="29"/>
      <c r="B47" s="23"/>
      <c r="C47" s="23"/>
      <c r="D47" s="23"/>
      <c r="E47" s="24"/>
    </row>
    <row r="48" spans="1:5">
      <c r="A48" s="28"/>
      <c r="B48" s="15"/>
      <c r="C48" s="15"/>
      <c r="D48" s="15"/>
      <c r="E48" s="16"/>
    </row>
    <row r="49" spans="1:6">
      <c r="A49" s="27" t="s">
        <v>392</v>
      </c>
      <c r="B49" s="14"/>
      <c r="C49" s="14"/>
      <c r="D49" s="14"/>
      <c r="E49" s="18"/>
    </row>
    <row r="50" spans="1:6">
      <c r="A50" s="27"/>
      <c r="B50" s="14" t="s">
        <v>378</v>
      </c>
      <c r="C50" s="19">
        <v>5</v>
      </c>
      <c r="D50" s="14" t="s">
        <v>160</v>
      </c>
      <c r="E50" s="18"/>
    </row>
    <row r="51" spans="1:6">
      <c r="A51" s="27"/>
      <c r="B51" s="14"/>
      <c r="C51" s="14"/>
      <c r="D51" s="14"/>
      <c r="E51" s="18"/>
    </row>
    <row r="52" spans="1:6">
      <c r="A52" s="27"/>
      <c r="B52" s="14" t="s">
        <v>5</v>
      </c>
      <c r="C52" s="21">
        <v>8.4489999999999996E-2</v>
      </c>
      <c r="D52" s="14" t="s">
        <v>157</v>
      </c>
      <c r="E52" s="18"/>
      <c r="F52" s="415"/>
    </row>
    <row r="53" spans="1:6">
      <c r="A53" s="29"/>
      <c r="B53" s="23"/>
      <c r="C53" s="23"/>
      <c r="D53" s="23"/>
      <c r="E53" s="24"/>
      <c r="F53" s="415"/>
    </row>
    <row r="54" spans="1:6">
      <c r="A54" s="28"/>
      <c r="B54" s="15"/>
      <c r="C54" s="15"/>
      <c r="D54" s="15"/>
      <c r="E54" s="16"/>
      <c r="F54" s="415"/>
    </row>
    <row r="55" spans="1:6">
      <c r="A55" s="27" t="s">
        <v>393</v>
      </c>
      <c r="B55" s="14"/>
      <c r="C55" s="14"/>
      <c r="D55" s="14"/>
      <c r="E55" s="18"/>
      <c r="F55" s="415"/>
    </row>
    <row r="56" spans="1:6">
      <c r="A56" s="27"/>
      <c r="B56" s="14" t="s">
        <v>378</v>
      </c>
      <c r="C56" s="19">
        <v>200</v>
      </c>
      <c r="D56" s="14" t="s">
        <v>160</v>
      </c>
      <c r="E56" s="18"/>
      <c r="F56" s="415"/>
    </row>
    <row r="57" spans="1:6">
      <c r="A57" s="27"/>
      <c r="B57" s="14"/>
      <c r="C57" s="14"/>
      <c r="D57" s="14"/>
      <c r="E57" s="18"/>
      <c r="F57" s="415"/>
    </row>
    <row r="58" spans="1:6">
      <c r="A58" s="27"/>
      <c r="B58" s="14" t="s">
        <v>5</v>
      </c>
      <c r="C58" s="14"/>
      <c r="D58" s="14"/>
      <c r="E58" s="18"/>
      <c r="F58" s="415"/>
    </row>
    <row r="59" spans="1:6">
      <c r="A59" s="27"/>
      <c r="B59" s="20" t="s">
        <v>76</v>
      </c>
      <c r="C59" s="21">
        <v>4.6940000000000003E-2</v>
      </c>
      <c r="D59" s="14" t="s">
        <v>157</v>
      </c>
      <c r="E59" s="18"/>
      <c r="F59" s="415"/>
    </row>
    <row r="60" spans="1:6">
      <c r="A60" s="27"/>
      <c r="B60" s="20" t="s">
        <v>381</v>
      </c>
      <c r="C60" s="21">
        <v>3.8940000000000002E-2</v>
      </c>
      <c r="D60" s="14" t="s">
        <v>157</v>
      </c>
      <c r="E60" s="18"/>
      <c r="F60" s="415"/>
    </row>
    <row r="61" spans="1:6">
      <c r="A61" s="27"/>
      <c r="B61" s="14"/>
      <c r="C61" s="14"/>
      <c r="D61" s="14"/>
      <c r="E61" s="18"/>
      <c r="F61" s="415"/>
    </row>
    <row r="62" spans="1:6">
      <c r="A62" s="27"/>
      <c r="B62" s="14" t="s">
        <v>168</v>
      </c>
      <c r="C62" s="19">
        <v>8.1</v>
      </c>
      <c r="D62" s="14" t="s">
        <v>394</v>
      </c>
      <c r="E62" s="18"/>
      <c r="F62" s="415"/>
    </row>
    <row r="63" spans="1:6">
      <c r="A63" s="27"/>
      <c r="B63" s="14"/>
      <c r="C63" s="19"/>
      <c r="D63" s="14"/>
      <c r="E63" s="18"/>
      <c r="F63" s="415"/>
    </row>
    <row r="64" spans="1:6">
      <c r="A64" s="27"/>
      <c r="B64" s="14" t="s">
        <v>395</v>
      </c>
      <c r="C64" s="19">
        <v>10</v>
      </c>
      <c r="D64" s="14" t="s">
        <v>394</v>
      </c>
      <c r="E64" s="18"/>
      <c r="F64" s="415"/>
    </row>
    <row r="65" spans="1:6">
      <c r="A65" s="29"/>
      <c r="B65" s="23"/>
      <c r="C65" s="23"/>
      <c r="D65" s="23"/>
      <c r="E65" s="24"/>
      <c r="F65" s="415"/>
    </row>
    <row r="66" spans="1:6">
      <c r="A66" s="28"/>
      <c r="B66" s="15"/>
      <c r="C66" s="15"/>
      <c r="D66" s="15"/>
      <c r="E66" s="16"/>
      <c r="F66" s="415"/>
    </row>
    <row r="67" spans="1:6">
      <c r="A67" s="27" t="s">
        <v>396</v>
      </c>
      <c r="B67" s="14"/>
      <c r="C67" s="14"/>
      <c r="D67" s="14"/>
      <c r="E67" s="18"/>
      <c r="F67" s="415"/>
    </row>
    <row r="68" spans="1:6">
      <c r="A68" s="27"/>
      <c r="B68" s="14" t="s">
        <v>378</v>
      </c>
      <c r="C68" s="19">
        <v>450</v>
      </c>
      <c r="D68" s="14" t="s">
        <v>160</v>
      </c>
      <c r="E68" s="18"/>
      <c r="F68" s="415"/>
    </row>
    <row r="69" spans="1:6">
      <c r="A69" s="27"/>
      <c r="B69" s="14"/>
      <c r="C69" s="14"/>
      <c r="D69" s="14"/>
      <c r="E69" s="18"/>
      <c r="F69" s="415"/>
    </row>
    <row r="70" spans="1:6">
      <c r="A70" s="27"/>
      <c r="B70" s="14" t="s">
        <v>5</v>
      </c>
      <c r="C70" s="14"/>
      <c r="D70" s="14"/>
      <c r="E70" s="18"/>
      <c r="F70" s="415"/>
    </row>
    <row r="71" spans="1:6">
      <c r="A71" s="27"/>
      <c r="B71" s="20" t="s">
        <v>76</v>
      </c>
      <c r="C71" s="21">
        <v>3.6499999999999998E-2</v>
      </c>
      <c r="D71" s="14" t="s">
        <v>157</v>
      </c>
      <c r="E71" s="18"/>
      <c r="F71" s="415"/>
    </row>
    <row r="72" spans="1:6">
      <c r="A72" s="27"/>
      <c r="B72" s="20" t="s">
        <v>381</v>
      </c>
      <c r="C72" s="21">
        <v>3.2500000000000001E-2</v>
      </c>
      <c r="D72" s="14" t="s">
        <v>157</v>
      </c>
      <c r="E72" s="18"/>
      <c r="F72" s="415"/>
    </row>
    <row r="73" spans="1:6">
      <c r="A73" s="27"/>
      <c r="B73" s="14"/>
      <c r="C73" s="14"/>
      <c r="D73" s="14"/>
      <c r="E73" s="18"/>
      <c r="F73" s="415"/>
    </row>
    <row r="74" spans="1:6">
      <c r="A74" s="27"/>
      <c r="B74" s="14" t="s">
        <v>168</v>
      </c>
      <c r="C74" s="19">
        <v>7.7</v>
      </c>
      <c r="D74" s="14" t="s">
        <v>394</v>
      </c>
      <c r="E74" s="18"/>
      <c r="F74" s="415"/>
    </row>
    <row r="75" spans="1:6">
      <c r="A75" s="27"/>
      <c r="B75" s="14"/>
      <c r="C75" s="14"/>
      <c r="D75" s="14"/>
      <c r="E75" s="18"/>
      <c r="F75" s="415"/>
    </row>
    <row r="76" spans="1:6">
      <c r="A76" s="27"/>
      <c r="B76" s="14" t="s">
        <v>395</v>
      </c>
      <c r="C76" s="19">
        <v>9.6</v>
      </c>
      <c r="D76" s="14" t="s">
        <v>394</v>
      </c>
      <c r="E76" s="18"/>
      <c r="F76" s="415"/>
    </row>
    <row r="77" spans="1:6">
      <c r="A77" s="29"/>
      <c r="B77" s="23"/>
      <c r="C77" s="23"/>
      <c r="D77" s="23"/>
      <c r="E77" s="24"/>
      <c r="F77" s="415"/>
    </row>
    <row r="78" spans="1:6">
      <c r="A78" s="28"/>
      <c r="B78" s="15"/>
      <c r="C78" s="15"/>
      <c r="D78" s="15"/>
      <c r="E78" s="16"/>
    </row>
    <row r="79" spans="1:6">
      <c r="A79" s="27" t="s">
        <v>397</v>
      </c>
      <c r="B79" s="14"/>
      <c r="C79" s="14"/>
      <c r="D79" s="14"/>
      <c r="E79" s="18"/>
    </row>
    <row r="80" spans="1:6">
      <c r="A80" s="27"/>
      <c r="B80" s="14" t="s">
        <v>4</v>
      </c>
      <c r="C80" s="19">
        <v>200</v>
      </c>
      <c r="D80" s="14" t="s">
        <v>160</v>
      </c>
      <c r="E80" s="18"/>
    </row>
    <row r="81" spans="1:5">
      <c r="A81" s="27"/>
      <c r="B81" s="14"/>
      <c r="C81" s="14"/>
      <c r="D81" s="14"/>
      <c r="E81" s="18"/>
    </row>
    <row r="82" spans="1:5">
      <c r="A82" s="27"/>
      <c r="B82" s="14" t="s">
        <v>5</v>
      </c>
      <c r="C82" s="14"/>
      <c r="D82" s="14"/>
      <c r="E82" s="18"/>
    </row>
    <row r="83" spans="1:5">
      <c r="A83" s="27"/>
      <c r="B83" s="20" t="s">
        <v>398</v>
      </c>
      <c r="C83" s="21">
        <v>5.7790000000000001E-2</v>
      </c>
      <c r="D83" s="14" t="s">
        <v>157</v>
      </c>
      <c r="E83" s="18"/>
    </row>
    <row r="84" spans="1:5">
      <c r="A84" s="27"/>
      <c r="B84" s="20" t="s">
        <v>399</v>
      </c>
      <c r="C84" s="21">
        <v>1.8790000000000001E-2</v>
      </c>
      <c r="D84" s="14" t="s">
        <v>157</v>
      </c>
      <c r="E84" s="18"/>
    </row>
    <row r="85" spans="1:5">
      <c r="A85" s="27"/>
      <c r="B85" s="14"/>
      <c r="C85" s="14"/>
      <c r="D85" s="14"/>
      <c r="E85" s="18"/>
    </row>
    <row r="86" spans="1:5">
      <c r="A86" s="27"/>
      <c r="B86" s="14" t="s">
        <v>168</v>
      </c>
      <c r="C86" s="14"/>
      <c r="D86" s="14"/>
      <c r="E86" s="18"/>
    </row>
    <row r="87" spans="1:5">
      <c r="A87" s="27"/>
      <c r="B87" s="20" t="s">
        <v>88</v>
      </c>
      <c r="C87" s="19">
        <v>8.1</v>
      </c>
      <c r="D87" s="14" t="s">
        <v>394</v>
      </c>
      <c r="E87" s="18"/>
    </row>
    <row r="88" spans="1:5">
      <c r="A88" s="27"/>
      <c r="B88" s="20" t="s">
        <v>89</v>
      </c>
      <c r="C88" s="19">
        <v>1.1000000000000001</v>
      </c>
      <c r="D88" s="14" t="s">
        <v>394</v>
      </c>
      <c r="E88" s="18"/>
    </row>
    <row r="89" spans="1:5" hidden="1">
      <c r="A89" s="27"/>
      <c r="B89" s="14"/>
      <c r="C89" s="14"/>
      <c r="D89" s="14"/>
      <c r="E89" s="18"/>
    </row>
    <row r="90" spans="1:5" hidden="1">
      <c r="A90" s="27"/>
      <c r="B90" s="14" t="s">
        <v>400</v>
      </c>
      <c r="C90" s="14"/>
      <c r="D90" s="14"/>
      <c r="E90" s="18"/>
    </row>
    <row r="91" spans="1:5" hidden="1">
      <c r="A91" s="27"/>
      <c r="B91" s="14" t="s">
        <v>401</v>
      </c>
      <c r="C91" s="25">
        <v>3500</v>
      </c>
      <c r="D91" s="14" t="s">
        <v>160</v>
      </c>
      <c r="E91" s="18"/>
    </row>
    <row r="92" spans="1:5" hidden="1">
      <c r="A92" s="27"/>
      <c r="B92" s="14" t="s">
        <v>402</v>
      </c>
      <c r="C92" s="25">
        <v>1300</v>
      </c>
      <c r="D92" s="14" t="s">
        <v>160</v>
      </c>
      <c r="E92" s="18"/>
    </row>
    <row r="93" spans="1:5" hidden="1">
      <c r="A93" s="27"/>
      <c r="B93" s="14"/>
      <c r="C93" s="14"/>
      <c r="D93" s="14"/>
      <c r="E93" s="18"/>
    </row>
    <row r="94" spans="1:5" hidden="1">
      <c r="A94" s="27"/>
      <c r="B94" s="14" t="s">
        <v>403</v>
      </c>
      <c r="C94" s="14"/>
      <c r="D94" s="14"/>
      <c r="E94" s="18"/>
    </row>
    <row r="95" spans="1:5" hidden="1">
      <c r="A95" s="27"/>
      <c r="B95" s="20" t="s">
        <v>398</v>
      </c>
      <c r="C95" s="14" t="s">
        <v>404</v>
      </c>
      <c r="D95" s="14" t="s">
        <v>15</v>
      </c>
      <c r="E95" s="18"/>
    </row>
    <row r="96" spans="1:5" hidden="1">
      <c r="A96" s="27"/>
      <c r="B96" s="20" t="s">
        <v>399</v>
      </c>
      <c r="C96" s="14" t="s">
        <v>405</v>
      </c>
      <c r="D96" s="14" t="s">
        <v>406</v>
      </c>
      <c r="E96" s="18"/>
    </row>
    <row r="97" spans="1:5" hidden="1">
      <c r="A97" s="27"/>
      <c r="B97" s="20" t="s">
        <v>407</v>
      </c>
      <c r="C97" s="14" t="s">
        <v>408</v>
      </c>
      <c r="D97" s="14"/>
      <c r="E97" s="18"/>
    </row>
    <row r="98" spans="1:5">
      <c r="A98" s="29"/>
      <c r="B98" s="23"/>
      <c r="C98" s="23"/>
      <c r="D98" s="23"/>
      <c r="E98" s="24"/>
    </row>
    <row r="99" spans="1:5">
      <c r="A99" s="28"/>
      <c r="B99" s="15"/>
      <c r="C99" s="15"/>
      <c r="D99" s="15"/>
      <c r="E99" s="16"/>
    </row>
    <row r="100" spans="1:5">
      <c r="A100" s="27" t="s">
        <v>409</v>
      </c>
      <c r="B100" s="14"/>
      <c r="C100" s="14"/>
      <c r="D100" s="14"/>
      <c r="E100" s="18"/>
    </row>
    <row r="101" spans="1:5">
      <c r="A101" s="27"/>
      <c r="B101" s="14" t="s">
        <v>4</v>
      </c>
      <c r="C101" s="19">
        <v>450</v>
      </c>
      <c r="D101" s="14" t="s">
        <v>160</v>
      </c>
      <c r="E101" s="18"/>
    </row>
    <row r="102" spans="1:5">
      <c r="A102" s="27"/>
      <c r="B102" s="14"/>
      <c r="C102" s="14"/>
      <c r="D102" s="14"/>
      <c r="E102" s="18"/>
    </row>
    <row r="103" spans="1:5">
      <c r="A103" s="27"/>
      <c r="B103" s="14" t="s">
        <v>5</v>
      </c>
      <c r="C103" s="14"/>
      <c r="D103" s="14"/>
      <c r="E103" s="18"/>
    </row>
    <row r="104" spans="1:5">
      <c r="A104" s="27"/>
      <c r="B104" s="20" t="s">
        <v>398</v>
      </c>
      <c r="C104" s="21">
        <v>4.6789999999999998E-2</v>
      </c>
      <c r="D104" s="14" t="s">
        <v>157</v>
      </c>
      <c r="E104" s="18"/>
    </row>
    <row r="105" spans="1:5">
      <c r="A105" s="27"/>
      <c r="B105" s="20" t="s">
        <v>399</v>
      </c>
      <c r="C105" s="21">
        <v>1.779E-2</v>
      </c>
      <c r="D105" s="14" t="s">
        <v>157</v>
      </c>
      <c r="E105" s="18"/>
    </row>
    <row r="106" spans="1:5">
      <c r="A106" s="27"/>
      <c r="B106" s="14"/>
      <c r="C106" s="14"/>
      <c r="D106" s="14"/>
      <c r="E106" s="18"/>
    </row>
    <row r="107" spans="1:5">
      <c r="A107" s="27"/>
      <c r="B107" s="14" t="s">
        <v>168</v>
      </c>
      <c r="C107" s="14"/>
      <c r="D107" s="14"/>
      <c r="E107" s="18"/>
    </row>
    <row r="108" spans="1:5">
      <c r="A108" s="27"/>
      <c r="B108" s="20" t="s">
        <v>88</v>
      </c>
      <c r="C108" s="19">
        <v>7.7</v>
      </c>
      <c r="D108" s="14" t="s">
        <v>394</v>
      </c>
      <c r="E108" s="18"/>
    </row>
    <row r="109" spans="1:5">
      <c r="A109" s="27"/>
      <c r="B109" s="20" t="s">
        <v>89</v>
      </c>
      <c r="C109" s="19">
        <v>1</v>
      </c>
      <c r="D109" s="14" t="s">
        <v>394</v>
      </c>
      <c r="E109" s="18"/>
    </row>
    <row r="110" spans="1:5" hidden="1">
      <c r="A110" s="27"/>
      <c r="B110" s="14"/>
      <c r="C110" s="14"/>
      <c r="D110" s="14"/>
      <c r="E110" s="18"/>
    </row>
    <row r="111" spans="1:5" hidden="1">
      <c r="A111" s="27"/>
      <c r="B111" s="14" t="s">
        <v>400</v>
      </c>
      <c r="C111" s="14"/>
      <c r="D111" s="14"/>
      <c r="E111" s="18"/>
    </row>
    <row r="112" spans="1:5" hidden="1">
      <c r="A112" s="27"/>
      <c r="B112" s="14" t="s">
        <v>401</v>
      </c>
      <c r="C112" s="25">
        <v>3450</v>
      </c>
      <c r="D112" s="14" t="s">
        <v>160</v>
      </c>
      <c r="E112" s="18"/>
    </row>
    <row r="113" spans="1:5" hidden="1">
      <c r="A113" s="27"/>
      <c r="B113" s="14" t="s">
        <v>402</v>
      </c>
      <c r="C113" s="25">
        <v>1450</v>
      </c>
      <c r="D113" s="14" t="s">
        <v>160</v>
      </c>
      <c r="E113" s="18"/>
    </row>
    <row r="114" spans="1:5" hidden="1">
      <c r="A114" s="27"/>
      <c r="B114" s="14"/>
      <c r="C114" s="14"/>
      <c r="D114" s="14"/>
      <c r="E114" s="18"/>
    </row>
    <row r="115" spans="1:5" hidden="1">
      <c r="A115" s="27"/>
      <c r="B115" s="14" t="s">
        <v>403</v>
      </c>
      <c r="C115" s="14"/>
      <c r="D115" s="14"/>
      <c r="E115" s="18"/>
    </row>
    <row r="116" spans="1:5" hidden="1">
      <c r="A116" s="27"/>
      <c r="B116" s="20" t="s">
        <v>398</v>
      </c>
      <c r="C116" s="14" t="s">
        <v>404</v>
      </c>
      <c r="D116" s="14" t="s">
        <v>15</v>
      </c>
      <c r="E116" s="18"/>
    </row>
    <row r="117" spans="1:5" hidden="1">
      <c r="A117" s="27"/>
      <c r="B117" s="20" t="s">
        <v>399</v>
      </c>
      <c r="C117" s="14" t="s">
        <v>405</v>
      </c>
      <c r="D117" s="14" t="s">
        <v>406</v>
      </c>
      <c r="E117" s="18"/>
    </row>
    <row r="118" spans="1:5" hidden="1">
      <c r="A118" s="27"/>
      <c r="B118" s="20" t="s">
        <v>407</v>
      </c>
      <c r="C118" s="14" t="s">
        <v>410</v>
      </c>
      <c r="D118" s="14"/>
      <c r="E118" s="18"/>
    </row>
    <row r="119" spans="1:5">
      <c r="A119" s="29"/>
      <c r="B119" s="23"/>
      <c r="C119" s="23"/>
      <c r="D119" s="23"/>
      <c r="E119" s="24"/>
    </row>
    <row r="120" spans="1:5">
      <c r="A120" s="27"/>
      <c r="B120" s="14"/>
      <c r="C120" s="14"/>
      <c r="D120" s="14"/>
      <c r="E120" s="18"/>
    </row>
    <row r="121" spans="1:5">
      <c r="A121" s="27" t="s">
        <v>411</v>
      </c>
      <c r="B121" s="14"/>
      <c r="C121" s="14"/>
      <c r="D121" s="14"/>
      <c r="E121" s="18"/>
    </row>
    <row r="122" spans="1:5">
      <c r="A122" s="27"/>
      <c r="B122" s="14" t="s">
        <v>4</v>
      </c>
      <c r="C122" s="19">
        <v>450</v>
      </c>
      <c r="D122" s="14" t="s">
        <v>160</v>
      </c>
      <c r="E122" s="18"/>
    </row>
    <row r="123" spans="1:5">
      <c r="A123" s="27"/>
      <c r="B123" s="14"/>
      <c r="C123" s="14"/>
      <c r="D123" s="14"/>
      <c r="E123" s="18"/>
    </row>
    <row r="124" spans="1:5">
      <c r="A124" s="27"/>
      <c r="B124" s="14" t="s">
        <v>5</v>
      </c>
      <c r="C124" s="14"/>
      <c r="D124" s="14"/>
      <c r="E124" s="18"/>
    </row>
    <row r="125" spans="1:5">
      <c r="A125" s="27"/>
      <c r="B125" s="20" t="s">
        <v>412</v>
      </c>
      <c r="C125" s="21">
        <v>2.496E-2</v>
      </c>
      <c r="D125" s="14" t="s">
        <v>157</v>
      </c>
      <c r="E125" s="18"/>
    </row>
    <row r="126" spans="1:5">
      <c r="A126" s="27"/>
      <c r="B126" s="20" t="s">
        <v>381</v>
      </c>
      <c r="C126" s="21">
        <v>1.8960000000000001E-2</v>
      </c>
      <c r="D126" s="14" t="s">
        <v>157</v>
      </c>
      <c r="E126" s="18"/>
    </row>
    <row r="127" spans="1:5">
      <c r="A127" s="27"/>
      <c r="B127" s="14"/>
      <c r="C127" s="14"/>
      <c r="D127" s="14"/>
      <c r="E127" s="18"/>
    </row>
    <row r="128" spans="1:5">
      <c r="A128" s="27"/>
      <c r="B128" s="14" t="s">
        <v>413</v>
      </c>
      <c r="C128" s="19">
        <v>6</v>
      </c>
      <c r="D128" s="14" t="s">
        <v>394</v>
      </c>
      <c r="E128" s="18"/>
    </row>
    <row r="129" spans="1:5">
      <c r="A129" s="27"/>
      <c r="B129" s="14"/>
      <c r="C129" s="14"/>
      <c r="D129" s="14"/>
      <c r="E129" s="18"/>
    </row>
    <row r="130" spans="1:5">
      <c r="A130" s="27"/>
      <c r="B130" s="14" t="s">
        <v>395</v>
      </c>
      <c r="C130" s="19">
        <v>9.6</v>
      </c>
      <c r="D130" s="14" t="s">
        <v>394</v>
      </c>
      <c r="E130" s="18"/>
    </row>
    <row r="131" spans="1:5" hidden="1">
      <c r="A131" s="27"/>
      <c r="B131" s="14"/>
      <c r="C131" s="14"/>
      <c r="D131" s="14"/>
      <c r="E131" s="18"/>
    </row>
    <row r="132" spans="1:5" hidden="1">
      <c r="A132" s="27"/>
      <c r="B132" s="14" t="s">
        <v>414</v>
      </c>
      <c r="C132" s="25">
        <v>72450</v>
      </c>
      <c r="D132" s="14" t="s">
        <v>160</v>
      </c>
      <c r="E132" s="18"/>
    </row>
    <row r="133" spans="1:5">
      <c r="A133" s="29"/>
      <c r="B133" s="23"/>
      <c r="C133" s="23"/>
      <c r="D133" s="23"/>
      <c r="E133" s="24"/>
    </row>
    <row r="134" spans="1:5">
      <c r="A134" s="27"/>
      <c r="B134" s="14"/>
      <c r="C134" s="14"/>
      <c r="D134" s="14"/>
      <c r="E134" s="18"/>
    </row>
    <row r="135" spans="1:5">
      <c r="A135" s="27" t="s">
        <v>415</v>
      </c>
      <c r="B135" s="14"/>
      <c r="C135" s="14"/>
      <c r="D135" s="14"/>
      <c r="E135" s="18"/>
    </row>
    <row r="136" spans="1:5">
      <c r="A136" s="17"/>
      <c r="B136" s="14" t="s">
        <v>4</v>
      </c>
      <c r="C136" s="19">
        <v>521.67999999999995</v>
      </c>
      <c r="D136" s="14" t="s">
        <v>160</v>
      </c>
      <c r="E136" s="18"/>
    </row>
    <row r="137" spans="1:5">
      <c r="A137" s="17"/>
      <c r="B137" s="14"/>
      <c r="C137" s="14"/>
      <c r="D137" s="14"/>
      <c r="E137" s="18"/>
    </row>
    <row r="138" spans="1:5">
      <c r="A138" s="17"/>
      <c r="B138" s="14" t="s">
        <v>5</v>
      </c>
      <c r="C138" s="21">
        <v>2.811E-2</v>
      </c>
      <c r="D138" s="14" t="s">
        <v>157</v>
      </c>
      <c r="E138" s="18"/>
    </row>
    <row r="139" spans="1:5">
      <c r="A139" s="17"/>
      <c r="B139" s="14"/>
      <c r="C139" s="14"/>
      <c r="D139" s="14"/>
      <c r="E139" s="18"/>
    </row>
    <row r="140" spans="1:5">
      <c r="A140" s="17"/>
      <c r="B140" s="14" t="s">
        <v>168</v>
      </c>
      <c r="C140" s="19">
        <v>8.58</v>
      </c>
      <c r="D140" s="14" t="s">
        <v>394</v>
      </c>
      <c r="E140" s="18"/>
    </row>
    <row r="141" spans="1:5">
      <c r="A141" s="17"/>
      <c r="B141" s="14" t="s">
        <v>416</v>
      </c>
      <c r="C141" s="19">
        <v>11.59</v>
      </c>
      <c r="D141" s="14" t="s">
        <v>394</v>
      </c>
      <c r="E141" s="18"/>
    </row>
    <row r="142" spans="1:5">
      <c r="A142" s="22"/>
      <c r="B142" s="23"/>
      <c r="C142" s="23"/>
      <c r="D142" s="23"/>
      <c r="E142" s="24"/>
    </row>
    <row r="143" spans="1:5">
      <c r="A143" s="28"/>
      <c r="B143" s="15"/>
      <c r="C143" s="15"/>
      <c r="D143" s="15"/>
      <c r="E143" s="16"/>
    </row>
    <row r="144" spans="1:5">
      <c r="A144" s="27" t="s">
        <v>417</v>
      </c>
      <c r="B144" s="14"/>
      <c r="C144" s="14"/>
      <c r="D144" s="14"/>
      <c r="E144" s="18"/>
    </row>
    <row r="145" spans="1:5">
      <c r="A145" s="27"/>
      <c r="B145" s="14" t="s">
        <v>4</v>
      </c>
      <c r="C145" s="19">
        <v>5</v>
      </c>
      <c r="D145" s="14" t="s">
        <v>160</v>
      </c>
      <c r="E145" s="18"/>
    </row>
    <row r="146" spans="1:5">
      <c r="A146" s="27"/>
      <c r="B146" s="14"/>
      <c r="C146" s="14"/>
      <c r="D146" s="14"/>
      <c r="E146" s="18"/>
    </row>
    <row r="147" spans="1:5">
      <c r="A147" s="27"/>
      <c r="B147" s="14" t="s">
        <v>5</v>
      </c>
      <c r="C147" s="14"/>
      <c r="D147" s="14"/>
      <c r="E147" s="18"/>
    </row>
    <row r="148" spans="1:5">
      <c r="A148" s="27"/>
      <c r="B148" s="20" t="s">
        <v>133</v>
      </c>
      <c r="C148" s="19">
        <v>55.43</v>
      </c>
      <c r="D148" s="14" t="s">
        <v>160</v>
      </c>
      <c r="E148" s="18"/>
    </row>
    <row r="149" spans="1:5">
      <c r="A149" s="27"/>
      <c r="B149" s="20" t="s">
        <v>104</v>
      </c>
      <c r="C149" s="19">
        <v>41.74</v>
      </c>
      <c r="D149" s="14" t="s">
        <v>160</v>
      </c>
      <c r="E149" s="18"/>
    </row>
    <row r="150" spans="1:5">
      <c r="A150" s="27"/>
      <c r="B150" s="20" t="s">
        <v>418</v>
      </c>
      <c r="C150" s="21">
        <v>8.4489999999999996E-2</v>
      </c>
      <c r="D150" s="14" t="s">
        <v>157</v>
      </c>
      <c r="E150" s="18"/>
    </row>
    <row r="151" spans="1:5">
      <c r="A151" s="29"/>
      <c r="B151" s="23"/>
      <c r="C151" s="23"/>
      <c r="D151" s="23"/>
      <c r="E151" s="24"/>
    </row>
    <row r="152" spans="1:5">
      <c r="A152" s="28"/>
      <c r="B152" s="15"/>
      <c r="C152" s="15"/>
      <c r="D152" s="15"/>
      <c r="E152" s="16"/>
    </row>
    <row r="153" spans="1:5">
      <c r="A153" s="27" t="s">
        <v>419</v>
      </c>
      <c r="B153" s="14"/>
      <c r="C153" s="14"/>
      <c r="D153" s="14"/>
      <c r="E153" s="18"/>
    </row>
    <row r="154" spans="1:5">
      <c r="A154" s="27"/>
      <c r="B154" s="14" t="s">
        <v>4</v>
      </c>
      <c r="C154" s="19">
        <v>4.5999999999999996</v>
      </c>
      <c r="D154" s="14" t="s">
        <v>420</v>
      </c>
      <c r="E154" s="18"/>
    </row>
    <row r="155" spans="1:5">
      <c r="A155" s="27"/>
      <c r="B155" s="14"/>
      <c r="C155" s="14"/>
      <c r="D155" s="14"/>
      <c r="E155" s="18"/>
    </row>
    <row r="156" spans="1:5">
      <c r="A156" s="27"/>
      <c r="B156" s="14" t="s">
        <v>5</v>
      </c>
      <c r="C156" s="21">
        <v>8.4489999999999996E-2</v>
      </c>
      <c r="D156" s="14" t="s">
        <v>157</v>
      </c>
      <c r="E156" s="18"/>
    </row>
    <row r="157" spans="1:5">
      <c r="A157" s="29"/>
      <c r="B157" s="23"/>
      <c r="C157" s="23"/>
      <c r="D157" s="23"/>
      <c r="E157" s="24"/>
    </row>
    <row r="158" spans="1:5">
      <c r="A158" s="28"/>
      <c r="B158" s="15"/>
      <c r="C158" s="15"/>
      <c r="D158" s="15"/>
      <c r="E158" s="16"/>
    </row>
    <row r="159" spans="1:5">
      <c r="A159" s="27" t="s">
        <v>421</v>
      </c>
      <c r="B159" s="14"/>
      <c r="C159" s="14"/>
      <c r="D159" s="14"/>
      <c r="E159" s="18"/>
    </row>
    <row r="160" spans="1:5">
      <c r="A160" s="27"/>
      <c r="B160" s="14" t="s">
        <v>4</v>
      </c>
      <c r="C160" s="19">
        <v>10</v>
      </c>
      <c r="D160" s="14" t="s">
        <v>160</v>
      </c>
      <c r="E160" s="18"/>
    </row>
    <row r="161" spans="1:5">
      <c r="A161" s="27"/>
      <c r="B161" s="14"/>
      <c r="C161" s="14"/>
      <c r="D161" s="14"/>
      <c r="E161" s="18"/>
    </row>
    <row r="162" spans="1:5">
      <c r="A162" s="27"/>
      <c r="B162" s="14" t="s">
        <v>5</v>
      </c>
      <c r="C162" s="21">
        <v>6.1789999999999998E-2</v>
      </c>
      <c r="D162" s="14" t="s">
        <v>157</v>
      </c>
      <c r="E162" s="18"/>
    </row>
    <row r="163" spans="1:5">
      <c r="A163" s="29"/>
      <c r="B163" s="23"/>
      <c r="C163" s="23"/>
      <c r="D163" s="23"/>
      <c r="E163" s="24"/>
    </row>
    <row r="164" spans="1:5">
      <c r="A164" s="27"/>
      <c r="B164" s="14"/>
      <c r="C164" s="14"/>
      <c r="D164" s="14"/>
      <c r="E164" s="18"/>
    </row>
    <row r="165" spans="1:5">
      <c r="A165" s="27" t="s">
        <v>32</v>
      </c>
      <c r="B165" s="14"/>
      <c r="C165" s="14"/>
      <c r="D165" s="14"/>
      <c r="E165" s="18"/>
    </row>
    <row r="166" spans="1:5">
      <c r="A166" s="27"/>
      <c r="B166" s="14" t="s">
        <v>5</v>
      </c>
      <c r="C166" s="14"/>
      <c r="D166" s="14"/>
      <c r="E166" s="18"/>
    </row>
    <row r="167" spans="1:5">
      <c r="A167" s="27"/>
      <c r="B167" s="20" t="s">
        <v>422</v>
      </c>
      <c r="C167" s="21">
        <v>9.7790000000000002E-2</v>
      </c>
      <c r="D167" s="14" t="s">
        <v>157</v>
      </c>
      <c r="E167" s="18"/>
    </row>
    <row r="168" spans="1:5">
      <c r="A168" s="27"/>
      <c r="B168" s="20" t="s">
        <v>381</v>
      </c>
      <c r="C168" s="21">
        <v>8.7790000000000007E-2</v>
      </c>
      <c r="D168" s="14" t="s">
        <v>157</v>
      </c>
      <c r="E168" s="18"/>
    </row>
    <row r="169" spans="1:5">
      <c r="A169" s="27"/>
      <c r="B169" s="14"/>
      <c r="C169" s="14"/>
      <c r="D169" s="14"/>
      <c r="E169" s="18"/>
    </row>
    <row r="170" spans="1:5">
      <c r="A170" s="27"/>
      <c r="B170" s="14" t="s">
        <v>414</v>
      </c>
      <c r="C170" s="25">
        <v>1200</v>
      </c>
      <c r="D170" s="14" t="s">
        <v>160</v>
      </c>
      <c r="E170" s="18"/>
    </row>
    <row r="171" spans="1:5">
      <c r="A171" s="29"/>
      <c r="B171" s="23"/>
      <c r="C171" s="23"/>
      <c r="D171" s="23"/>
      <c r="E171" s="24"/>
    </row>
    <row r="172" spans="1:5">
      <c r="A172" s="28"/>
      <c r="B172" s="15"/>
      <c r="C172" s="15"/>
      <c r="D172" s="15"/>
      <c r="E172" s="16"/>
    </row>
    <row r="173" spans="1:5">
      <c r="A173" s="27" t="s">
        <v>56</v>
      </c>
      <c r="B173" s="14"/>
      <c r="C173" s="14"/>
      <c r="D173" s="14"/>
      <c r="E173" s="18"/>
    </row>
    <row r="174" spans="1:5">
      <c r="A174" s="27" t="s">
        <v>2</v>
      </c>
      <c r="B174" s="14"/>
      <c r="C174" s="14"/>
      <c r="D174" s="14"/>
      <c r="E174" s="18"/>
    </row>
    <row r="175" spans="1:5">
      <c r="A175" s="27"/>
      <c r="B175" s="14" t="s">
        <v>70</v>
      </c>
      <c r="C175" s="14"/>
      <c r="D175" s="14"/>
      <c r="E175" s="18"/>
    </row>
    <row r="176" spans="1:5">
      <c r="A176" s="27"/>
      <c r="B176" s="14" t="s">
        <v>72</v>
      </c>
      <c r="C176" s="14"/>
      <c r="D176" s="14"/>
      <c r="E176" s="18"/>
    </row>
    <row r="177" spans="1:5">
      <c r="A177" s="27"/>
      <c r="B177" s="20" t="s">
        <v>75</v>
      </c>
      <c r="C177" s="19">
        <v>5.9</v>
      </c>
      <c r="D177" s="14" t="s">
        <v>160</v>
      </c>
      <c r="E177" s="18"/>
    </row>
    <row r="178" spans="1:5">
      <c r="A178" s="27"/>
      <c r="B178" s="20" t="s">
        <v>80</v>
      </c>
      <c r="C178" s="19">
        <v>6.32</v>
      </c>
      <c r="D178" s="14" t="s">
        <v>160</v>
      </c>
      <c r="E178" s="18"/>
    </row>
    <row r="179" spans="1:5">
      <c r="A179" s="27"/>
      <c r="B179" s="20" t="s">
        <v>83</v>
      </c>
      <c r="C179" s="19">
        <v>7.05</v>
      </c>
      <c r="D179" s="14" t="s">
        <v>160</v>
      </c>
      <c r="E179" s="18"/>
    </row>
    <row r="180" spans="1:5">
      <c r="A180" s="27"/>
      <c r="B180" s="20" t="s">
        <v>85</v>
      </c>
      <c r="C180" s="19">
        <v>7.89</v>
      </c>
      <c r="D180" s="14" t="s">
        <v>160</v>
      </c>
      <c r="E180" s="18"/>
    </row>
    <row r="181" spans="1:5">
      <c r="A181" s="27"/>
      <c r="B181" s="20" t="s">
        <v>87</v>
      </c>
      <c r="C181" s="19">
        <v>12.16</v>
      </c>
      <c r="D181" s="14" t="s">
        <v>160</v>
      </c>
      <c r="E181" s="18"/>
    </row>
    <row r="182" spans="1:5">
      <c r="A182" s="27"/>
      <c r="B182" s="20" t="s">
        <v>91</v>
      </c>
      <c r="C182" s="19">
        <v>13.32</v>
      </c>
      <c r="D182" s="14" t="s">
        <v>160</v>
      </c>
      <c r="E182" s="18"/>
    </row>
    <row r="183" spans="1:5">
      <c r="A183" s="27"/>
      <c r="B183" s="20" t="s">
        <v>93</v>
      </c>
      <c r="C183" s="19">
        <v>18.16</v>
      </c>
      <c r="D183" s="14" t="s">
        <v>160</v>
      </c>
      <c r="E183" s="18"/>
    </row>
    <row r="184" spans="1:5">
      <c r="A184" s="27"/>
      <c r="B184" s="14"/>
      <c r="C184" s="14"/>
      <c r="D184" s="14"/>
      <c r="E184" s="18"/>
    </row>
    <row r="185" spans="1:5">
      <c r="A185" s="27"/>
      <c r="B185" s="14" t="s">
        <v>94</v>
      </c>
      <c r="C185" s="14"/>
      <c r="D185" s="14"/>
      <c r="E185" s="18"/>
    </row>
    <row r="186" spans="1:5">
      <c r="A186" s="27"/>
      <c r="B186" s="14" t="s">
        <v>72</v>
      </c>
      <c r="C186" s="14"/>
      <c r="D186" s="14"/>
      <c r="E186" s="18"/>
    </row>
    <row r="187" spans="1:5">
      <c r="A187" s="27"/>
      <c r="B187" s="20" t="s">
        <v>75</v>
      </c>
      <c r="C187" s="19">
        <v>8.9499999999999993</v>
      </c>
      <c r="D187" s="14" t="s">
        <v>160</v>
      </c>
      <c r="E187" s="18"/>
    </row>
    <row r="188" spans="1:5">
      <c r="A188" s="27"/>
      <c r="B188" s="20" t="s">
        <v>80</v>
      </c>
      <c r="C188" s="19">
        <v>9.32</v>
      </c>
      <c r="D188" s="14" t="s">
        <v>160</v>
      </c>
      <c r="E188" s="18"/>
    </row>
    <row r="189" spans="1:5">
      <c r="A189" s="27"/>
      <c r="B189" s="20" t="s">
        <v>83</v>
      </c>
      <c r="C189" s="19">
        <v>10.1</v>
      </c>
      <c r="D189" s="14" t="s">
        <v>160</v>
      </c>
      <c r="E189" s="18"/>
    </row>
    <row r="190" spans="1:5">
      <c r="A190" s="27"/>
      <c r="B190" s="20" t="s">
        <v>85</v>
      </c>
      <c r="C190" s="19">
        <v>10.89</v>
      </c>
      <c r="D190" s="14" t="s">
        <v>160</v>
      </c>
      <c r="E190" s="18"/>
    </row>
    <row r="191" spans="1:5">
      <c r="A191" s="27"/>
      <c r="B191" s="20" t="s">
        <v>87</v>
      </c>
      <c r="C191" s="19">
        <v>13.16</v>
      </c>
      <c r="D191" s="14" t="s">
        <v>160</v>
      </c>
      <c r="E191" s="18"/>
    </row>
    <row r="192" spans="1:5">
      <c r="A192" s="27"/>
      <c r="B192" s="20" t="s">
        <v>91</v>
      </c>
      <c r="C192" s="19">
        <v>14.32</v>
      </c>
      <c r="D192" s="14" t="s">
        <v>160</v>
      </c>
      <c r="E192" s="18"/>
    </row>
    <row r="193" spans="1:5">
      <c r="A193" s="27"/>
      <c r="B193" s="14"/>
      <c r="C193" s="14"/>
      <c r="D193" s="14"/>
      <c r="E193" s="18"/>
    </row>
    <row r="194" spans="1:5">
      <c r="A194" s="27"/>
      <c r="B194" s="14" t="s">
        <v>107</v>
      </c>
      <c r="C194" s="14"/>
      <c r="D194" s="14"/>
      <c r="E194" s="18"/>
    </row>
    <row r="195" spans="1:5">
      <c r="A195" s="27"/>
      <c r="B195" s="14" t="s">
        <v>108</v>
      </c>
      <c r="C195" s="14"/>
      <c r="D195" s="14"/>
      <c r="E195" s="18"/>
    </row>
    <row r="196" spans="1:5">
      <c r="A196" s="27"/>
      <c r="B196" s="20" t="s">
        <v>110</v>
      </c>
      <c r="C196" s="19">
        <v>5.82</v>
      </c>
      <c r="D196" s="14" t="s">
        <v>160</v>
      </c>
      <c r="E196" s="18"/>
    </row>
    <row r="197" spans="1:5">
      <c r="A197" s="27"/>
      <c r="B197" s="20" t="s">
        <v>112</v>
      </c>
      <c r="C197" s="19">
        <v>7.83</v>
      </c>
      <c r="D197" s="14" t="s">
        <v>160</v>
      </c>
      <c r="E197" s="18"/>
    </row>
    <row r="198" spans="1:5">
      <c r="A198" s="27"/>
      <c r="B198" s="20" t="s">
        <v>114</v>
      </c>
      <c r="C198" s="19">
        <v>13.41</v>
      </c>
      <c r="D198" s="14" t="s">
        <v>160</v>
      </c>
      <c r="E198" s="18"/>
    </row>
    <row r="199" spans="1:5">
      <c r="A199" s="27"/>
      <c r="B199" s="20" t="s">
        <v>116</v>
      </c>
      <c r="C199" s="19">
        <v>28.03</v>
      </c>
      <c r="D199" s="14" t="s">
        <v>160</v>
      </c>
      <c r="E199" s="18"/>
    </row>
    <row r="200" spans="1:5">
      <c r="A200" s="27"/>
      <c r="B200" s="20" t="s">
        <v>118</v>
      </c>
      <c r="C200" s="19">
        <v>25.03</v>
      </c>
      <c r="D200" s="14" t="s">
        <v>160</v>
      </c>
      <c r="E200" s="18"/>
    </row>
    <row r="201" spans="1:5">
      <c r="A201" s="27"/>
      <c r="B201" s="26" t="s">
        <v>119</v>
      </c>
      <c r="C201" s="14"/>
      <c r="D201" s="14"/>
      <c r="E201" s="18"/>
    </row>
    <row r="202" spans="1:5">
      <c r="A202" s="27"/>
      <c r="B202" s="20" t="s">
        <v>110</v>
      </c>
      <c r="C202" s="19">
        <v>4.22</v>
      </c>
      <c r="D202" s="14" t="s">
        <v>160</v>
      </c>
      <c r="E202" s="18"/>
    </row>
    <row r="203" spans="1:5">
      <c r="A203" s="27"/>
      <c r="B203" s="20" t="s">
        <v>112</v>
      </c>
      <c r="C203" s="19">
        <v>6.18</v>
      </c>
      <c r="D203" s="14" t="s">
        <v>160</v>
      </c>
      <c r="E203" s="18"/>
    </row>
    <row r="204" spans="1:5">
      <c r="A204" s="27"/>
      <c r="B204" s="20" t="s">
        <v>114</v>
      </c>
      <c r="C204" s="19">
        <v>8.31</v>
      </c>
      <c r="D204" s="14" t="s">
        <v>160</v>
      </c>
      <c r="E204" s="18"/>
    </row>
    <row r="205" spans="1:5">
      <c r="A205" s="27"/>
      <c r="B205" s="20" t="s">
        <v>116</v>
      </c>
      <c r="C205" s="19">
        <v>12.08</v>
      </c>
      <c r="D205" s="14" t="s">
        <v>160</v>
      </c>
      <c r="E205" s="18"/>
    </row>
    <row r="206" spans="1:5">
      <c r="A206" s="27"/>
      <c r="B206" s="14"/>
      <c r="C206" s="14"/>
      <c r="D206" s="14"/>
      <c r="E206" s="18"/>
    </row>
    <row r="207" spans="1:5">
      <c r="A207" s="27" t="s">
        <v>11</v>
      </c>
      <c r="B207" s="14"/>
      <c r="C207" s="14"/>
      <c r="D207" s="14"/>
      <c r="E207" s="18"/>
    </row>
    <row r="208" spans="1:5">
      <c r="A208" s="27"/>
      <c r="B208" s="26" t="s">
        <v>4</v>
      </c>
      <c r="C208" s="19">
        <v>5</v>
      </c>
      <c r="D208" s="14" t="s">
        <v>160</v>
      </c>
      <c r="E208" s="18"/>
    </row>
    <row r="209" spans="1:5">
      <c r="A209" s="27"/>
      <c r="B209" s="14"/>
      <c r="C209" s="14"/>
      <c r="D209" s="14"/>
      <c r="E209" s="18"/>
    </row>
    <row r="210" spans="1:5">
      <c r="A210" s="27"/>
      <c r="B210" s="14" t="s">
        <v>5</v>
      </c>
      <c r="C210" s="21">
        <v>7.7789999999999998E-2</v>
      </c>
      <c r="D210" s="14" t="s">
        <v>157</v>
      </c>
      <c r="E210" s="18"/>
    </row>
    <row r="211" spans="1:5">
      <c r="A211" s="27"/>
      <c r="B211" s="14"/>
      <c r="C211" s="14"/>
      <c r="D211" s="14"/>
      <c r="E211" s="18"/>
    </row>
    <row r="212" spans="1:5">
      <c r="A212" s="27"/>
      <c r="B212" s="14" t="s">
        <v>72</v>
      </c>
      <c r="C212" s="14"/>
      <c r="D212" s="14"/>
      <c r="E212" s="18"/>
    </row>
    <row r="213" spans="1:5">
      <c r="A213" s="27"/>
      <c r="B213" s="20" t="s">
        <v>75</v>
      </c>
      <c r="C213" s="19">
        <v>1.55</v>
      </c>
      <c r="D213" s="14" t="s">
        <v>160</v>
      </c>
      <c r="E213" s="18"/>
    </row>
    <row r="214" spans="1:5">
      <c r="A214" s="27"/>
      <c r="B214" s="20" t="s">
        <v>80</v>
      </c>
      <c r="C214" s="19">
        <v>2.2200000000000002</v>
      </c>
      <c r="D214" s="14" t="s">
        <v>160</v>
      </c>
      <c r="E214" s="18"/>
    </row>
    <row r="215" spans="1:5">
      <c r="A215" s="27"/>
      <c r="B215" s="20" t="s">
        <v>83</v>
      </c>
      <c r="C215" s="19">
        <v>3.1</v>
      </c>
      <c r="D215" s="14" t="s">
        <v>160</v>
      </c>
      <c r="E215" s="18"/>
    </row>
    <row r="216" spans="1:5">
      <c r="A216" s="27"/>
      <c r="B216" s="20" t="s">
        <v>85</v>
      </c>
      <c r="C216" s="19">
        <v>4.4400000000000004</v>
      </c>
      <c r="D216" s="14" t="s">
        <v>160</v>
      </c>
      <c r="E216" s="18"/>
    </row>
    <row r="217" spans="1:5">
      <c r="A217" s="27"/>
      <c r="B217" s="20" t="s">
        <v>87</v>
      </c>
      <c r="C217" s="19">
        <v>6.66</v>
      </c>
      <c r="D217" s="14" t="s">
        <v>160</v>
      </c>
      <c r="E217" s="18"/>
    </row>
    <row r="218" spans="1:5">
      <c r="A218" s="27"/>
      <c r="B218" s="20" t="s">
        <v>91</v>
      </c>
      <c r="C218" s="19">
        <v>8.32</v>
      </c>
      <c r="D218" s="14" t="s">
        <v>160</v>
      </c>
      <c r="E218" s="18"/>
    </row>
    <row r="219" spans="1:5">
      <c r="A219" s="27"/>
      <c r="B219" s="20" t="s">
        <v>93</v>
      </c>
      <c r="C219" s="19">
        <v>12.76</v>
      </c>
      <c r="D219" s="14" t="s">
        <v>160</v>
      </c>
      <c r="E219" s="18"/>
    </row>
    <row r="220" spans="1:5">
      <c r="A220" s="27"/>
      <c r="B220" s="20" t="s">
        <v>126</v>
      </c>
      <c r="C220" s="21">
        <v>7.7789999999999998E-2</v>
      </c>
      <c r="D220" s="14" t="s">
        <v>157</v>
      </c>
      <c r="E220" s="18"/>
    </row>
    <row r="221" spans="1:5">
      <c r="A221" s="29"/>
      <c r="B221" s="23"/>
      <c r="C221" s="23"/>
      <c r="D221" s="23"/>
      <c r="E221" s="24"/>
    </row>
    <row r="222" spans="1:5">
      <c r="A222" s="27" t="s">
        <v>18</v>
      </c>
      <c r="B222" s="14"/>
      <c r="C222" s="14"/>
      <c r="D222" s="14"/>
      <c r="E222" s="18"/>
    </row>
    <row r="223" spans="1:5">
      <c r="A223" s="27"/>
      <c r="B223" s="14" t="s">
        <v>127</v>
      </c>
      <c r="C223" s="14"/>
      <c r="D223" s="14"/>
      <c r="E223" s="18"/>
    </row>
    <row r="224" spans="1:5">
      <c r="A224" s="27"/>
      <c r="B224" s="14" t="s">
        <v>72</v>
      </c>
      <c r="C224" s="14"/>
      <c r="D224" s="14"/>
      <c r="E224" s="18"/>
    </row>
    <row r="225" spans="1:5">
      <c r="A225" s="27"/>
      <c r="B225" s="20" t="s">
        <v>75</v>
      </c>
      <c r="C225" s="19">
        <v>8.9499999999999993</v>
      </c>
      <c r="D225" s="14" t="s">
        <v>160</v>
      </c>
      <c r="E225" s="18"/>
    </row>
    <row r="226" spans="1:5">
      <c r="A226" s="27"/>
      <c r="B226" s="20" t="s">
        <v>80</v>
      </c>
      <c r="C226" s="19">
        <v>9.32</v>
      </c>
      <c r="D226" s="14" t="s">
        <v>160</v>
      </c>
      <c r="E226" s="18"/>
    </row>
    <row r="227" spans="1:5">
      <c r="A227" s="27"/>
      <c r="B227" s="20" t="s">
        <v>83</v>
      </c>
      <c r="C227" s="19">
        <v>10.1</v>
      </c>
      <c r="D227" s="14" t="s">
        <v>160</v>
      </c>
      <c r="E227" s="18"/>
    </row>
    <row r="228" spans="1:5">
      <c r="A228" s="27"/>
      <c r="B228" s="20" t="s">
        <v>85</v>
      </c>
      <c r="C228" s="19">
        <v>10.89</v>
      </c>
      <c r="D228" s="14" t="s">
        <v>160</v>
      </c>
      <c r="E228" s="18"/>
    </row>
    <row r="229" spans="1:5">
      <c r="A229" s="27"/>
      <c r="B229" s="20" t="s">
        <v>87</v>
      </c>
      <c r="C229" s="19">
        <v>13.16</v>
      </c>
      <c r="D229" s="14" t="s">
        <v>160</v>
      </c>
      <c r="E229" s="18"/>
    </row>
    <row r="230" spans="1:5">
      <c r="A230" s="27"/>
      <c r="B230" s="20" t="s">
        <v>91</v>
      </c>
      <c r="C230" s="19">
        <v>14.32</v>
      </c>
      <c r="D230" s="14" t="s">
        <v>160</v>
      </c>
      <c r="E230" s="18"/>
    </row>
    <row r="231" spans="1:5">
      <c r="A231" s="27"/>
      <c r="B231" s="26" t="s">
        <v>135</v>
      </c>
      <c r="C231" s="19"/>
      <c r="D231" s="14"/>
      <c r="E231" s="18"/>
    </row>
    <row r="232" spans="1:5">
      <c r="A232" s="27"/>
      <c r="B232" s="20" t="s">
        <v>137</v>
      </c>
      <c r="C232" s="19">
        <v>5.78</v>
      </c>
      <c r="D232" s="14" t="s">
        <v>160</v>
      </c>
      <c r="E232" s="18"/>
    </row>
    <row r="233" spans="1:5">
      <c r="A233" s="27"/>
      <c r="B233" s="14"/>
      <c r="C233" s="14"/>
      <c r="D233" s="14"/>
      <c r="E233" s="18"/>
    </row>
    <row r="234" spans="1:5">
      <c r="A234" s="27" t="s">
        <v>23</v>
      </c>
      <c r="B234" s="14"/>
      <c r="C234" s="14"/>
      <c r="D234" s="14"/>
      <c r="E234" s="18"/>
    </row>
    <row r="235" spans="1:5">
      <c r="A235" s="27"/>
      <c r="B235" s="26" t="s">
        <v>4</v>
      </c>
      <c r="C235" s="19">
        <v>5</v>
      </c>
      <c r="D235" s="14" t="s">
        <v>160</v>
      </c>
      <c r="E235" s="18"/>
    </row>
    <row r="236" spans="1:5">
      <c r="A236" s="27"/>
      <c r="B236" s="14"/>
      <c r="C236" s="14"/>
      <c r="D236" s="14"/>
      <c r="E236" s="18"/>
    </row>
    <row r="237" spans="1:5">
      <c r="A237" s="27"/>
      <c r="B237" s="14" t="s">
        <v>5</v>
      </c>
      <c r="C237" s="21">
        <v>4.5289999999999997E-2</v>
      </c>
      <c r="D237" s="14" t="s">
        <v>157</v>
      </c>
      <c r="E237" s="18"/>
    </row>
    <row r="238" spans="1:5">
      <c r="A238" s="27"/>
      <c r="B238" s="14"/>
      <c r="C238" s="14"/>
      <c r="D238" s="14"/>
      <c r="E238" s="18"/>
    </row>
    <row r="239" spans="1:5">
      <c r="A239" s="27" t="s">
        <v>25</v>
      </c>
      <c r="B239" s="14"/>
      <c r="C239" s="14"/>
      <c r="D239" s="14"/>
      <c r="E239" s="18"/>
    </row>
    <row r="240" spans="1:5">
      <c r="A240" s="27"/>
      <c r="B240" s="14" t="s">
        <v>5</v>
      </c>
      <c r="C240" s="21">
        <v>5.9290000000000002E-2</v>
      </c>
      <c r="D240" s="14" t="s">
        <v>157</v>
      </c>
      <c r="E240" s="18"/>
    </row>
    <row r="241" spans="1:5">
      <c r="A241" s="27"/>
      <c r="B241" s="14"/>
      <c r="C241" s="14"/>
      <c r="D241" s="14"/>
      <c r="E241" s="18"/>
    </row>
    <row r="242" spans="1:5">
      <c r="A242" s="27" t="s">
        <v>26</v>
      </c>
      <c r="B242" s="14"/>
      <c r="C242" s="14"/>
      <c r="D242" s="14"/>
      <c r="E242" s="18"/>
    </row>
    <row r="243" spans="1:5">
      <c r="A243" s="27"/>
      <c r="B243" s="14" t="s">
        <v>4</v>
      </c>
      <c r="C243" s="19">
        <v>5</v>
      </c>
      <c r="D243" s="14" t="s">
        <v>160</v>
      </c>
      <c r="E243" s="18"/>
    </row>
    <row r="244" spans="1:5">
      <c r="A244" s="27"/>
      <c r="B244" s="14"/>
      <c r="C244" s="14"/>
      <c r="D244" s="14"/>
      <c r="E244" s="18"/>
    </row>
    <row r="245" spans="1:5">
      <c r="A245" s="27"/>
      <c r="B245" s="14" t="s">
        <v>5</v>
      </c>
      <c r="C245" s="21">
        <v>4.5289999999999997E-2</v>
      </c>
      <c r="D245" s="14" t="s">
        <v>157</v>
      </c>
      <c r="E245" s="18"/>
    </row>
    <row r="246" spans="1:5">
      <c r="A246" s="27"/>
      <c r="B246" s="14"/>
      <c r="C246" s="14"/>
      <c r="D246" s="14"/>
      <c r="E246" s="18"/>
    </row>
    <row r="247" spans="1:5">
      <c r="A247" s="27" t="s">
        <v>27</v>
      </c>
      <c r="B247" s="14"/>
      <c r="C247" s="14"/>
      <c r="D247" s="14"/>
      <c r="E247" s="18"/>
    </row>
    <row r="248" spans="1:5">
      <c r="A248" s="27"/>
      <c r="B248" s="14" t="s">
        <v>7</v>
      </c>
      <c r="C248" s="19">
        <v>1.51</v>
      </c>
      <c r="D248" s="14" t="s">
        <v>169</v>
      </c>
      <c r="E248" s="18"/>
    </row>
    <row r="249" spans="1:5">
      <c r="A249" s="27"/>
      <c r="B249" s="14"/>
      <c r="C249" s="14"/>
      <c r="D249" s="14"/>
      <c r="E249" s="18"/>
    </row>
    <row r="250" spans="1:5">
      <c r="A250" s="27" t="s">
        <v>28</v>
      </c>
      <c r="B250" s="14"/>
      <c r="C250" s="14"/>
      <c r="D250" s="14"/>
      <c r="E250" s="18"/>
    </row>
    <row r="251" spans="1:5">
      <c r="A251" s="27"/>
      <c r="B251" s="14" t="s">
        <v>7</v>
      </c>
      <c r="C251" s="19">
        <v>7.51</v>
      </c>
      <c r="D251" s="14" t="s">
        <v>170</v>
      </c>
      <c r="E251" s="18"/>
    </row>
    <row r="252" spans="1:5">
      <c r="A252" s="27"/>
      <c r="B252" s="14"/>
      <c r="C252" s="14"/>
      <c r="D252" s="14"/>
      <c r="E252" s="18"/>
    </row>
    <row r="253" spans="1:5">
      <c r="A253" s="27" t="s">
        <v>29</v>
      </c>
      <c r="B253" s="14"/>
      <c r="C253" s="14"/>
      <c r="D253" s="14"/>
      <c r="E253" s="18"/>
    </row>
    <row r="254" spans="1:5">
      <c r="A254" s="27"/>
      <c r="B254" s="14" t="s">
        <v>7</v>
      </c>
      <c r="C254" s="19">
        <v>2</v>
      </c>
      <c r="D254" s="14" t="s">
        <v>171</v>
      </c>
      <c r="E254" s="18"/>
    </row>
    <row r="255" spans="1:5">
      <c r="A255" s="29"/>
      <c r="B255" s="23"/>
      <c r="C255" s="23"/>
      <c r="D255" s="23"/>
      <c r="E255" s="24"/>
    </row>
    <row r="256" spans="1:5">
      <c r="A256" s="355"/>
      <c r="B256" s="356"/>
      <c r="C256" s="356"/>
      <c r="D256" s="356"/>
      <c r="E256" s="357"/>
    </row>
    <row r="257" spans="1:5">
      <c r="A257" s="27" t="s">
        <v>144</v>
      </c>
      <c r="B257" s="14"/>
      <c r="C257" s="14"/>
      <c r="D257" s="14"/>
      <c r="E257" s="18"/>
    </row>
    <row r="258" spans="1:5">
      <c r="A258" s="27"/>
      <c r="B258" s="14" t="s">
        <v>7</v>
      </c>
      <c r="C258" s="14"/>
      <c r="D258" s="14"/>
      <c r="E258" s="18"/>
    </row>
    <row r="259" spans="1:5">
      <c r="A259" s="17"/>
      <c r="B259" s="42" t="s">
        <v>423</v>
      </c>
      <c r="C259" s="19">
        <v>0</v>
      </c>
      <c r="D259" s="14" t="s">
        <v>160</v>
      </c>
      <c r="E259" s="18"/>
    </row>
    <row r="260" spans="1:5">
      <c r="A260" s="17"/>
      <c r="B260" s="42" t="s">
        <v>424</v>
      </c>
      <c r="C260" s="19">
        <v>0</v>
      </c>
      <c r="D260" s="14" t="s">
        <v>160</v>
      </c>
      <c r="E260" s="18"/>
    </row>
    <row r="261" spans="1:5">
      <c r="A261" s="17"/>
      <c r="B261" s="42" t="s">
        <v>425</v>
      </c>
      <c r="C261" s="19">
        <v>0</v>
      </c>
      <c r="D261" s="14" t="s">
        <v>160</v>
      </c>
      <c r="E261" s="18"/>
    </row>
    <row r="262" spans="1:5">
      <c r="A262" s="358"/>
      <c r="B262" s="359"/>
      <c r="C262" s="359"/>
      <c r="D262" s="359"/>
      <c r="E262" s="360"/>
    </row>
  </sheetData>
  <mergeCells count="1">
    <mergeCell ref="A7:L7"/>
  </mergeCells>
  <pageMargins left="0.7" right="0.7" top="0.75" bottom="0.75" header="0.3" footer="0.3"/>
  <pageSetup scale="66" fitToHeight="0" orientation="portrait" r:id="rId1"/>
  <headerFooter>
    <oddHeader>&amp;LDocket NEPR-AP-2023-0003
&amp;RSchedule M-1
Page &amp;P of &amp;N</oddHeader>
    <oddFooter>&amp;RRendered: &amp;D &amp;T</oddFooter>
  </headerFooter>
  <rowBreaks count="4" manualBreakCount="4">
    <brk id="53" max="7" man="1"/>
    <brk id="119" max="7" man="1"/>
    <brk id="163" max="7" man="1"/>
    <brk id="221" max="7"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C282A-CD9B-4EA0-8C36-675EC00DDFE9}">
  <sheetPr codeName="Sheet12">
    <tabColor theme="4" tint="0.39997558519241921"/>
  </sheetPr>
  <dimension ref="A1:M69"/>
  <sheetViews>
    <sheetView workbookViewId="0"/>
  </sheetViews>
  <sheetFormatPr defaultColWidth="8.5" defaultRowHeight="13.8" outlineLevelRow="1"/>
  <cols>
    <col min="1" max="1" width="2" style="1" customWidth="1"/>
    <col min="2" max="2" width="6.796875" style="1" customWidth="1"/>
    <col min="3" max="3" width="78.5" style="1" customWidth="1"/>
    <col min="4" max="4" width="39" style="317" customWidth="1"/>
    <col min="5" max="16384" width="8.5" style="1"/>
  </cols>
  <sheetData>
    <row r="1" spans="2:4" ht="20.399999999999999">
      <c r="C1" s="394" t="s">
        <v>426</v>
      </c>
    </row>
    <row r="4" spans="2:4" ht="6" customHeight="1" thickBot="1"/>
    <row r="5" spans="2:4" ht="61.5" customHeight="1" thickBot="1">
      <c r="B5" s="318" t="s">
        <v>427</v>
      </c>
      <c r="C5" s="319" t="s">
        <v>304</v>
      </c>
      <c r="D5" s="319" t="s">
        <v>428</v>
      </c>
    </row>
    <row r="6" spans="2:4" ht="18" customHeight="1" thickTop="1" thickBot="1">
      <c r="B6" s="320">
        <v>1</v>
      </c>
      <c r="C6" s="321" t="s">
        <v>335</v>
      </c>
      <c r="D6" s="322"/>
    </row>
    <row r="7" spans="2:4" ht="18" customHeight="1" thickBot="1">
      <c r="B7" s="323">
        <f>IF(C7&lt;&gt;0,MAX(B4:B6)+1,"")</f>
        <v>2</v>
      </c>
      <c r="C7" s="324" t="s">
        <v>429</v>
      </c>
      <c r="D7" s="323"/>
    </row>
    <row r="8" spans="2:4" ht="18" customHeight="1" thickBot="1">
      <c r="B8" s="323" t="str">
        <f t="shared" ref="B8:B66" si="0">IF(C8&lt;&gt;0,MAX(B5:B7)+1,"")</f>
        <v/>
      </c>
      <c r="C8" s="324"/>
      <c r="D8" s="323"/>
    </row>
    <row r="9" spans="2:4" ht="18" customHeight="1" thickBot="1">
      <c r="B9" s="323">
        <f t="shared" si="0"/>
        <v>3</v>
      </c>
      <c r="C9" s="325" t="s">
        <v>430</v>
      </c>
      <c r="D9" s="326"/>
    </row>
    <row r="10" spans="2:4" ht="18" customHeight="1" thickBot="1">
      <c r="B10" s="323">
        <f t="shared" si="0"/>
        <v>4</v>
      </c>
      <c r="C10" s="324" t="s">
        <v>305</v>
      </c>
      <c r="D10" s="327" t="s">
        <v>335</v>
      </c>
    </row>
    <row r="11" spans="2:4" ht="18" customHeight="1" thickBot="1">
      <c r="B11" s="323">
        <f t="shared" si="0"/>
        <v>5</v>
      </c>
      <c r="C11" s="324" t="s">
        <v>431</v>
      </c>
      <c r="D11" s="328"/>
    </row>
    <row r="12" spans="2:4" ht="18" customHeight="1" thickBot="1">
      <c r="B12" s="323">
        <f t="shared" si="0"/>
        <v>6</v>
      </c>
      <c r="C12" s="329" t="s">
        <v>432</v>
      </c>
      <c r="D12" s="330"/>
    </row>
    <row r="13" spans="2:4" ht="18" customHeight="1" thickBot="1">
      <c r="B13" s="331" t="str">
        <f t="shared" si="0"/>
        <v/>
      </c>
      <c r="C13" s="332"/>
      <c r="D13" s="331"/>
    </row>
    <row r="14" spans="2:4" ht="18" customHeight="1" outlineLevel="1" thickBot="1">
      <c r="B14" s="323">
        <f t="shared" si="0"/>
        <v>7</v>
      </c>
      <c r="C14" s="333" t="s">
        <v>433</v>
      </c>
      <c r="D14" s="334"/>
    </row>
    <row r="15" spans="2:4" ht="18" customHeight="1" outlineLevel="1" thickBot="1">
      <c r="B15" s="323">
        <f t="shared" si="0"/>
        <v>8</v>
      </c>
      <c r="C15" s="335" t="s">
        <v>307</v>
      </c>
      <c r="D15" s="336"/>
    </row>
    <row r="16" spans="2:4" ht="18" customHeight="1" outlineLevel="1" thickBot="1">
      <c r="B16" s="323">
        <f t="shared" si="0"/>
        <v>9</v>
      </c>
      <c r="C16" s="337" t="s">
        <v>337</v>
      </c>
      <c r="D16" s="343"/>
    </row>
    <row r="17" spans="2:4" ht="18" customHeight="1" outlineLevel="1" thickBot="1">
      <c r="B17" s="323">
        <f t="shared" si="0"/>
        <v>10</v>
      </c>
      <c r="C17" s="335" t="s">
        <v>308</v>
      </c>
      <c r="D17" s="330"/>
    </row>
    <row r="18" spans="2:4" ht="18" customHeight="1" outlineLevel="1" thickBot="1">
      <c r="B18" s="323">
        <f t="shared" si="0"/>
        <v>11</v>
      </c>
      <c r="C18" s="335" t="s">
        <v>309</v>
      </c>
      <c r="D18" s="336"/>
    </row>
    <row r="19" spans="2:4" ht="18" customHeight="1" outlineLevel="1" thickBot="1">
      <c r="B19" s="323">
        <f t="shared" si="0"/>
        <v>12</v>
      </c>
      <c r="C19" s="337" t="s">
        <v>310</v>
      </c>
      <c r="D19" s="343"/>
    </row>
    <row r="20" spans="2:4" ht="18" customHeight="1" outlineLevel="1" thickBot="1">
      <c r="B20" s="323">
        <f t="shared" si="0"/>
        <v>13</v>
      </c>
      <c r="C20" s="337" t="s">
        <v>311</v>
      </c>
      <c r="D20" s="343"/>
    </row>
    <row r="21" spans="2:4" ht="18" customHeight="1" outlineLevel="1" thickBot="1">
      <c r="B21" s="323">
        <f t="shared" si="0"/>
        <v>14</v>
      </c>
      <c r="C21" s="337" t="s">
        <v>312</v>
      </c>
      <c r="D21" s="343"/>
    </row>
    <row r="22" spans="2:4" ht="18" customHeight="1" outlineLevel="1" thickBot="1">
      <c r="B22" s="323">
        <f t="shared" si="0"/>
        <v>15</v>
      </c>
      <c r="C22" s="337" t="s">
        <v>313</v>
      </c>
      <c r="D22" s="343"/>
    </row>
    <row r="23" spans="2:4" ht="18" customHeight="1" outlineLevel="1" thickBot="1">
      <c r="B23" s="323">
        <f t="shared" si="0"/>
        <v>16</v>
      </c>
      <c r="C23" s="337" t="s">
        <v>314</v>
      </c>
      <c r="D23" s="343"/>
    </row>
    <row r="24" spans="2:4" ht="18" customHeight="1" outlineLevel="1" thickBot="1">
      <c r="B24" s="323">
        <f t="shared" si="0"/>
        <v>17</v>
      </c>
      <c r="C24" s="337" t="s">
        <v>315</v>
      </c>
      <c r="D24" s="343"/>
    </row>
    <row r="25" spans="2:4" ht="18" customHeight="1" outlineLevel="1" thickBot="1">
      <c r="B25" s="323">
        <f t="shared" si="0"/>
        <v>18</v>
      </c>
      <c r="C25" s="337" t="s">
        <v>316</v>
      </c>
      <c r="D25" s="343"/>
    </row>
    <row r="26" spans="2:4" ht="18" customHeight="1" outlineLevel="1" thickBot="1">
      <c r="B26" s="323">
        <f t="shared" si="0"/>
        <v>19</v>
      </c>
      <c r="C26" s="337" t="s">
        <v>317</v>
      </c>
      <c r="D26" s="343" t="s">
        <v>434</v>
      </c>
    </row>
    <row r="27" spans="2:4" ht="18" customHeight="1" outlineLevel="1" thickBot="1">
      <c r="B27" s="323">
        <f t="shared" si="0"/>
        <v>20</v>
      </c>
      <c r="C27" s="337" t="s">
        <v>318</v>
      </c>
      <c r="D27" s="343"/>
    </row>
    <row r="28" spans="2:4" ht="18" customHeight="1" outlineLevel="1" thickBot="1">
      <c r="B28" s="323">
        <f t="shared" si="0"/>
        <v>21</v>
      </c>
      <c r="C28" s="337" t="s">
        <v>319</v>
      </c>
      <c r="D28" s="343"/>
    </row>
    <row r="29" spans="2:4" ht="18" customHeight="1" outlineLevel="1" thickBot="1">
      <c r="B29" s="323">
        <f t="shared" si="0"/>
        <v>22</v>
      </c>
      <c r="C29" s="337" t="s">
        <v>320</v>
      </c>
      <c r="D29" s="343"/>
    </row>
    <row r="30" spans="2:4" ht="18" customHeight="1" outlineLevel="1" thickBot="1">
      <c r="B30" s="323">
        <f t="shared" si="0"/>
        <v>23</v>
      </c>
      <c r="C30" s="335" t="s">
        <v>321</v>
      </c>
      <c r="D30" s="330"/>
    </row>
    <row r="31" spans="2:4" ht="18" customHeight="1" outlineLevel="1" thickBot="1">
      <c r="B31" s="323">
        <f t="shared" si="0"/>
        <v>24</v>
      </c>
      <c r="C31" s="335" t="s">
        <v>322</v>
      </c>
      <c r="D31" s="336"/>
    </row>
    <row r="32" spans="2:4" ht="18" customHeight="1" outlineLevel="1" thickBot="1">
      <c r="B32" s="323">
        <f t="shared" si="0"/>
        <v>25</v>
      </c>
      <c r="C32" s="337" t="s">
        <v>324</v>
      </c>
      <c r="D32" s="343"/>
    </row>
    <row r="33" spans="2:4" ht="18" customHeight="1" thickBot="1">
      <c r="B33" s="323">
        <f t="shared" si="0"/>
        <v>26</v>
      </c>
      <c r="C33" s="335" t="s">
        <v>435</v>
      </c>
      <c r="D33" s="330"/>
    </row>
    <row r="34" spans="2:4" ht="18" customHeight="1" outlineLevel="1" thickBot="1">
      <c r="B34" s="323" t="str">
        <f t="shared" si="0"/>
        <v/>
      </c>
      <c r="C34" s="335"/>
      <c r="D34" s="334"/>
    </row>
    <row r="35" spans="2:4" ht="18" customHeight="1" outlineLevel="1" thickBot="1">
      <c r="B35" s="323">
        <f t="shared" si="0"/>
        <v>27</v>
      </c>
      <c r="C35" s="333" t="s">
        <v>436</v>
      </c>
      <c r="D35" s="334"/>
    </row>
    <row r="36" spans="2:4" ht="18" customHeight="1" outlineLevel="1" thickBot="1">
      <c r="B36" s="323">
        <f t="shared" si="0"/>
        <v>28</v>
      </c>
      <c r="C36" s="335" t="s">
        <v>437</v>
      </c>
      <c r="D36" s="336"/>
    </row>
    <row r="37" spans="2:4" ht="18" customHeight="1" outlineLevel="1" thickBot="1">
      <c r="B37" s="323">
        <f t="shared" si="0"/>
        <v>29</v>
      </c>
      <c r="C37" s="337" t="s">
        <v>325</v>
      </c>
      <c r="D37" s="343" t="s">
        <v>434</v>
      </c>
    </row>
    <row r="38" spans="2:4" ht="18" customHeight="1" outlineLevel="1" thickBot="1">
      <c r="B38" s="323">
        <f t="shared" si="0"/>
        <v>30</v>
      </c>
      <c r="C38" s="337" t="s">
        <v>333</v>
      </c>
      <c r="D38" s="343"/>
    </row>
    <row r="39" spans="2:4" ht="18" customHeight="1" outlineLevel="1" thickBot="1">
      <c r="B39" s="323">
        <f t="shared" si="0"/>
        <v>31</v>
      </c>
      <c r="C39" s="337" t="s">
        <v>332</v>
      </c>
      <c r="D39" s="343"/>
    </row>
    <row r="40" spans="2:4" ht="18" customHeight="1" outlineLevel="1" thickBot="1">
      <c r="B40" s="323">
        <f t="shared" si="0"/>
        <v>32</v>
      </c>
      <c r="C40" s="337" t="s">
        <v>326</v>
      </c>
      <c r="D40" s="343"/>
    </row>
    <row r="41" spans="2:4" ht="18" customHeight="1" outlineLevel="1" thickBot="1">
      <c r="B41" s="323">
        <f t="shared" si="0"/>
        <v>33</v>
      </c>
      <c r="C41" s="337" t="s">
        <v>327</v>
      </c>
      <c r="D41" s="343"/>
    </row>
    <row r="42" spans="2:4" ht="18" customHeight="1" outlineLevel="1" thickBot="1">
      <c r="B42" s="323">
        <f t="shared" si="0"/>
        <v>34</v>
      </c>
      <c r="C42" s="337" t="s">
        <v>328</v>
      </c>
      <c r="D42" s="343"/>
    </row>
    <row r="43" spans="2:4" ht="18" customHeight="1" outlineLevel="1" thickBot="1">
      <c r="B43" s="323">
        <f t="shared" si="0"/>
        <v>35</v>
      </c>
      <c r="C43" s="337" t="s">
        <v>306</v>
      </c>
      <c r="D43" s="343"/>
    </row>
    <row r="44" spans="2:4" ht="18" customHeight="1" outlineLevel="1" thickBot="1">
      <c r="B44" s="323">
        <f t="shared" si="0"/>
        <v>36</v>
      </c>
      <c r="C44" s="335" t="s">
        <v>438</v>
      </c>
      <c r="D44" s="338"/>
    </row>
    <row r="45" spans="2:4" ht="18" customHeight="1" outlineLevel="1" thickBot="1">
      <c r="B45" s="323">
        <f t="shared" si="0"/>
        <v>37</v>
      </c>
      <c r="C45" s="337" t="s">
        <v>324</v>
      </c>
      <c r="D45" s="343"/>
    </row>
    <row r="46" spans="2:4" ht="18" customHeight="1" thickBot="1">
      <c r="B46" s="323">
        <f t="shared" si="0"/>
        <v>38</v>
      </c>
      <c r="C46" s="339" t="s">
        <v>439</v>
      </c>
      <c r="D46" s="340"/>
    </row>
    <row r="47" spans="2:4" ht="18" customHeight="1" thickBot="1">
      <c r="B47" s="323" t="str">
        <f t="shared" si="0"/>
        <v/>
      </c>
      <c r="C47" s="341"/>
      <c r="D47" s="342"/>
    </row>
    <row r="48" spans="2:4" ht="18" customHeight="1" thickBot="1">
      <c r="B48" s="323">
        <f t="shared" si="0"/>
        <v>39</v>
      </c>
      <c r="C48" s="335" t="s">
        <v>440</v>
      </c>
      <c r="D48" s="330"/>
    </row>
    <row r="49" spans="1:13" ht="18" customHeight="1" thickBot="1">
      <c r="B49" s="323" t="str">
        <f t="shared" si="0"/>
        <v/>
      </c>
      <c r="C49" s="341"/>
      <c r="D49" s="328"/>
    </row>
    <row r="50" spans="1:13" ht="18" customHeight="1" thickBot="1">
      <c r="B50" s="323">
        <f t="shared" si="0"/>
        <v>40</v>
      </c>
      <c r="C50" s="339" t="s">
        <v>441</v>
      </c>
      <c r="D50" s="343"/>
    </row>
    <row r="51" spans="1:13" ht="18" customHeight="1" thickBot="1">
      <c r="B51" s="323" t="str">
        <f t="shared" si="0"/>
        <v/>
      </c>
      <c r="C51" s="333"/>
      <c r="D51" s="330"/>
    </row>
    <row r="52" spans="1:13" s="333" customFormat="1" ht="18" customHeight="1" thickBot="1">
      <c r="A52" s="1"/>
      <c r="B52" s="323">
        <f t="shared" si="0"/>
        <v>41</v>
      </c>
      <c r="C52" s="335" t="s">
        <v>442</v>
      </c>
      <c r="D52" s="336"/>
      <c r="F52" s="1"/>
      <c r="G52" s="1"/>
      <c r="H52" s="1"/>
      <c r="I52" s="1"/>
      <c r="J52" s="1"/>
      <c r="K52" s="1"/>
      <c r="L52" s="1"/>
      <c r="M52" s="1"/>
    </row>
    <row r="53" spans="1:13" s="333" customFormat="1" ht="18" customHeight="1" thickBot="1">
      <c r="A53" s="1"/>
      <c r="B53" s="323">
        <f t="shared" si="0"/>
        <v>42</v>
      </c>
      <c r="C53" s="325" t="s">
        <v>443</v>
      </c>
      <c r="D53" s="343" t="s">
        <v>336</v>
      </c>
      <c r="E53" s="344"/>
      <c r="F53" s="1"/>
      <c r="G53" s="1"/>
      <c r="H53" s="1"/>
      <c r="I53" s="1"/>
      <c r="J53" s="1"/>
      <c r="K53" s="1"/>
      <c r="L53" s="1"/>
      <c r="M53" s="1"/>
    </row>
    <row r="54" spans="1:13" s="333" customFormat="1" ht="18" customHeight="1" thickBot="1">
      <c r="A54" s="1"/>
      <c r="B54" s="323">
        <f t="shared" si="0"/>
        <v>43</v>
      </c>
      <c r="C54" s="325" t="s">
        <v>444</v>
      </c>
      <c r="D54" s="343" t="s">
        <v>336</v>
      </c>
      <c r="E54" s="344"/>
      <c r="F54" s="1"/>
      <c r="G54" s="1"/>
      <c r="H54" s="1"/>
      <c r="I54" s="1"/>
      <c r="J54" s="1"/>
      <c r="K54" s="1"/>
      <c r="L54" s="1"/>
      <c r="M54" s="1"/>
    </row>
    <row r="55" spans="1:13" s="333" customFormat="1" ht="18" customHeight="1" thickBot="1">
      <c r="A55" s="1"/>
      <c r="B55" s="323">
        <f t="shared" si="0"/>
        <v>44</v>
      </c>
      <c r="C55" s="325" t="s">
        <v>445</v>
      </c>
      <c r="D55" s="343" t="s">
        <v>336</v>
      </c>
      <c r="E55" s="344"/>
      <c r="F55" s="1"/>
      <c r="G55" s="1"/>
      <c r="H55" s="1"/>
      <c r="I55" s="1"/>
      <c r="J55" s="1"/>
      <c r="K55" s="1"/>
      <c r="L55" s="1"/>
      <c r="M55" s="1"/>
    </row>
    <row r="56" spans="1:13" s="333" customFormat="1" ht="18" customHeight="1" thickBot="1">
      <c r="A56" s="1"/>
      <c r="B56" s="323">
        <f t="shared" si="0"/>
        <v>45</v>
      </c>
      <c r="C56" s="335" t="s">
        <v>446</v>
      </c>
      <c r="D56" s="330"/>
    </row>
    <row r="57" spans="1:13" s="333" customFormat="1" ht="18" customHeight="1" thickBot="1">
      <c r="A57" s="1"/>
      <c r="B57" s="323" t="str">
        <f t="shared" si="0"/>
        <v/>
      </c>
      <c r="C57" s="324"/>
      <c r="D57" s="323"/>
    </row>
    <row r="58" spans="1:13" s="333" customFormat="1" ht="18" customHeight="1" outlineLevel="1" thickBot="1">
      <c r="A58" s="1"/>
      <c r="B58" s="323">
        <f t="shared" si="0"/>
        <v>46</v>
      </c>
      <c r="C58" s="335" t="s">
        <v>447</v>
      </c>
      <c r="D58" s="336"/>
    </row>
    <row r="59" spans="1:13" s="333" customFormat="1" ht="18" customHeight="1" outlineLevel="1" thickBot="1">
      <c r="A59" s="1"/>
      <c r="B59" s="323">
        <f t="shared" si="0"/>
        <v>47</v>
      </c>
      <c r="C59" s="325" t="s">
        <v>323</v>
      </c>
      <c r="D59" s="343" t="s">
        <v>448</v>
      </c>
      <c r="E59" s="344"/>
    </row>
    <row r="60" spans="1:13" s="333" customFormat="1" ht="18" customHeight="1" outlineLevel="1" thickBot="1">
      <c r="A60" s="1"/>
      <c r="B60" s="323">
        <f t="shared" si="0"/>
        <v>48</v>
      </c>
      <c r="C60" s="325" t="s">
        <v>449</v>
      </c>
      <c r="D60" s="343" t="s">
        <v>336</v>
      </c>
      <c r="E60" s="344"/>
    </row>
    <row r="61" spans="1:13" s="333" customFormat="1" ht="18" customHeight="1" outlineLevel="1" thickBot="1">
      <c r="A61" s="1"/>
      <c r="B61" s="323">
        <f t="shared" si="0"/>
        <v>49</v>
      </c>
      <c r="C61" s="325" t="s">
        <v>450</v>
      </c>
      <c r="D61" s="343" t="s">
        <v>335</v>
      </c>
      <c r="E61" s="344"/>
    </row>
    <row r="62" spans="1:13" s="333" customFormat="1" ht="18" customHeight="1" outlineLevel="1" thickBot="1">
      <c r="A62" s="1"/>
      <c r="B62" s="323">
        <f t="shared" si="0"/>
        <v>50</v>
      </c>
      <c r="C62" s="325" t="s">
        <v>451</v>
      </c>
      <c r="D62" s="343" t="s">
        <v>335</v>
      </c>
      <c r="E62" s="344"/>
    </row>
    <row r="63" spans="1:13" s="333" customFormat="1" ht="18" customHeight="1" thickBot="1">
      <c r="A63" s="1"/>
      <c r="B63" s="323">
        <f t="shared" si="0"/>
        <v>51</v>
      </c>
      <c r="C63" s="335" t="s">
        <v>452</v>
      </c>
      <c r="D63" s="330"/>
    </row>
    <row r="64" spans="1:13" s="333" customFormat="1" ht="18" customHeight="1" thickBot="1">
      <c r="A64" s="1"/>
      <c r="B64" s="323" t="str">
        <f t="shared" si="0"/>
        <v/>
      </c>
      <c r="C64" s="324"/>
      <c r="D64" s="328"/>
    </row>
    <row r="65" spans="1:4" s="333" customFormat="1" ht="18" customHeight="1" thickBot="1">
      <c r="A65" s="1"/>
      <c r="B65" s="323">
        <f t="shared" si="0"/>
        <v>52</v>
      </c>
      <c r="C65" s="333" t="s">
        <v>453</v>
      </c>
      <c r="D65" s="330"/>
    </row>
    <row r="66" spans="1:4" s="333" customFormat="1" ht="18" customHeight="1" thickBot="1">
      <c r="A66" s="1"/>
      <c r="B66" s="323" t="str">
        <f t="shared" si="0"/>
        <v/>
      </c>
      <c r="D66" s="334"/>
    </row>
    <row r="67" spans="1:4" s="333" customFormat="1" ht="18" customHeight="1" thickBot="1">
      <c r="A67" s="1"/>
      <c r="B67" s="323"/>
      <c r="D67" s="334"/>
    </row>
    <row r="68" spans="1:4" ht="18" customHeight="1" thickBot="1">
      <c r="C68" s="333"/>
      <c r="D68" s="334"/>
    </row>
    <row r="69" spans="1:4" ht="18" thickBot="1">
      <c r="C69" s="333"/>
      <c r="D69" s="334"/>
    </row>
  </sheetData>
  <pageMargins left="0.7" right="0.7" top="0.75" bottom="0.75" header="0.3" footer="0.3"/>
  <pageSetup orientation="portrait" r:id="rId1"/>
  <headerFooter>
    <oddHeader>&amp;L&amp;"Calibri"&amp;10&amp;K0000FFTRADING PARTNER&amp;1#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7ED38-8109-442D-9DBC-0D03144F78E1}">
  <sheetPr>
    <tabColor theme="9" tint="0.79998168889431442"/>
  </sheetPr>
  <dimension ref="A1:U160"/>
  <sheetViews>
    <sheetView workbookViewId="0">
      <selection activeCell="A2" sqref="A2"/>
    </sheetView>
  </sheetViews>
  <sheetFormatPr defaultRowHeight="13.8"/>
  <cols>
    <col min="1" max="1" width="3.8984375" style="773" customWidth="1"/>
    <col min="2" max="2" width="42.19921875" style="773" customWidth="1"/>
    <col min="3" max="3" width="1.5" style="773" customWidth="1"/>
    <col min="4" max="4" width="13.69921875" style="773" customWidth="1"/>
    <col min="5" max="5" width="10.5" style="773" customWidth="1"/>
    <col min="6" max="6" width="7.796875" style="773" customWidth="1"/>
    <col min="7" max="21" width="8.69921875" style="665"/>
  </cols>
  <sheetData>
    <row r="1" spans="1:8">
      <c r="D1" s="774"/>
      <c r="E1" s="774"/>
      <c r="F1" s="774"/>
    </row>
    <row r="2" spans="1:8">
      <c r="B2" s="1571" t="s">
        <v>531</v>
      </c>
      <c r="C2" s="1572"/>
      <c r="D2" s="1573"/>
      <c r="E2" s="692"/>
      <c r="F2" s="692"/>
    </row>
    <row r="3" spans="1:8">
      <c r="B3" s="775" t="s">
        <v>526</v>
      </c>
      <c r="C3" s="776"/>
      <c r="D3" s="777">
        <f>Dashboard!C2</f>
        <v>2027</v>
      </c>
      <c r="E3" s="778"/>
      <c r="F3" s="778"/>
    </row>
    <row r="4" spans="1:8">
      <c r="B4" s="784" t="s">
        <v>689</v>
      </c>
      <c r="C4" s="785"/>
      <c r="D4" s="781" t="b">
        <f>Dashboard!C3</f>
        <v>1</v>
      </c>
      <c r="E4" s="782"/>
      <c r="F4" s="783"/>
    </row>
    <row r="5" spans="1:8">
      <c r="B5" s="786"/>
      <c r="C5" s="786"/>
      <c r="D5" s="787"/>
      <c r="E5" s="787"/>
      <c r="F5" s="788"/>
    </row>
    <row r="6" spans="1:8" ht="26.4">
      <c r="A6" s="789"/>
      <c r="B6" s="790" t="s">
        <v>457</v>
      </c>
      <c r="C6" s="790"/>
      <c r="D6" s="791" t="s">
        <v>340</v>
      </c>
      <c r="E6" s="792" t="s">
        <v>697</v>
      </c>
      <c r="F6" s="793"/>
    </row>
    <row r="7" spans="1:8">
      <c r="A7" s="794"/>
      <c r="B7" s="795"/>
      <c r="C7" s="795"/>
      <c r="D7" s="796"/>
      <c r="E7" s="795"/>
      <c r="F7" s="795"/>
    </row>
    <row r="8" spans="1:8">
      <c r="A8" s="794"/>
      <c r="B8" s="797" t="s">
        <v>377</v>
      </c>
      <c r="C8" s="797"/>
      <c r="D8" s="796"/>
      <c r="E8" s="795"/>
      <c r="F8" s="795"/>
    </row>
    <row r="9" spans="1:8">
      <c r="A9" s="794"/>
      <c r="B9" s="795"/>
      <c r="C9" s="795"/>
      <c r="D9" s="796"/>
      <c r="E9" s="795"/>
      <c r="F9" s="795"/>
    </row>
    <row r="10" spans="1:8">
      <c r="A10" s="794"/>
      <c r="B10" s="795" t="s">
        <v>461</v>
      </c>
      <c r="C10" s="795"/>
      <c r="D10" s="798">
        <f>'Consumer Analysis'!E13</f>
        <v>4</v>
      </c>
      <c r="E10" s="799">
        <f>'Consumer Analysis'!K13</f>
        <v>8</v>
      </c>
      <c r="F10" s="795" t="str">
        <f>'Consumer Analysis'!L13</f>
        <v>per month</v>
      </c>
      <c r="G10" s="800"/>
      <c r="H10" s="799"/>
    </row>
    <row r="11" spans="1:8">
      <c r="A11" s="794"/>
      <c r="B11" s="795"/>
      <c r="C11" s="795"/>
      <c r="D11" s="801"/>
      <c r="E11" s="802"/>
      <c r="F11" s="795"/>
      <c r="G11" s="800"/>
      <c r="H11" s="802"/>
    </row>
    <row r="12" spans="1:8">
      <c r="A12" s="794"/>
      <c r="B12" s="795" t="s">
        <v>462</v>
      </c>
      <c r="C12" s="795"/>
      <c r="D12" s="801"/>
      <c r="E12" s="802"/>
      <c r="F12" s="795"/>
      <c r="G12" s="800"/>
      <c r="H12" s="802"/>
    </row>
    <row r="13" spans="1:8">
      <c r="A13" s="794"/>
      <c r="B13" s="803" t="s">
        <v>463</v>
      </c>
      <c r="C13" s="795"/>
      <c r="D13" s="804">
        <f>'Consumer Analysis'!E16</f>
        <v>8.3561999999999997E-2</v>
      </c>
      <c r="E13" s="805">
        <f>'Consumer Analysis'!K16</f>
        <v>8.6475341574253559E-2</v>
      </c>
      <c r="F13" s="806" t="str">
        <f>'Consumer Analysis'!L16</f>
        <v>per kWh</v>
      </c>
      <c r="G13" s="800"/>
      <c r="H13" s="805"/>
    </row>
    <row r="14" spans="1:8">
      <c r="A14" s="794"/>
      <c r="B14" s="803" t="s">
        <v>464</v>
      </c>
      <c r="C14" s="795"/>
      <c r="D14" s="804">
        <f>'Consumer Analysis'!E17</f>
        <v>8.9762000000000008E-2</v>
      </c>
      <c r="E14" s="802">
        <f>'Consumer Analysis'!K17</f>
        <v>8.6475341574253559E-2</v>
      </c>
      <c r="F14" s="806" t="str">
        <f>'Consumer Analysis'!L17</f>
        <v>per kWh</v>
      </c>
      <c r="G14" s="800"/>
      <c r="H14" s="802"/>
    </row>
    <row r="15" spans="1:8" ht="14.4" thickBot="1">
      <c r="A15" s="794"/>
      <c r="B15" s="807" t="s">
        <v>465</v>
      </c>
      <c r="C15" s="808"/>
      <c r="D15" s="809"/>
      <c r="E15" s="810"/>
      <c r="F15" s="811"/>
      <c r="G15" s="800"/>
    </row>
    <row r="16" spans="1:8" ht="14.4" thickTop="1">
      <c r="A16" s="794"/>
      <c r="B16" s="795"/>
      <c r="C16" s="795"/>
      <c r="D16" s="796"/>
      <c r="E16" s="812"/>
      <c r="F16" s="795"/>
      <c r="G16" s="800"/>
    </row>
    <row r="17" spans="1:7">
      <c r="A17" s="794"/>
      <c r="B17" s="813" t="s">
        <v>382</v>
      </c>
      <c r="C17" s="813"/>
      <c r="D17" s="814"/>
      <c r="E17" s="812"/>
      <c r="F17" s="812"/>
      <c r="G17" s="800"/>
    </row>
    <row r="18" spans="1:7">
      <c r="A18" s="794"/>
      <c r="B18" s="812"/>
      <c r="C18" s="812"/>
      <c r="D18" s="814"/>
      <c r="E18" s="812"/>
      <c r="F18" s="812"/>
      <c r="G18" s="800"/>
    </row>
    <row r="19" spans="1:7">
      <c r="A19" s="794"/>
      <c r="B19" s="812" t="s">
        <v>461</v>
      </c>
      <c r="C19" s="812"/>
      <c r="D19" s="815">
        <f>'Consumer Analysis'!E22</f>
        <v>3</v>
      </c>
      <c r="E19" s="799">
        <f>'Consumer Analysis'!K22</f>
        <v>5</v>
      </c>
      <c r="F19" s="812" t="str">
        <f>'Consumer Analysis'!L22</f>
        <v>per month</v>
      </c>
      <c r="G19" s="800"/>
    </row>
    <row r="20" spans="1:7">
      <c r="A20" s="794"/>
      <c r="B20" s="812"/>
      <c r="C20" s="812"/>
      <c r="D20" s="816"/>
      <c r="E20" s="817"/>
      <c r="F20" s="812"/>
      <c r="G20" s="800"/>
    </row>
    <row r="21" spans="1:7">
      <c r="A21" s="794"/>
      <c r="B21" s="812" t="s">
        <v>462</v>
      </c>
      <c r="C21" s="812"/>
      <c r="D21" s="816"/>
      <c r="E21" s="817"/>
      <c r="F21" s="812"/>
      <c r="G21" s="800"/>
    </row>
    <row r="22" spans="1:7">
      <c r="A22" s="794"/>
      <c r="B22" s="818" t="s">
        <v>463</v>
      </c>
      <c r="C22" s="812"/>
      <c r="D22" s="819">
        <f>'Consumer Analysis'!E25</f>
        <v>3.9731000000000002E-2</v>
      </c>
      <c r="E22" s="805">
        <f>'Consumer Analysis'!K25</f>
        <v>3.0019218592560987E-2</v>
      </c>
      <c r="F22" s="820" t="str">
        <f>'Consumer Analysis'!L25</f>
        <v>per kWh</v>
      </c>
      <c r="G22" s="800"/>
    </row>
    <row r="23" spans="1:7">
      <c r="A23" s="794"/>
      <c r="B23" s="818" t="s">
        <v>464</v>
      </c>
      <c r="C23" s="812"/>
      <c r="D23" s="819">
        <f>'Consumer Analysis'!E26</f>
        <v>7.4831000000000009E-2</v>
      </c>
      <c r="E23" s="802">
        <f>'Consumer Analysis'!K26</f>
        <v>8.6475341574253559E-2</v>
      </c>
      <c r="F23" s="820" t="str">
        <f>'Consumer Analysis'!L26</f>
        <v>per kWh</v>
      </c>
      <c r="G23" s="800"/>
    </row>
    <row r="24" spans="1:7" ht="14.4" thickBot="1">
      <c r="A24" s="794"/>
      <c r="B24" s="821" t="s">
        <v>467</v>
      </c>
      <c r="C24" s="822"/>
      <c r="D24" s="823"/>
      <c r="E24" s="824"/>
      <c r="F24" s="825"/>
      <c r="G24" s="800"/>
    </row>
    <row r="25" spans="1:7" ht="14.4" thickTop="1">
      <c r="A25" s="826"/>
      <c r="B25" s="812"/>
      <c r="C25" s="812"/>
      <c r="D25" s="814"/>
      <c r="E25" s="812"/>
      <c r="F25" s="812"/>
      <c r="G25" s="800"/>
    </row>
    <row r="26" spans="1:7">
      <c r="A26" s="794"/>
      <c r="B26" s="813" t="s">
        <v>383</v>
      </c>
      <c r="C26" s="813"/>
      <c r="D26" s="814"/>
      <c r="E26" s="812"/>
      <c r="F26" s="812"/>
      <c r="G26" s="800"/>
    </row>
    <row r="27" spans="1:7">
      <c r="A27" s="794"/>
      <c r="B27" s="812"/>
      <c r="C27" s="812"/>
      <c r="D27" s="814"/>
      <c r="E27" s="812"/>
      <c r="F27" s="812"/>
      <c r="G27" s="800"/>
    </row>
    <row r="28" spans="1:7">
      <c r="A28" s="794"/>
      <c r="B28" s="812" t="s">
        <v>461</v>
      </c>
      <c r="C28" s="812"/>
      <c r="D28" s="815">
        <f>'Consumer Analysis'!E31</f>
        <v>2</v>
      </c>
      <c r="E28" s="799">
        <f>'Consumer Analysis'!K31</f>
        <v>4</v>
      </c>
      <c r="F28" s="812" t="str">
        <f>'Consumer Analysis'!L31</f>
        <v>per month</v>
      </c>
      <c r="G28" s="800"/>
    </row>
    <row r="29" spans="1:7">
      <c r="A29" s="794"/>
      <c r="B29" s="812"/>
      <c r="C29" s="812"/>
      <c r="D29" s="816"/>
      <c r="E29" s="817"/>
      <c r="F29" s="812"/>
      <c r="G29" s="800"/>
    </row>
    <row r="30" spans="1:7">
      <c r="A30" s="794"/>
      <c r="B30" s="812" t="s">
        <v>462</v>
      </c>
      <c r="C30" s="812"/>
      <c r="D30" s="816"/>
      <c r="E30" s="817"/>
      <c r="F30" s="812"/>
      <c r="G30" s="800"/>
    </row>
    <row r="31" spans="1:7">
      <c r="A31" s="794"/>
      <c r="B31" s="818" t="s">
        <v>463</v>
      </c>
      <c r="C31" s="812"/>
      <c r="D31" s="819">
        <f>'Consumer Analysis'!E34</f>
        <v>2.6131000000000001E-2</v>
      </c>
      <c r="E31" s="805">
        <f>'Consumer Analysis'!K34</f>
        <v>3.1698788016998949E-2</v>
      </c>
      <c r="F31" s="820" t="str">
        <f>'Consumer Analysis'!L34</f>
        <v>per kWh</v>
      </c>
      <c r="G31" s="800"/>
    </row>
    <row r="32" spans="1:7">
      <c r="A32" s="794"/>
      <c r="B32" s="818" t="s">
        <v>464</v>
      </c>
      <c r="C32" s="812"/>
      <c r="D32" s="819">
        <f>'Consumer Analysis'!E35</f>
        <v>7.4831000000000009E-2</v>
      </c>
      <c r="E32" s="802">
        <f>'Consumer Analysis'!K35</f>
        <v>8.6475341574253559E-2</v>
      </c>
      <c r="F32" s="820" t="str">
        <f>'Consumer Analysis'!L35</f>
        <v>per kWh</v>
      </c>
      <c r="G32" s="800"/>
    </row>
    <row r="33" spans="1:7" ht="14.4" thickBot="1">
      <c r="A33" s="794"/>
      <c r="B33" s="821" t="s">
        <v>468</v>
      </c>
      <c r="C33" s="822"/>
      <c r="D33" s="823"/>
      <c r="E33" s="824"/>
      <c r="F33" s="825"/>
      <c r="G33" s="800"/>
    </row>
    <row r="34" spans="1:7" ht="14.4" thickTop="1">
      <c r="A34" s="826"/>
      <c r="B34" s="812"/>
      <c r="C34" s="812"/>
      <c r="D34" s="814"/>
      <c r="E34" s="812"/>
      <c r="F34" s="812"/>
      <c r="G34" s="800"/>
    </row>
    <row r="35" spans="1:7">
      <c r="A35" s="826"/>
      <c r="B35" s="813" t="s">
        <v>384</v>
      </c>
      <c r="C35" s="813"/>
      <c r="D35" s="814"/>
      <c r="E35" s="812"/>
      <c r="F35" s="812"/>
      <c r="G35" s="800"/>
    </row>
    <row r="36" spans="1:7">
      <c r="A36" s="826"/>
      <c r="B36" s="812"/>
      <c r="C36" s="812"/>
      <c r="D36" s="814"/>
      <c r="E36" s="812"/>
      <c r="F36" s="812"/>
      <c r="G36" s="800"/>
    </row>
    <row r="37" spans="1:7">
      <c r="A37" s="826"/>
      <c r="B37" s="812" t="s">
        <v>461</v>
      </c>
      <c r="C37" s="812"/>
      <c r="D37" s="815"/>
      <c r="E37" s="827"/>
      <c r="F37" s="812"/>
      <c r="G37" s="800"/>
    </row>
    <row r="38" spans="1:7">
      <c r="A38" s="826"/>
      <c r="B38" s="818" t="s">
        <v>63</v>
      </c>
      <c r="C38" s="812"/>
      <c r="D38" s="815">
        <f>'Consumer Analysis'!E41</f>
        <v>30</v>
      </c>
      <c r="E38" s="799">
        <f>'Consumer Analysis'!K41</f>
        <v>30</v>
      </c>
      <c r="F38" s="812" t="str">
        <f>'Consumer Analysis'!L41</f>
        <v>per month</v>
      </c>
      <c r="G38" s="800"/>
    </row>
    <row r="39" spans="1:7">
      <c r="A39" s="826"/>
      <c r="B39" s="818" t="s">
        <v>64</v>
      </c>
      <c r="C39" s="812"/>
      <c r="D39" s="815">
        <f>'Consumer Analysis'!E42</f>
        <v>40</v>
      </c>
      <c r="E39" s="799">
        <f>'Consumer Analysis'!K42</f>
        <v>40</v>
      </c>
      <c r="F39" s="812" t="str">
        <f>'Consumer Analysis'!L42</f>
        <v>per month</v>
      </c>
      <c r="G39" s="800"/>
    </row>
    <row r="40" spans="1:7">
      <c r="A40" s="826"/>
      <c r="B40" s="818" t="s">
        <v>65</v>
      </c>
      <c r="C40" s="812"/>
      <c r="D40" s="815">
        <f>'Consumer Analysis'!E43</f>
        <v>50</v>
      </c>
      <c r="E40" s="799">
        <f>'Consumer Analysis'!K43</f>
        <v>50</v>
      </c>
      <c r="F40" s="812" t="str">
        <f>'Consumer Analysis'!L43</f>
        <v>per month</v>
      </c>
      <c r="G40" s="800"/>
    </row>
    <row r="41" spans="1:7">
      <c r="A41" s="826"/>
      <c r="B41" s="812"/>
      <c r="C41" s="812"/>
      <c r="D41" s="816"/>
      <c r="E41" s="817"/>
      <c r="F41" s="812"/>
      <c r="G41" s="800"/>
    </row>
    <row r="42" spans="1:7">
      <c r="A42" s="826"/>
      <c r="B42" s="812" t="s">
        <v>462</v>
      </c>
      <c r="C42" s="812"/>
      <c r="D42" s="816"/>
      <c r="E42" s="817"/>
      <c r="F42" s="812"/>
      <c r="G42" s="800"/>
    </row>
    <row r="43" spans="1:7">
      <c r="A43" s="826"/>
      <c r="B43" s="818" t="s">
        <v>469</v>
      </c>
      <c r="C43" s="812"/>
      <c r="D43" s="819">
        <f>'Consumer Analysis'!E46</f>
        <v>7.4831000000000009E-2</v>
      </c>
      <c r="E43" s="828">
        <f>'Consumer Analysis'!K46</f>
        <v>8.6475373120593682E-2</v>
      </c>
      <c r="F43" s="820" t="str">
        <f>'Consumer Analysis'!L46</f>
        <v>per kWh</v>
      </c>
      <c r="G43" s="800"/>
    </row>
    <row r="44" spans="1:7">
      <c r="A44" s="826"/>
      <c r="B44" s="818" t="s">
        <v>470</v>
      </c>
      <c r="C44" s="812"/>
      <c r="D44" s="819">
        <f>'Consumer Analysis'!E47</f>
        <v>7.4831000000000009E-2</v>
      </c>
      <c r="E44" s="828">
        <f>'Consumer Analysis'!K47</f>
        <v>8.6475373120593682E-2</v>
      </c>
      <c r="F44" s="820" t="str">
        <f>'Consumer Analysis'!L47</f>
        <v>per kWh</v>
      </c>
      <c r="G44" s="800"/>
    </row>
    <row r="45" spans="1:7">
      <c r="A45" s="826"/>
      <c r="B45" s="818" t="s">
        <v>471</v>
      </c>
      <c r="C45" s="812"/>
      <c r="D45" s="819">
        <f>'Consumer Analysis'!E48</f>
        <v>7.4831000000000009E-2</v>
      </c>
      <c r="E45" s="828">
        <f>'Consumer Analysis'!K48</f>
        <v>8.6475373120593682E-2</v>
      </c>
      <c r="F45" s="820" t="str">
        <f>'Consumer Analysis'!L48</f>
        <v>per kWh</v>
      </c>
      <c r="G45" s="800"/>
    </row>
    <row r="46" spans="1:7">
      <c r="A46" s="826"/>
      <c r="B46" s="818"/>
      <c r="C46" s="812"/>
      <c r="D46" s="819"/>
      <c r="E46" s="828"/>
      <c r="F46" s="820"/>
      <c r="G46" s="800"/>
    </row>
    <row r="47" spans="1:7">
      <c r="A47" s="826"/>
      <c r="B47" s="818" t="s">
        <v>472</v>
      </c>
      <c r="C47" s="812"/>
      <c r="D47" s="819"/>
      <c r="E47" s="828"/>
      <c r="F47" s="820"/>
      <c r="G47" s="800"/>
    </row>
    <row r="48" spans="1:7" ht="14.4" thickBot="1">
      <c r="A48" s="826"/>
      <c r="B48" s="821" t="s">
        <v>473</v>
      </c>
      <c r="C48" s="822"/>
      <c r="D48" s="823"/>
      <c r="E48" s="824"/>
      <c r="F48" s="825"/>
      <c r="G48" s="800"/>
    </row>
    <row r="49" spans="1:7" ht="14.4" thickTop="1">
      <c r="A49" s="794"/>
      <c r="B49" s="829"/>
      <c r="C49" s="795"/>
      <c r="D49" s="830"/>
      <c r="E49" s="802"/>
      <c r="F49" s="806"/>
      <c r="G49" s="800"/>
    </row>
    <row r="50" spans="1:7">
      <c r="A50" s="794"/>
      <c r="B50" s="797" t="s">
        <v>392</v>
      </c>
      <c r="C50" s="797"/>
      <c r="D50" s="796"/>
      <c r="E50" s="795"/>
      <c r="F50" s="795"/>
      <c r="G50" s="800"/>
    </row>
    <row r="51" spans="1:7">
      <c r="A51" s="794"/>
      <c r="B51" s="795"/>
      <c r="C51" s="795"/>
      <c r="D51" s="796"/>
      <c r="E51" s="795"/>
      <c r="F51" s="795"/>
      <c r="G51" s="800"/>
    </row>
    <row r="52" spans="1:7">
      <c r="A52" s="794"/>
      <c r="B52" s="795" t="s">
        <v>461</v>
      </c>
      <c r="C52" s="795"/>
      <c r="D52" s="798">
        <f>'Consumer Analysis'!E55</f>
        <v>5</v>
      </c>
      <c r="E52" s="799">
        <f>'Consumer Analysis'!K55</f>
        <v>25</v>
      </c>
      <c r="F52" s="795" t="str">
        <f>'Consumer Analysis'!L55</f>
        <v>per month</v>
      </c>
      <c r="G52" s="800"/>
    </row>
    <row r="53" spans="1:7">
      <c r="A53" s="794"/>
      <c r="B53" s="795"/>
      <c r="C53" s="795"/>
      <c r="D53" s="801"/>
      <c r="E53" s="802"/>
      <c r="F53" s="795"/>
      <c r="G53" s="800"/>
    </row>
    <row r="54" spans="1:7">
      <c r="A54" s="794"/>
      <c r="B54" s="795" t="s">
        <v>462</v>
      </c>
      <c r="C54" s="795"/>
      <c r="D54" s="801"/>
      <c r="E54" s="802"/>
      <c r="F54" s="795"/>
      <c r="G54" s="800"/>
    </row>
    <row r="55" spans="1:7">
      <c r="A55" s="794"/>
      <c r="B55" s="803" t="s">
        <v>474</v>
      </c>
      <c r="C55" s="795"/>
      <c r="D55" s="804">
        <f>'Consumer Analysis'!E58</f>
        <v>0.118612</v>
      </c>
      <c r="E55" s="805">
        <f>'Consumer Analysis'!K58</f>
        <v>9.9763338781240926E-2</v>
      </c>
      <c r="F55" s="806" t="str">
        <f>'Consumer Analysis'!L58</f>
        <v>per kWh</v>
      </c>
      <c r="G55" s="800"/>
    </row>
    <row r="56" spans="1:7" ht="14.4" thickBot="1">
      <c r="A56" s="794"/>
      <c r="B56" s="807" t="s">
        <v>475</v>
      </c>
      <c r="C56" s="808"/>
      <c r="D56" s="809"/>
      <c r="E56" s="810"/>
      <c r="F56" s="811"/>
      <c r="G56" s="800"/>
    </row>
    <row r="57" spans="1:7" ht="14.4" thickTop="1">
      <c r="A57" s="794"/>
      <c r="B57" s="829"/>
      <c r="C57" s="795"/>
      <c r="D57" s="830"/>
      <c r="E57" s="802"/>
      <c r="F57" s="806"/>
      <c r="G57" s="800"/>
    </row>
    <row r="58" spans="1:7">
      <c r="A58" s="794"/>
      <c r="B58" s="797" t="s">
        <v>393</v>
      </c>
      <c r="C58" s="797"/>
      <c r="D58" s="796"/>
      <c r="E58" s="795"/>
      <c r="F58" s="795"/>
      <c r="G58" s="800"/>
    </row>
    <row r="59" spans="1:7">
      <c r="A59" s="794"/>
      <c r="B59" s="795"/>
      <c r="C59" s="795"/>
      <c r="D59" s="796"/>
      <c r="E59" s="795"/>
      <c r="F59" s="795"/>
      <c r="G59" s="800"/>
    </row>
    <row r="60" spans="1:7">
      <c r="A60" s="794"/>
      <c r="B60" s="795" t="s">
        <v>461</v>
      </c>
      <c r="C60" s="795"/>
      <c r="D60" s="798">
        <f>'Consumer Analysis'!E63</f>
        <v>200</v>
      </c>
      <c r="E60" s="799">
        <f>'Consumer Analysis'!K63</f>
        <v>335</v>
      </c>
      <c r="F60" s="795" t="str">
        <f>'Consumer Analysis'!L63</f>
        <v>per month</v>
      </c>
      <c r="G60" s="800"/>
    </row>
    <row r="61" spans="1:7">
      <c r="A61" s="794"/>
      <c r="B61" s="795"/>
      <c r="C61" s="795"/>
      <c r="D61" s="801"/>
      <c r="E61" s="802"/>
      <c r="F61" s="795"/>
      <c r="G61" s="800"/>
    </row>
    <row r="62" spans="1:7">
      <c r="A62" s="794"/>
      <c r="B62" s="795" t="s">
        <v>476</v>
      </c>
      <c r="C62" s="795"/>
      <c r="D62" s="801"/>
      <c r="E62" s="802"/>
      <c r="F62" s="795"/>
      <c r="G62" s="800"/>
    </row>
    <row r="63" spans="1:7">
      <c r="A63" s="794"/>
      <c r="B63" s="803" t="s">
        <v>477</v>
      </c>
      <c r="C63" s="795"/>
      <c r="D63" s="831">
        <f>'Consumer Analysis'!E66</f>
        <v>8.1</v>
      </c>
      <c r="E63" s="799">
        <f>'Consumer Analysis'!K66</f>
        <v>13.5</v>
      </c>
      <c r="F63" s="795" t="str">
        <f>'Consumer Analysis'!L66</f>
        <v>per kVA</v>
      </c>
      <c r="G63" s="800"/>
    </row>
    <row r="64" spans="1:7">
      <c r="A64" s="794"/>
      <c r="B64" s="803" t="s">
        <v>78</v>
      </c>
      <c r="C64" s="795"/>
      <c r="D64" s="831">
        <f>'Consumer Analysis'!E67</f>
        <v>10</v>
      </c>
      <c r="E64" s="799">
        <f>'Consumer Analysis'!K67</f>
        <v>16.600000000000001</v>
      </c>
      <c r="F64" s="795" t="str">
        <f>'Consumer Analysis'!L67</f>
        <v>per kVA</v>
      </c>
      <c r="G64" s="800"/>
    </row>
    <row r="65" spans="1:7">
      <c r="A65" s="794"/>
      <c r="B65" s="803"/>
      <c r="C65" s="795"/>
      <c r="D65" s="831"/>
      <c r="E65" s="832"/>
      <c r="F65" s="795"/>
      <c r="G65" s="800"/>
    </row>
    <row r="66" spans="1:7">
      <c r="A66" s="794"/>
      <c r="B66" s="795" t="s">
        <v>462</v>
      </c>
      <c r="C66" s="795"/>
      <c r="D66" s="801"/>
      <c r="E66" s="802"/>
      <c r="F66" s="795"/>
      <c r="G66" s="800"/>
    </row>
    <row r="67" spans="1:7">
      <c r="A67" s="794"/>
      <c r="B67" s="803" t="s">
        <v>478</v>
      </c>
      <c r="C67" s="795"/>
      <c r="D67" s="804">
        <f>'Consumer Analysis'!E70</f>
        <v>8.1061999999999995E-2</v>
      </c>
      <c r="E67" s="805">
        <f>'Consumer Analysis'!K70</f>
        <v>7.9975705024271718E-2</v>
      </c>
      <c r="F67" s="806" t="str">
        <f>'Consumer Analysis'!L70</f>
        <v>per kWh</v>
      </c>
      <c r="G67" s="800"/>
    </row>
    <row r="68" spans="1:7">
      <c r="A68" s="794"/>
      <c r="B68" s="803" t="s">
        <v>479</v>
      </c>
      <c r="C68" s="795"/>
      <c r="D68" s="804">
        <f>'Consumer Analysis'!E71</f>
        <v>7.3062000000000002E-2</v>
      </c>
      <c r="E68" s="802">
        <f>'Consumer Analysis'!K71</f>
        <v>7.1975705024271724E-2</v>
      </c>
      <c r="F68" s="806" t="str">
        <f>'Consumer Analysis'!L71</f>
        <v>per kWh</v>
      </c>
      <c r="G68" s="800"/>
    </row>
    <row r="69" spans="1:7" ht="14.4" thickBot="1">
      <c r="A69" s="794"/>
      <c r="B69" s="807" t="s">
        <v>480</v>
      </c>
      <c r="C69" s="808"/>
      <c r="D69" s="809"/>
      <c r="E69" s="810"/>
      <c r="F69" s="811"/>
      <c r="G69" s="800"/>
    </row>
    <row r="70" spans="1:7" ht="14.4" thickTop="1">
      <c r="A70" s="794"/>
      <c r="B70" s="795"/>
      <c r="C70" s="795"/>
      <c r="D70" s="796"/>
      <c r="E70" s="795"/>
      <c r="F70" s="795"/>
      <c r="G70" s="800"/>
    </row>
    <row r="71" spans="1:7">
      <c r="A71" s="826"/>
      <c r="B71" s="813" t="s">
        <v>396</v>
      </c>
      <c r="C71" s="813"/>
      <c r="D71" s="814"/>
      <c r="E71" s="812"/>
      <c r="F71" s="812"/>
      <c r="G71" s="800"/>
    </row>
    <row r="72" spans="1:7">
      <c r="A72" s="826"/>
      <c r="B72" s="812"/>
      <c r="C72" s="812"/>
      <c r="D72" s="814"/>
      <c r="E72" s="812"/>
      <c r="F72" s="812"/>
      <c r="G72" s="800"/>
    </row>
    <row r="73" spans="1:7">
      <c r="A73" s="826"/>
      <c r="B73" s="812" t="s">
        <v>461</v>
      </c>
      <c r="C73" s="812"/>
      <c r="D73" s="815">
        <f>'Consumer Analysis'!E76</f>
        <v>450</v>
      </c>
      <c r="E73" s="799">
        <f>'Consumer Analysis'!K76</f>
        <v>600</v>
      </c>
      <c r="F73" s="812" t="str">
        <f>'Consumer Analysis'!L76</f>
        <v>per month</v>
      </c>
      <c r="G73" s="800"/>
    </row>
    <row r="74" spans="1:7">
      <c r="A74" s="826"/>
      <c r="B74" s="812"/>
      <c r="C74" s="812"/>
      <c r="D74" s="816"/>
      <c r="E74" s="817"/>
      <c r="F74" s="812"/>
      <c r="G74" s="800"/>
    </row>
    <row r="75" spans="1:7">
      <c r="A75" s="826"/>
      <c r="B75" s="812" t="s">
        <v>476</v>
      </c>
      <c r="C75" s="812"/>
      <c r="D75" s="816"/>
      <c r="E75" s="817"/>
      <c r="F75" s="812"/>
      <c r="G75" s="800"/>
    </row>
    <row r="76" spans="1:7">
      <c r="A76" s="826"/>
      <c r="B76" s="818" t="s">
        <v>477</v>
      </c>
      <c r="C76" s="812"/>
      <c r="D76" s="833">
        <f>'Consumer Analysis'!E79</f>
        <v>7.7</v>
      </c>
      <c r="E76" s="799">
        <f>'Consumer Analysis'!K79</f>
        <v>10.199999999999999</v>
      </c>
      <c r="F76" s="812" t="str">
        <f>'Consumer Analysis'!L79</f>
        <v>per kVA</v>
      </c>
      <c r="G76" s="800"/>
    </row>
    <row r="77" spans="1:7">
      <c r="A77" s="826"/>
      <c r="B77" s="818" t="s">
        <v>78</v>
      </c>
      <c r="C77" s="812"/>
      <c r="D77" s="833">
        <f>'Consumer Analysis'!E80</f>
        <v>9.6</v>
      </c>
      <c r="E77" s="799">
        <f>'Consumer Analysis'!K80</f>
        <v>12.8</v>
      </c>
      <c r="F77" s="812" t="str">
        <f>'Consumer Analysis'!L80</f>
        <v>per kVA</v>
      </c>
      <c r="G77" s="800"/>
    </row>
    <row r="78" spans="1:7">
      <c r="A78" s="826"/>
      <c r="B78" s="818"/>
      <c r="C78" s="812"/>
      <c r="D78" s="833"/>
      <c r="E78" s="834"/>
      <c r="F78" s="812"/>
      <c r="G78" s="800"/>
    </row>
    <row r="79" spans="1:7">
      <c r="A79" s="826"/>
      <c r="B79" s="812" t="s">
        <v>462</v>
      </c>
      <c r="C79" s="812"/>
      <c r="D79" s="816"/>
      <c r="E79" s="817"/>
      <c r="F79" s="812"/>
      <c r="G79" s="800"/>
    </row>
    <row r="80" spans="1:7">
      <c r="A80" s="826"/>
      <c r="B80" s="818" t="s">
        <v>478</v>
      </c>
      <c r="C80" s="812"/>
      <c r="D80" s="819">
        <f>'Consumer Analysis'!E83</f>
        <v>7.062199999999999E-2</v>
      </c>
      <c r="E80" s="805">
        <f>'Consumer Analysis'!K83</f>
        <v>5.0794302258334721E-2</v>
      </c>
      <c r="F80" s="820" t="str">
        <f>'Consumer Analysis'!L83</f>
        <v>per kWh</v>
      </c>
      <c r="G80" s="800"/>
    </row>
    <row r="81" spans="1:7">
      <c r="A81" s="826"/>
      <c r="B81" s="818" t="s">
        <v>479</v>
      </c>
      <c r="C81" s="812"/>
      <c r="D81" s="819">
        <f>'Consumer Analysis'!E84</f>
        <v>6.6622000000000001E-2</v>
      </c>
      <c r="E81" s="802">
        <f>'Consumer Analysis'!K84</f>
        <v>4.6794302258334725E-2</v>
      </c>
      <c r="F81" s="820" t="str">
        <f>'Consumer Analysis'!L84</f>
        <v>per kWh</v>
      </c>
      <c r="G81" s="800"/>
    </row>
    <row r="82" spans="1:7" ht="14.4" thickBot="1">
      <c r="A82" s="826"/>
      <c r="B82" s="821" t="s">
        <v>481</v>
      </c>
      <c r="C82" s="822"/>
      <c r="D82" s="823"/>
      <c r="E82" s="824"/>
      <c r="F82" s="825"/>
      <c r="G82" s="800"/>
    </row>
    <row r="83" spans="1:7" ht="14.4" thickTop="1">
      <c r="A83" s="794"/>
      <c r="B83" s="795"/>
      <c r="C83" s="795"/>
      <c r="D83" s="796"/>
      <c r="E83" s="795"/>
      <c r="F83" s="795"/>
      <c r="G83" s="800"/>
    </row>
    <row r="84" spans="1:7">
      <c r="A84" s="794"/>
      <c r="B84" s="797" t="s">
        <v>397</v>
      </c>
      <c r="C84" s="797"/>
      <c r="D84" s="796"/>
      <c r="E84" s="795"/>
      <c r="F84" s="795"/>
      <c r="G84" s="800"/>
    </row>
    <row r="85" spans="1:7">
      <c r="A85" s="794"/>
      <c r="B85" s="795"/>
      <c r="C85" s="795"/>
      <c r="D85" s="796"/>
      <c r="E85" s="795"/>
      <c r="F85" s="795"/>
      <c r="G85" s="800"/>
    </row>
    <row r="86" spans="1:7">
      <c r="A86" s="794"/>
      <c r="B86" s="795" t="s">
        <v>461</v>
      </c>
      <c r="C86" s="795"/>
      <c r="D86" s="798">
        <f>'Consumer Analysis'!E89</f>
        <v>200</v>
      </c>
      <c r="E86" s="799">
        <f>'Consumer Analysis'!K89</f>
        <v>340</v>
      </c>
      <c r="F86" s="795" t="str">
        <f>'Consumer Analysis'!L89</f>
        <v>per month</v>
      </c>
      <c r="G86" s="800"/>
    </row>
    <row r="87" spans="1:7">
      <c r="A87" s="794"/>
      <c r="B87" s="795"/>
      <c r="C87" s="795"/>
      <c r="D87" s="801"/>
      <c r="E87" s="802"/>
      <c r="F87" s="795"/>
      <c r="G87" s="800"/>
    </row>
    <row r="88" spans="1:7">
      <c r="A88" s="794"/>
      <c r="B88" s="795" t="s">
        <v>476</v>
      </c>
      <c r="C88" s="795"/>
      <c r="D88" s="801"/>
      <c r="E88" s="802"/>
      <c r="F88" s="795"/>
      <c r="G88" s="800"/>
    </row>
    <row r="89" spans="1:7">
      <c r="A89" s="794"/>
      <c r="B89" s="803" t="s">
        <v>482</v>
      </c>
      <c r="C89" s="795"/>
      <c r="D89" s="831">
        <f>'Consumer Analysis'!E92</f>
        <v>8.1</v>
      </c>
      <c r="E89" s="799">
        <f>'Consumer Analysis'!K92</f>
        <v>13.8</v>
      </c>
      <c r="F89" s="795" t="str">
        <f>'Consumer Analysis'!L92</f>
        <v>per kVA</v>
      </c>
      <c r="G89" s="800"/>
    </row>
    <row r="90" spans="1:7">
      <c r="A90" s="794"/>
      <c r="B90" s="803" t="s">
        <v>483</v>
      </c>
      <c r="C90" s="795"/>
      <c r="D90" s="831">
        <f>'Consumer Analysis'!E93</f>
        <v>1.1000000000000001</v>
      </c>
      <c r="E90" s="799">
        <f>'Consumer Analysis'!K93</f>
        <v>1.9</v>
      </c>
      <c r="F90" s="795" t="str">
        <f>'Consumer Analysis'!L93</f>
        <v>per kVA</v>
      </c>
      <c r="G90" s="800"/>
    </row>
    <row r="91" spans="1:7">
      <c r="A91" s="794"/>
      <c r="B91" s="803"/>
      <c r="C91" s="795"/>
      <c r="D91" s="831"/>
      <c r="E91" s="832"/>
      <c r="F91" s="795"/>
      <c r="G91" s="800"/>
    </row>
    <row r="92" spans="1:7">
      <c r="A92" s="794"/>
      <c r="B92" s="795" t="s">
        <v>462</v>
      </c>
      <c r="C92" s="795"/>
      <c r="D92" s="801"/>
      <c r="E92" s="802"/>
      <c r="F92" s="795"/>
      <c r="G92" s="800"/>
    </row>
    <row r="93" spans="1:7">
      <c r="A93" s="794"/>
      <c r="B93" s="803" t="s">
        <v>484</v>
      </c>
      <c r="C93" s="795"/>
      <c r="D93" s="804">
        <f>'Consumer Analysis'!E96</f>
        <v>9.1911999999999994E-2</v>
      </c>
      <c r="E93" s="805">
        <f>'Consumer Analysis'!K96</f>
        <v>8.9914002983708149E-2</v>
      </c>
      <c r="F93" s="806" t="str">
        <f>'Consumer Analysis'!L96</f>
        <v>per kWh</v>
      </c>
      <c r="G93" s="800"/>
    </row>
    <row r="94" spans="1:7">
      <c r="A94" s="794"/>
      <c r="B94" s="803" t="s">
        <v>485</v>
      </c>
      <c r="C94" s="795"/>
      <c r="D94" s="804">
        <f>'Consumer Analysis'!E97</f>
        <v>5.2912000000000001E-2</v>
      </c>
      <c r="E94" s="802">
        <f>'Consumer Analysis'!K97</f>
        <v>5.091400298370815E-2</v>
      </c>
      <c r="F94" s="806" t="str">
        <f>'Consumer Analysis'!L97</f>
        <v>per kWh</v>
      </c>
      <c r="G94" s="800"/>
    </row>
    <row r="95" spans="1:7" ht="14.4" thickBot="1">
      <c r="A95" s="794"/>
      <c r="B95" s="807" t="s">
        <v>486</v>
      </c>
      <c r="C95" s="808"/>
      <c r="D95" s="809"/>
      <c r="E95" s="810"/>
      <c r="F95" s="811"/>
      <c r="G95" s="800"/>
    </row>
    <row r="96" spans="1:7" ht="14.4" thickTop="1">
      <c r="A96" s="794"/>
      <c r="B96" s="795"/>
      <c r="C96" s="795"/>
      <c r="D96" s="796"/>
      <c r="E96" s="795"/>
      <c r="F96" s="795"/>
      <c r="G96" s="800"/>
    </row>
    <row r="97" spans="1:7">
      <c r="A97" s="794"/>
      <c r="B97" s="797" t="s">
        <v>409</v>
      </c>
      <c r="C97" s="797"/>
      <c r="D97" s="796"/>
      <c r="E97" s="795"/>
      <c r="F97" s="795"/>
      <c r="G97" s="800"/>
    </row>
    <row r="98" spans="1:7">
      <c r="A98" s="794"/>
      <c r="B98" s="795"/>
      <c r="C98" s="795"/>
      <c r="D98" s="796"/>
      <c r="E98" s="795"/>
      <c r="F98" s="795"/>
      <c r="G98" s="800"/>
    </row>
    <row r="99" spans="1:7">
      <c r="A99" s="794"/>
      <c r="B99" s="795" t="s">
        <v>461</v>
      </c>
      <c r="C99" s="795"/>
      <c r="D99" s="798">
        <f>'Consumer Analysis'!E102</f>
        <v>450</v>
      </c>
      <c r="E99" s="799">
        <f>'Consumer Analysis'!K102</f>
        <v>615</v>
      </c>
      <c r="F99" s="795" t="str">
        <f>'Consumer Analysis'!L102</f>
        <v>per month</v>
      </c>
      <c r="G99" s="800"/>
    </row>
    <row r="100" spans="1:7">
      <c r="A100" s="794"/>
      <c r="B100" s="795"/>
      <c r="C100" s="795"/>
      <c r="D100" s="801"/>
      <c r="E100" s="802"/>
      <c r="F100" s="795"/>
      <c r="G100" s="800"/>
    </row>
    <row r="101" spans="1:7">
      <c r="A101" s="794"/>
      <c r="B101" s="795" t="s">
        <v>476</v>
      </c>
      <c r="C101" s="795"/>
      <c r="D101" s="801"/>
      <c r="E101" s="802"/>
      <c r="F101" s="795"/>
      <c r="G101" s="800"/>
    </row>
    <row r="102" spans="1:7">
      <c r="A102" s="794"/>
      <c r="B102" s="803" t="s">
        <v>482</v>
      </c>
      <c r="C102" s="795"/>
      <c r="D102" s="831">
        <f>'Consumer Analysis'!E105</f>
        <v>7.7</v>
      </c>
      <c r="E102" s="799">
        <f>'Consumer Analysis'!K105</f>
        <v>10.6</v>
      </c>
      <c r="F102" s="795" t="str">
        <f>'Consumer Analysis'!L105</f>
        <v>per kVA</v>
      </c>
      <c r="G102" s="800"/>
    </row>
    <row r="103" spans="1:7">
      <c r="A103" s="794"/>
      <c r="B103" s="803" t="s">
        <v>483</v>
      </c>
      <c r="C103" s="795"/>
      <c r="D103" s="831">
        <f>'Consumer Analysis'!E106</f>
        <v>1</v>
      </c>
      <c r="E103" s="799">
        <f>'Consumer Analysis'!K106</f>
        <v>1.4</v>
      </c>
      <c r="F103" s="795" t="str">
        <f>'Consumer Analysis'!L106</f>
        <v>per kVA</v>
      </c>
      <c r="G103" s="800"/>
    </row>
    <row r="104" spans="1:7">
      <c r="A104" s="794"/>
      <c r="B104" s="803"/>
      <c r="C104" s="795"/>
      <c r="D104" s="831"/>
      <c r="E104" s="832"/>
      <c r="F104" s="795"/>
      <c r="G104" s="800"/>
    </row>
    <row r="105" spans="1:7">
      <c r="A105" s="794"/>
      <c r="B105" s="795" t="s">
        <v>462</v>
      </c>
      <c r="C105" s="795"/>
      <c r="D105" s="801"/>
      <c r="E105" s="802"/>
      <c r="F105" s="795"/>
      <c r="G105" s="800"/>
    </row>
    <row r="106" spans="1:7">
      <c r="A106" s="794"/>
      <c r="B106" s="803" t="s">
        <v>484</v>
      </c>
      <c r="C106" s="795"/>
      <c r="D106" s="804">
        <f>'Consumer Analysis'!E109</f>
        <v>8.0911999999999998E-2</v>
      </c>
      <c r="E106" s="805">
        <f>'Consumer Analysis'!K109</f>
        <v>6.0610788957484049E-2</v>
      </c>
      <c r="F106" s="806" t="str">
        <f>'Consumer Analysis'!L109</f>
        <v>per kWh</v>
      </c>
      <c r="G106" s="800"/>
    </row>
    <row r="107" spans="1:7">
      <c r="A107" s="794"/>
      <c r="B107" s="803" t="s">
        <v>485</v>
      </c>
      <c r="C107" s="795"/>
      <c r="D107" s="804">
        <f>'Consumer Analysis'!E110</f>
        <v>5.1912E-2</v>
      </c>
      <c r="E107" s="802">
        <f>'Consumer Analysis'!K110</f>
        <v>3.1610788957484051E-2</v>
      </c>
      <c r="F107" s="806" t="str">
        <f>'Consumer Analysis'!L110</f>
        <v>per kWh</v>
      </c>
      <c r="G107" s="800"/>
    </row>
    <row r="108" spans="1:7" ht="14.4" thickBot="1">
      <c r="A108" s="794"/>
      <c r="B108" s="807" t="s">
        <v>487</v>
      </c>
      <c r="C108" s="808"/>
      <c r="D108" s="809"/>
      <c r="E108" s="810"/>
      <c r="F108" s="811"/>
      <c r="G108" s="800"/>
    </row>
    <row r="109" spans="1:7" ht="14.4" thickTop="1">
      <c r="A109" s="794"/>
      <c r="B109" s="795"/>
      <c r="C109" s="795"/>
      <c r="D109" s="796"/>
      <c r="E109" s="795"/>
      <c r="F109" s="795"/>
      <c r="G109" s="800"/>
    </row>
    <row r="110" spans="1:7">
      <c r="A110" s="794"/>
      <c r="B110" s="797" t="s">
        <v>411</v>
      </c>
      <c r="C110" s="797"/>
      <c r="D110" s="796"/>
      <c r="E110" s="795"/>
      <c r="F110" s="795"/>
      <c r="G110" s="800"/>
    </row>
    <row r="111" spans="1:7">
      <c r="A111" s="794"/>
      <c r="B111" s="795"/>
      <c r="C111" s="795"/>
      <c r="D111" s="796"/>
      <c r="E111" s="795"/>
      <c r="F111" s="795"/>
      <c r="G111" s="800"/>
    </row>
    <row r="112" spans="1:7">
      <c r="A112" s="794"/>
      <c r="B112" s="795" t="s">
        <v>461</v>
      </c>
      <c r="C112" s="795"/>
      <c r="D112" s="798">
        <f>'Consumer Analysis'!E115</f>
        <v>450</v>
      </c>
      <c r="E112" s="799">
        <f>'Consumer Analysis'!K115</f>
        <v>670</v>
      </c>
      <c r="F112" s="795" t="str">
        <f>'Consumer Analysis'!L115</f>
        <v>per month</v>
      </c>
      <c r="G112" s="800"/>
    </row>
    <row r="113" spans="1:7">
      <c r="A113" s="794"/>
      <c r="B113" s="795"/>
      <c r="C113" s="795"/>
      <c r="D113" s="801"/>
      <c r="E113" s="802"/>
      <c r="F113" s="795"/>
      <c r="G113" s="800"/>
    </row>
    <row r="114" spans="1:7">
      <c r="A114" s="794"/>
      <c r="B114" s="795" t="s">
        <v>476</v>
      </c>
      <c r="C114" s="795"/>
      <c r="D114" s="801"/>
      <c r="E114" s="802"/>
      <c r="F114" s="795"/>
      <c r="G114" s="800"/>
    </row>
    <row r="115" spans="1:7">
      <c r="A115" s="794"/>
      <c r="B115" s="803" t="s">
        <v>488</v>
      </c>
      <c r="C115" s="795"/>
      <c r="D115" s="831">
        <f>'Consumer Analysis'!E118</f>
        <v>6</v>
      </c>
      <c r="E115" s="799">
        <f>'Consumer Analysis'!K118</f>
        <v>8.9</v>
      </c>
      <c r="F115" s="795" t="str">
        <f>'Consumer Analysis'!L118</f>
        <v>per kVA</v>
      </c>
      <c r="G115" s="800"/>
    </row>
    <row r="116" spans="1:7">
      <c r="A116" s="794"/>
      <c r="B116" s="803" t="s">
        <v>78</v>
      </c>
      <c r="C116" s="795"/>
      <c r="D116" s="831">
        <f>'Consumer Analysis'!E119</f>
        <v>9.6</v>
      </c>
      <c r="E116" s="799">
        <f>'Consumer Analysis'!K119</f>
        <v>14.3</v>
      </c>
      <c r="F116" s="795" t="str">
        <f>'Consumer Analysis'!L119</f>
        <v>per kVA</v>
      </c>
      <c r="G116" s="800"/>
    </row>
    <row r="117" spans="1:7">
      <c r="A117" s="794"/>
      <c r="B117" s="803"/>
      <c r="C117" s="795"/>
      <c r="D117" s="831"/>
      <c r="E117" s="832"/>
      <c r="F117" s="795"/>
      <c r="G117" s="800"/>
    </row>
    <row r="118" spans="1:7">
      <c r="A118" s="794"/>
      <c r="B118" s="795" t="s">
        <v>462</v>
      </c>
      <c r="C118" s="795"/>
      <c r="D118" s="801"/>
      <c r="E118" s="802"/>
      <c r="F118" s="795"/>
      <c r="G118" s="800"/>
    </row>
    <row r="119" spans="1:7">
      <c r="A119" s="794"/>
      <c r="B119" s="803" t="s">
        <v>489</v>
      </c>
      <c r="C119" s="795"/>
      <c r="D119" s="804">
        <f>'Consumer Analysis'!E122</f>
        <v>5.9081999999999996E-2</v>
      </c>
      <c r="E119" s="805">
        <f>'Consumer Analysis'!K122</f>
        <v>3.9957933400595641E-2</v>
      </c>
      <c r="F119" s="806" t="str">
        <f>'Consumer Analysis'!L122</f>
        <v>per kWh</v>
      </c>
      <c r="G119" s="800"/>
    </row>
    <row r="120" spans="1:7">
      <c r="A120" s="794"/>
      <c r="B120" s="803" t="s">
        <v>490</v>
      </c>
      <c r="C120" s="795"/>
      <c r="D120" s="804">
        <f>'Consumer Analysis'!E123</f>
        <v>5.3082000000000004E-2</v>
      </c>
      <c r="E120" s="802">
        <f>'Consumer Analysis'!K123</f>
        <v>3.3957933400595643E-2</v>
      </c>
      <c r="F120" s="806" t="str">
        <f>'Consumer Analysis'!L123</f>
        <v>per kWh</v>
      </c>
      <c r="G120" s="800"/>
    </row>
    <row r="121" spans="1:7" ht="14.4" thickBot="1">
      <c r="A121" s="794"/>
      <c r="B121" s="807" t="s">
        <v>491</v>
      </c>
      <c r="C121" s="808"/>
      <c r="D121" s="809"/>
      <c r="E121" s="810"/>
      <c r="F121" s="811"/>
      <c r="G121" s="800"/>
    </row>
    <row r="122" spans="1:7" ht="14.4" thickTop="1">
      <c r="A122" s="794"/>
      <c r="B122" s="795"/>
      <c r="C122" s="795"/>
      <c r="D122" s="796"/>
      <c r="E122" s="795"/>
      <c r="F122" s="795"/>
      <c r="G122" s="800"/>
    </row>
    <row r="123" spans="1:7">
      <c r="A123" s="826"/>
      <c r="B123" s="813" t="s">
        <v>421</v>
      </c>
      <c r="C123" s="813"/>
      <c r="D123" s="814"/>
      <c r="E123" s="812"/>
      <c r="F123" s="812"/>
      <c r="G123" s="800"/>
    </row>
    <row r="124" spans="1:7">
      <c r="A124" s="826"/>
      <c r="B124" s="812"/>
      <c r="C124" s="812"/>
      <c r="D124" s="814"/>
      <c r="E124" s="812"/>
      <c r="F124" s="812"/>
      <c r="G124" s="800"/>
    </row>
    <row r="125" spans="1:7">
      <c r="A125" s="826"/>
      <c r="B125" s="812" t="s">
        <v>461</v>
      </c>
      <c r="C125" s="812"/>
      <c r="D125" s="815">
        <f>'Consumer Analysis'!E128</f>
        <v>10</v>
      </c>
      <c r="E125" s="799">
        <f>'Consumer Analysis'!K128</f>
        <v>17</v>
      </c>
      <c r="F125" s="812" t="str">
        <f>'Consumer Analysis'!L128</f>
        <v>per month</v>
      </c>
      <c r="G125" s="800"/>
    </row>
    <row r="126" spans="1:7">
      <c r="A126" s="826"/>
      <c r="B126" s="812"/>
      <c r="C126" s="812"/>
      <c r="D126" s="816"/>
      <c r="E126" s="817"/>
      <c r="F126" s="812"/>
      <c r="G126" s="800"/>
    </row>
    <row r="127" spans="1:7">
      <c r="A127" s="826"/>
      <c r="B127" s="812" t="s">
        <v>462</v>
      </c>
      <c r="C127" s="812"/>
      <c r="D127" s="816"/>
      <c r="E127" s="817"/>
      <c r="F127" s="812"/>
      <c r="G127" s="800"/>
    </row>
    <row r="128" spans="1:7">
      <c r="A128" s="826"/>
      <c r="B128" s="818" t="s">
        <v>474</v>
      </c>
      <c r="C128" s="812"/>
      <c r="D128" s="835">
        <f>'Consumer Analysis'!E131</f>
        <v>9.5911999999999997E-2</v>
      </c>
      <c r="E128" s="836">
        <f>'Consumer Analysis'!K131</f>
        <v>0.11228258869175457</v>
      </c>
      <c r="F128" s="820" t="str">
        <f>'Consumer Analysis'!L131</f>
        <v>per kWh</v>
      </c>
      <c r="G128" s="800"/>
    </row>
    <row r="129" spans="1:7" ht="14.4" thickBot="1">
      <c r="A129" s="826"/>
      <c r="B129" s="821" t="s">
        <v>492</v>
      </c>
      <c r="C129" s="822"/>
      <c r="D129" s="823"/>
      <c r="E129" s="824"/>
      <c r="F129" s="825"/>
      <c r="G129" s="800"/>
    </row>
    <row r="130" spans="1:7" ht="14.4" thickTop="1">
      <c r="A130" s="794"/>
      <c r="B130" s="829"/>
      <c r="C130" s="795"/>
      <c r="D130" s="830"/>
      <c r="E130" s="802"/>
      <c r="F130" s="806"/>
      <c r="G130" s="800"/>
    </row>
    <row r="131" spans="1:7">
      <c r="A131" s="794"/>
      <c r="B131" s="797" t="s">
        <v>417</v>
      </c>
      <c r="C131" s="797"/>
      <c r="D131" s="796"/>
      <c r="E131" s="795"/>
      <c r="F131" s="795"/>
      <c r="G131" s="800"/>
    </row>
    <row r="132" spans="1:7">
      <c r="A132" s="794"/>
      <c r="B132" s="795"/>
      <c r="C132" s="795"/>
      <c r="D132" s="796"/>
      <c r="E132" s="795"/>
      <c r="F132" s="795"/>
      <c r="G132" s="800"/>
    </row>
    <row r="133" spans="1:7">
      <c r="A133" s="794"/>
      <c r="B133" s="795" t="s">
        <v>461</v>
      </c>
      <c r="C133" s="795"/>
      <c r="D133" s="798">
        <f>'Consumer Analysis'!E136</f>
        <v>5</v>
      </c>
      <c r="E133" s="799">
        <f>'Consumer Analysis'!K136</f>
        <v>8</v>
      </c>
      <c r="F133" s="795" t="str">
        <f>'Consumer Analysis'!L136</f>
        <v>per month</v>
      </c>
      <c r="G133" s="800"/>
    </row>
    <row r="134" spans="1:7">
      <c r="A134" s="794"/>
      <c r="B134" s="795"/>
      <c r="C134" s="795"/>
      <c r="D134" s="801"/>
      <c r="E134" s="802"/>
      <c r="F134" s="795"/>
      <c r="G134" s="800"/>
    </row>
    <row r="135" spans="1:7">
      <c r="A135" s="794"/>
      <c r="B135" s="795" t="s">
        <v>462</v>
      </c>
      <c r="C135" s="795"/>
      <c r="D135" s="801"/>
      <c r="E135" s="802"/>
      <c r="F135" s="795"/>
      <c r="G135" s="800"/>
    </row>
    <row r="136" spans="1:7">
      <c r="A136" s="794"/>
      <c r="B136" s="803" t="s">
        <v>493</v>
      </c>
      <c r="C136" s="795"/>
      <c r="D136" s="837">
        <f>'Consumer Analysis'!E139</f>
        <v>55.43</v>
      </c>
      <c r="E136" s="799">
        <f>'Consumer Analysis'!K139</f>
        <v>93</v>
      </c>
      <c r="F136" s="806" t="str">
        <f>'Consumer Analysis'!L139</f>
        <v>per month</v>
      </c>
      <c r="G136" s="800"/>
    </row>
    <row r="137" spans="1:7">
      <c r="A137" s="794"/>
      <c r="B137" s="803" t="s">
        <v>494</v>
      </c>
      <c r="C137" s="795"/>
      <c r="D137" s="837">
        <f>'Consumer Analysis'!E140</f>
        <v>41.74</v>
      </c>
      <c r="E137" s="799">
        <f>'Consumer Analysis'!K140</f>
        <v>70</v>
      </c>
      <c r="F137" s="806" t="str">
        <f>'Consumer Analysis'!L140</f>
        <v>per month</v>
      </c>
      <c r="G137" s="800"/>
    </row>
    <row r="138" spans="1:7">
      <c r="A138" s="794"/>
      <c r="B138" s="803" t="s">
        <v>495</v>
      </c>
      <c r="C138" s="795"/>
      <c r="D138" s="801">
        <f>'Consumer Analysis'!E141</f>
        <v>0.118612</v>
      </c>
      <c r="E138" s="802">
        <f>'Consumer Analysis'!K141</f>
        <v>0.15128069183698234</v>
      </c>
      <c r="F138" s="806" t="str">
        <f>'Consumer Analysis'!L141</f>
        <v>per kWh</v>
      </c>
      <c r="G138" s="800"/>
    </row>
    <row r="139" spans="1:7" ht="14.4" thickBot="1">
      <c r="A139" s="794"/>
      <c r="B139" s="807" t="s">
        <v>496</v>
      </c>
      <c r="C139" s="808"/>
      <c r="D139" s="809"/>
      <c r="E139" s="810"/>
      <c r="F139" s="811"/>
      <c r="G139" s="800"/>
    </row>
    <row r="140" spans="1:7" ht="14.4" thickTop="1">
      <c r="A140" s="794"/>
      <c r="B140" s="795"/>
      <c r="C140" s="795"/>
      <c r="D140" s="796"/>
      <c r="E140" s="795"/>
      <c r="F140" s="795"/>
      <c r="G140" s="800"/>
    </row>
    <row r="141" spans="1:7">
      <c r="A141" s="794"/>
      <c r="B141" s="797" t="s">
        <v>419</v>
      </c>
      <c r="C141" s="797"/>
      <c r="D141" s="796"/>
      <c r="E141" s="795"/>
      <c r="F141" s="795"/>
      <c r="G141" s="800"/>
    </row>
    <row r="142" spans="1:7">
      <c r="A142" s="794"/>
      <c r="B142" s="795"/>
      <c r="C142" s="795"/>
      <c r="D142" s="796"/>
      <c r="E142" s="795"/>
      <c r="F142" s="795"/>
      <c r="G142" s="800"/>
    </row>
    <row r="143" spans="1:7">
      <c r="A143" s="794"/>
      <c r="B143" s="795" t="s">
        <v>461</v>
      </c>
      <c r="C143" s="795"/>
      <c r="D143" s="798">
        <f>'Consumer Analysis'!E146</f>
        <v>4.5999999999999996</v>
      </c>
      <c r="E143" s="799">
        <f>'Consumer Analysis'!K146</f>
        <v>6</v>
      </c>
      <c r="F143" s="795" t="str">
        <f>'Consumer Analysis'!L146</f>
        <v>per month</v>
      </c>
      <c r="G143" s="800"/>
    </row>
    <row r="144" spans="1:7">
      <c r="A144" s="794"/>
      <c r="B144" s="795"/>
      <c r="C144" s="795"/>
      <c r="D144" s="801"/>
      <c r="E144" s="802"/>
      <c r="F144" s="795"/>
      <c r="G144" s="800"/>
    </row>
    <row r="145" spans="1:7">
      <c r="A145" s="794"/>
      <c r="B145" s="795" t="s">
        <v>462</v>
      </c>
      <c r="C145" s="795"/>
      <c r="D145" s="801"/>
      <c r="E145" s="802"/>
      <c r="F145" s="795"/>
      <c r="G145" s="800"/>
    </row>
    <row r="146" spans="1:7">
      <c r="A146" s="794"/>
      <c r="B146" s="803" t="s">
        <v>474</v>
      </c>
      <c r="C146" s="795"/>
      <c r="D146" s="804">
        <f>'Consumer Analysis'!E149</f>
        <v>0.118612</v>
      </c>
      <c r="E146" s="836">
        <f>'Consumer Analysis'!K149</f>
        <v>0.19010994965755071</v>
      </c>
      <c r="F146" s="806" t="str">
        <f>'Consumer Analysis'!L149</f>
        <v>per kWh</v>
      </c>
      <c r="G146" s="800"/>
    </row>
    <row r="147" spans="1:7" ht="14.4" thickBot="1">
      <c r="A147" s="794"/>
      <c r="B147" s="807" t="s">
        <v>497</v>
      </c>
      <c r="C147" s="808"/>
      <c r="D147" s="809"/>
      <c r="E147" s="810"/>
      <c r="F147" s="811"/>
      <c r="G147" s="800"/>
    </row>
    <row r="148" spans="1:7" ht="14.4" thickTop="1">
      <c r="A148" s="794"/>
      <c r="B148" s="829"/>
      <c r="C148" s="795"/>
      <c r="D148" s="830"/>
      <c r="E148" s="802"/>
      <c r="F148" s="806"/>
      <c r="G148" s="800"/>
    </row>
    <row r="149" spans="1:7">
      <c r="A149" s="794"/>
      <c r="B149" s="797" t="s">
        <v>415</v>
      </c>
      <c r="C149" s="797"/>
      <c r="D149" s="796"/>
      <c r="E149" s="795"/>
      <c r="F149" s="795"/>
      <c r="G149" s="800"/>
    </row>
    <row r="150" spans="1:7">
      <c r="A150" s="794"/>
      <c r="B150" s="795"/>
      <c r="C150" s="795"/>
      <c r="D150" s="796"/>
      <c r="E150" s="795"/>
      <c r="F150" s="795"/>
      <c r="G150" s="800"/>
    </row>
    <row r="151" spans="1:7">
      <c r="A151" s="794"/>
      <c r="B151" s="795" t="s">
        <v>461</v>
      </c>
      <c r="C151" s="795"/>
      <c r="D151" s="798">
        <f>'Consumer Analysis'!E154</f>
        <v>521.67999999999995</v>
      </c>
      <c r="E151" s="799">
        <f>'Consumer Analysis'!K154</f>
        <v>745</v>
      </c>
      <c r="F151" s="795" t="str">
        <f>'Consumer Analysis'!L154</f>
        <v>per month</v>
      </c>
      <c r="G151" s="800"/>
    </row>
    <row r="152" spans="1:7">
      <c r="A152" s="794"/>
      <c r="B152" s="795"/>
      <c r="C152" s="795"/>
      <c r="D152" s="801"/>
      <c r="E152" s="802"/>
      <c r="F152" s="795"/>
      <c r="G152" s="800"/>
    </row>
    <row r="153" spans="1:7">
      <c r="A153" s="794"/>
      <c r="B153" s="795" t="s">
        <v>476</v>
      </c>
      <c r="C153" s="795"/>
      <c r="D153" s="801"/>
      <c r="E153" s="802"/>
      <c r="F153" s="795"/>
      <c r="G153" s="800"/>
    </row>
    <row r="154" spans="1:7">
      <c r="A154" s="794"/>
      <c r="B154" s="803" t="s">
        <v>477</v>
      </c>
      <c r="C154" s="795"/>
      <c r="D154" s="831">
        <f>'Consumer Analysis'!E157</f>
        <v>8.58</v>
      </c>
      <c r="E154" s="799">
        <f>'Consumer Analysis'!K157</f>
        <v>12.2</v>
      </c>
      <c r="F154" s="795" t="str">
        <f>'Consumer Analysis'!L157</f>
        <v>per kVA</v>
      </c>
      <c r="G154" s="800"/>
    </row>
    <row r="155" spans="1:7">
      <c r="A155" s="794"/>
      <c r="B155" s="803" t="s">
        <v>78</v>
      </c>
      <c r="C155" s="795"/>
      <c r="D155" s="831">
        <f>'Consumer Analysis'!E158</f>
        <v>11.59</v>
      </c>
      <c r="E155" s="799">
        <f>'Consumer Analysis'!K158</f>
        <v>16.5</v>
      </c>
      <c r="F155" s="795" t="str">
        <f>'Consumer Analysis'!L158</f>
        <v>per kVA</v>
      </c>
      <c r="G155" s="800"/>
    </row>
    <row r="156" spans="1:7">
      <c r="A156" s="794"/>
      <c r="B156" s="803"/>
      <c r="C156" s="795"/>
      <c r="D156" s="831"/>
      <c r="E156" s="832"/>
      <c r="F156" s="795"/>
      <c r="G156" s="800"/>
    </row>
    <row r="157" spans="1:7">
      <c r="A157" s="794"/>
      <c r="B157" s="795" t="s">
        <v>462</v>
      </c>
      <c r="C157" s="795"/>
      <c r="D157" s="801"/>
      <c r="E157" s="802"/>
      <c r="F157" s="795"/>
      <c r="G157" s="800"/>
    </row>
    <row r="158" spans="1:7">
      <c r="A158" s="794"/>
      <c r="B158" s="803" t="s">
        <v>474</v>
      </c>
      <c r="C158" s="795"/>
      <c r="D158" s="804">
        <f>'Consumer Analysis'!E161</f>
        <v>6.2231999999999996E-2</v>
      </c>
      <c r="E158" s="805">
        <f>'Consumer Analysis'!K161</f>
        <v>4.7873735795896946E-2</v>
      </c>
      <c r="F158" s="806" t="str">
        <f>'Consumer Analysis'!L161</f>
        <v>per kWh</v>
      </c>
      <c r="G158" s="800"/>
    </row>
    <row r="159" spans="1:7" ht="14.4" thickBot="1">
      <c r="A159" s="794"/>
      <c r="B159" s="807" t="s">
        <v>498</v>
      </c>
      <c r="C159" s="808"/>
      <c r="D159" s="809"/>
      <c r="E159" s="810"/>
      <c r="F159" s="811"/>
      <c r="G159" s="800"/>
    </row>
    <row r="160" spans="1:7" ht="14.4" thickTop="1"/>
  </sheetData>
  <mergeCells count="1">
    <mergeCell ref="B2:D2"/>
  </mergeCells>
  <conditionalFormatting sqref="F19 E7:F9 E11:F12 E53:F54 E57:F59 E61:F62 E65:F66 E20:F21 E15:F18 E24:F27 E29:F30 E33:F37 E41:F42 E49:F51 E69:F72 E74:F75 E78:F79 E82:F85 E87:F88 E91:F92 E95:F98 E100:F101 E104:F105 E108:F111 E113:F114 E117:F118 E121:F124 E126:F127 E130:F132 E134:F135 E140:F142 E144:F145 E148:F150 E152:F153 E156:F157">
    <cfRule type="expression" dxfId="262" priority="46">
      <formula>HideProposed</formula>
    </cfRule>
  </conditionalFormatting>
  <conditionalFormatting sqref="F22:F23">
    <cfRule type="expression" dxfId="261" priority="55">
      <formula>HideProposed</formula>
    </cfRule>
  </conditionalFormatting>
  <conditionalFormatting sqref="F28">
    <cfRule type="expression" dxfId="260" priority="45">
      <formula>HideProposed</formula>
    </cfRule>
  </conditionalFormatting>
  <conditionalFormatting sqref="F31:F32">
    <cfRule type="expression" dxfId="259" priority="54">
      <formula>HideProposed</formula>
    </cfRule>
  </conditionalFormatting>
  <conditionalFormatting sqref="F38:F40">
    <cfRule type="expression" dxfId="258" priority="44">
      <formula>HideProposed</formula>
    </cfRule>
  </conditionalFormatting>
  <conditionalFormatting sqref="E43:F48">
    <cfRule type="expression" dxfId="257" priority="97">
      <formula>HideProposed</formula>
    </cfRule>
  </conditionalFormatting>
  <conditionalFormatting sqref="F52">
    <cfRule type="expression" dxfId="256" priority="43">
      <formula>HideProposed</formula>
    </cfRule>
  </conditionalFormatting>
  <conditionalFormatting sqref="E67:F68">
    <cfRule type="expression" dxfId="255" priority="53">
      <formula>HideProposed</formula>
    </cfRule>
  </conditionalFormatting>
  <conditionalFormatting sqref="F73">
    <cfRule type="expression" dxfId="254" priority="42">
      <formula>HideProposed</formula>
    </cfRule>
  </conditionalFormatting>
  <conditionalFormatting sqref="F76:F77">
    <cfRule type="expression" dxfId="253" priority="41">
      <formula>HideProposed</formula>
    </cfRule>
  </conditionalFormatting>
  <conditionalFormatting sqref="E80:F81">
    <cfRule type="expression" dxfId="252" priority="52">
      <formula>HideProposed</formula>
    </cfRule>
  </conditionalFormatting>
  <conditionalFormatting sqref="F86">
    <cfRule type="expression" dxfId="251" priority="40">
      <formula>HideProposed</formula>
    </cfRule>
  </conditionalFormatting>
  <conditionalFormatting sqref="F89:F90">
    <cfRule type="expression" dxfId="250" priority="39">
      <formula>HideProposed</formula>
    </cfRule>
  </conditionalFormatting>
  <conditionalFormatting sqref="E93:F94">
    <cfRule type="expression" dxfId="249" priority="51">
      <formula>HideProposed</formula>
    </cfRule>
  </conditionalFormatting>
  <conditionalFormatting sqref="F99">
    <cfRule type="expression" dxfId="248" priority="38">
      <formula>HideProposed</formula>
    </cfRule>
  </conditionalFormatting>
  <conditionalFormatting sqref="F102:F103">
    <cfRule type="expression" dxfId="247" priority="37">
      <formula>HideProposed</formula>
    </cfRule>
  </conditionalFormatting>
  <conditionalFormatting sqref="E106:F107">
    <cfRule type="expression" dxfId="246" priority="50">
      <formula>HideProposed</formula>
    </cfRule>
  </conditionalFormatting>
  <conditionalFormatting sqref="F112">
    <cfRule type="expression" dxfId="245" priority="36">
      <formula>HideProposed</formula>
    </cfRule>
  </conditionalFormatting>
  <conditionalFormatting sqref="F115:F116">
    <cfRule type="expression" dxfId="244" priority="35">
      <formula>HideProposed</formula>
    </cfRule>
  </conditionalFormatting>
  <conditionalFormatting sqref="E119:F120">
    <cfRule type="expression" dxfId="243" priority="49">
      <formula>HideProposed</formula>
    </cfRule>
  </conditionalFormatting>
  <conditionalFormatting sqref="F125">
    <cfRule type="expression" dxfId="242" priority="34">
      <formula>HideProposed</formula>
    </cfRule>
  </conditionalFormatting>
  <conditionalFormatting sqref="E128:F129">
    <cfRule type="expression" dxfId="241" priority="48">
      <formula>HideProposed</formula>
    </cfRule>
  </conditionalFormatting>
  <conditionalFormatting sqref="F133">
    <cfRule type="expression" dxfId="240" priority="33">
      <formula>HideProposed</formula>
    </cfRule>
  </conditionalFormatting>
  <conditionalFormatting sqref="E138:F139 F136:F137">
    <cfRule type="expression" dxfId="239" priority="32">
      <formula>HideProposed</formula>
    </cfRule>
  </conditionalFormatting>
  <conditionalFormatting sqref="F143">
    <cfRule type="expression" dxfId="238" priority="31">
      <formula>HideProposed</formula>
    </cfRule>
  </conditionalFormatting>
  <conditionalFormatting sqref="E146:F147">
    <cfRule type="expression" dxfId="237" priority="47">
      <formula>HideProposed</formula>
    </cfRule>
  </conditionalFormatting>
  <conditionalFormatting sqref="F151">
    <cfRule type="expression" dxfId="236" priority="30">
      <formula>HideProposed</formula>
    </cfRule>
  </conditionalFormatting>
  <conditionalFormatting sqref="F154:F155">
    <cfRule type="expression" dxfId="235" priority="29">
      <formula>HideProposed</formula>
    </cfRule>
  </conditionalFormatting>
  <conditionalFormatting sqref="E158:F159">
    <cfRule type="expression" dxfId="234" priority="86">
      <formula>HideProposed</formula>
    </cfRule>
  </conditionalFormatting>
  <conditionalFormatting sqref="E10:F10 F13:F14 E56:F56 F55 E60:F60 E63:F64">
    <cfRule type="expression" dxfId="233" priority="101">
      <formula>HideProposed</formula>
    </cfRule>
  </conditionalFormatting>
  <conditionalFormatting sqref="E55">
    <cfRule type="expression" dxfId="232" priority="28">
      <formula>HideProposed</formula>
    </cfRule>
  </conditionalFormatting>
  <conditionalFormatting sqref="E13:E14">
    <cfRule type="expression" dxfId="231" priority="27">
      <formula>HideProposed</formula>
    </cfRule>
  </conditionalFormatting>
  <conditionalFormatting sqref="E19">
    <cfRule type="expression" dxfId="230" priority="26">
      <formula>HideProposed</formula>
    </cfRule>
  </conditionalFormatting>
  <conditionalFormatting sqref="E28">
    <cfRule type="expression" dxfId="229" priority="25">
      <formula>HideProposed</formula>
    </cfRule>
  </conditionalFormatting>
  <conditionalFormatting sqref="E38:E40">
    <cfRule type="expression" dxfId="228" priority="24">
      <formula>HideProposed</formula>
    </cfRule>
  </conditionalFormatting>
  <conditionalFormatting sqref="E52">
    <cfRule type="expression" dxfId="227" priority="23">
      <formula>HideProposed</formula>
    </cfRule>
  </conditionalFormatting>
  <conditionalFormatting sqref="E73">
    <cfRule type="expression" dxfId="226" priority="22">
      <formula>HideProposed</formula>
    </cfRule>
  </conditionalFormatting>
  <conditionalFormatting sqref="E76:E77">
    <cfRule type="expression" dxfId="225" priority="21">
      <formula>HideProposed</formula>
    </cfRule>
  </conditionalFormatting>
  <conditionalFormatting sqref="E86">
    <cfRule type="expression" dxfId="224" priority="20">
      <formula>HideProposed</formula>
    </cfRule>
  </conditionalFormatting>
  <conditionalFormatting sqref="E89:E90">
    <cfRule type="expression" dxfId="223" priority="19">
      <formula>HideProposed</formula>
    </cfRule>
  </conditionalFormatting>
  <conditionalFormatting sqref="E99">
    <cfRule type="expression" dxfId="222" priority="18">
      <formula>HideProposed</formula>
    </cfRule>
  </conditionalFormatting>
  <conditionalFormatting sqref="E102:E103">
    <cfRule type="expression" dxfId="221" priority="17">
      <formula>HideProposed</formula>
    </cfRule>
  </conditionalFormatting>
  <conditionalFormatting sqref="E112">
    <cfRule type="expression" dxfId="220" priority="16">
      <formula>HideProposed</formula>
    </cfRule>
  </conditionalFormatting>
  <conditionalFormatting sqref="E115:E116">
    <cfRule type="expression" dxfId="219" priority="15">
      <formula>HideProposed</formula>
    </cfRule>
  </conditionalFormatting>
  <conditionalFormatting sqref="E125">
    <cfRule type="expression" dxfId="218" priority="14">
      <formula>HideProposed</formula>
    </cfRule>
  </conditionalFormatting>
  <conditionalFormatting sqref="E133">
    <cfRule type="expression" dxfId="217" priority="13">
      <formula>HideProposed</formula>
    </cfRule>
  </conditionalFormatting>
  <conditionalFormatting sqref="E136:E137">
    <cfRule type="expression" dxfId="216" priority="12">
      <formula>HideProposed</formula>
    </cfRule>
  </conditionalFormatting>
  <conditionalFormatting sqref="E143">
    <cfRule type="expression" dxfId="215" priority="11">
      <formula>HideProposed</formula>
    </cfRule>
  </conditionalFormatting>
  <conditionalFormatting sqref="E151">
    <cfRule type="expression" dxfId="214" priority="10">
      <formula>HideProposed</formula>
    </cfRule>
  </conditionalFormatting>
  <conditionalFormatting sqref="E154:E155">
    <cfRule type="expression" dxfId="213" priority="9">
      <formula>HideProposed</formula>
    </cfRule>
  </conditionalFormatting>
  <conditionalFormatting sqref="E22">
    <cfRule type="expression" dxfId="212" priority="8">
      <formula>HideProposed</formula>
    </cfRule>
  </conditionalFormatting>
  <conditionalFormatting sqref="E23">
    <cfRule type="expression" dxfId="211" priority="7">
      <formula>HideProposed</formula>
    </cfRule>
  </conditionalFormatting>
  <conditionalFormatting sqref="E31">
    <cfRule type="expression" dxfId="210" priority="6">
      <formula>HideProposed</formula>
    </cfRule>
  </conditionalFormatting>
  <conditionalFormatting sqref="E32">
    <cfRule type="expression" dxfId="209" priority="5">
      <formula>HideProposed</formula>
    </cfRule>
  </conditionalFormatting>
  <conditionalFormatting sqref="H11:H12">
    <cfRule type="expression" dxfId="208" priority="2">
      <formula>HideProposed</formula>
    </cfRule>
  </conditionalFormatting>
  <conditionalFormatting sqref="H10">
    <cfRule type="expression" dxfId="207" priority="3">
      <formula>HideProposed</formula>
    </cfRule>
  </conditionalFormatting>
  <conditionalFormatting sqref="H13:H14">
    <cfRule type="expression" dxfId="206" priority="1">
      <formula>HideProposed</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8C9F1-FE6D-4164-9D8A-A194677B125B}">
  <sheetPr>
    <tabColor theme="9" tint="0.79998168889431442"/>
  </sheetPr>
  <dimension ref="A1:U184"/>
  <sheetViews>
    <sheetView workbookViewId="0"/>
  </sheetViews>
  <sheetFormatPr defaultRowHeight="13.8"/>
  <cols>
    <col min="1" max="1" width="2.19921875" style="838" customWidth="1"/>
    <col min="2" max="2" width="48.69921875" style="838" customWidth="1"/>
    <col min="3" max="3" width="1.3984375" style="665" customWidth="1"/>
    <col min="4" max="5" width="10.296875" style="838" customWidth="1"/>
    <col min="6" max="6" width="7.796875" style="838" customWidth="1"/>
    <col min="7" max="21" width="8.69921875" style="665"/>
  </cols>
  <sheetData>
    <row r="1" spans="1:6">
      <c r="B1" s="692"/>
      <c r="D1" s="839"/>
      <c r="E1" s="839"/>
      <c r="F1" s="839"/>
    </row>
    <row r="2" spans="1:6">
      <c r="B2" s="1571" t="s">
        <v>531</v>
      </c>
      <c r="C2" s="1572"/>
      <c r="D2" s="1573"/>
      <c r="E2" s="839"/>
      <c r="F2" s="839"/>
    </row>
    <row r="3" spans="1:6">
      <c r="B3" s="775" t="s">
        <v>526</v>
      </c>
      <c r="C3" s="776"/>
      <c r="D3" s="777">
        <f>Dashboard!C2</f>
        <v>2027</v>
      </c>
      <c r="E3" s="692"/>
      <c r="F3" s="692"/>
    </row>
    <row r="4" spans="1:6">
      <c r="A4" s="773"/>
      <c r="B4" s="784" t="str">
        <f>Dashboard!B3</f>
        <v>Present Rates include Provisional and Pension Rider</v>
      </c>
      <c r="C4" s="785"/>
      <c r="D4" s="781" t="b">
        <f>Dashboard!C3</f>
        <v>1</v>
      </c>
      <c r="E4" s="782"/>
      <c r="F4" s="783"/>
    </row>
    <row r="5" spans="1:6">
      <c r="B5" s="841"/>
      <c r="D5" s="842"/>
      <c r="E5" s="842"/>
      <c r="F5" s="842"/>
    </row>
    <row r="6" spans="1:6" ht="26.4">
      <c r="B6" s="843" t="s">
        <v>457</v>
      </c>
      <c r="D6" s="791" t="s">
        <v>340</v>
      </c>
      <c r="E6" s="792" t="s">
        <v>697</v>
      </c>
      <c r="F6" s="844"/>
    </row>
    <row r="7" spans="1:6">
      <c r="D7" s="845"/>
      <c r="E7" s="839"/>
      <c r="F7" s="839"/>
    </row>
    <row r="8" spans="1:6">
      <c r="A8" s="692"/>
      <c r="B8" s="797" t="s">
        <v>499</v>
      </c>
      <c r="D8" s="796"/>
      <c r="E8" s="795"/>
      <c r="F8" s="795"/>
    </row>
    <row r="9" spans="1:6">
      <c r="A9" s="692"/>
      <c r="B9" s="795"/>
      <c r="D9" s="796"/>
      <c r="E9" s="795"/>
      <c r="F9" s="795"/>
    </row>
    <row r="10" spans="1:6">
      <c r="A10" s="692"/>
      <c r="B10" s="846" t="s">
        <v>462</v>
      </c>
      <c r="D10" s="801"/>
      <c r="E10" s="802"/>
      <c r="F10" s="795"/>
    </row>
    <row r="11" spans="1:6">
      <c r="A11" s="692"/>
      <c r="B11" s="847" t="s">
        <v>500</v>
      </c>
      <c r="D11" s="848">
        <f>'Consumer Analysis - Lighting'!E14</f>
        <v>0.131912</v>
      </c>
      <c r="E11" s="836">
        <f>'Consumer Analysis - Lighting'!K14</f>
        <v>0.11941080456831198</v>
      </c>
      <c r="F11" s="806" t="s">
        <v>157</v>
      </c>
    </row>
    <row r="12" spans="1:6" ht="14.4" thickBot="1">
      <c r="A12" s="692"/>
      <c r="B12" s="849" t="s">
        <v>501</v>
      </c>
      <c r="D12" s="850">
        <f>'Consumer Analysis - Lighting'!E15</f>
        <v>0.12191200000000001</v>
      </c>
      <c r="E12" s="851">
        <f>'Consumer Analysis - Lighting'!K15</f>
        <v>0.10719986228706523</v>
      </c>
      <c r="F12" s="851" t="s">
        <v>157</v>
      </c>
    </row>
    <row r="13" spans="1:6" ht="15" thickTop="1" thickBot="1">
      <c r="A13" s="692"/>
      <c r="B13" s="852" t="s">
        <v>502</v>
      </c>
      <c r="D13" s="850"/>
      <c r="E13" s="851"/>
      <c r="F13" s="851"/>
    </row>
    <row r="14" spans="1:6" ht="14.4" thickTop="1">
      <c r="A14" s="692"/>
      <c r="B14" s="829"/>
      <c r="D14" s="830"/>
      <c r="E14" s="806"/>
      <c r="F14" s="806"/>
    </row>
    <row r="15" spans="1:6">
      <c r="D15" s="853"/>
    </row>
    <row r="16" spans="1:6">
      <c r="B16" s="854" t="s">
        <v>503</v>
      </c>
      <c r="D16" s="853"/>
    </row>
    <row r="17" spans="2:6">
      <c r="B17" s="854"/>
      <c r="D17" s="853"/>
    </row>
    <row r="18" spans="2:6">
      <c r="B18" s="855" t="s">
        <v>2</v>
      </c>
      <c r="D18" s="853"/>
    </row>
    <row r="19" spans="2:6">
      <c r="B19" s="854"/>
      <c r="D19" s="853"/>
    </row>
    <row r="20" spans="2:6">
      <c r="B20" s="856" t="s">
        <v>472</v>
      </c>
      <c r="D20" s="853"/>
    </row>
    <row r="21" spans="2:6">
      <c r="B21" s="854"/>
      <c r="D21" s="853"/>
    </row>
    <row r="22" spans="2:6">
      <c r="B22" s="856" t="s">
        <v>70</v>
      </c>
      <c r="D22" s="853"/>
    </row>
    <row r="23" spans="2:6">
      <c r="B23" s="857" t="s">
        <v>504</v>
      </c>
      <c r="D23" s="853"/>
    </row>
    <row r="24" spans="2:6">
      <c r="B24" s="858" t="s">
        <v>75</v>
      </c>
      <c r="D24" s="859">
        <f>'Consumer Analysis - Lighting'!E27</f>
        <v>5.9</v>
      </c>
      <c r="E24" s="860">
        <f>'Consumer Analysis - Lighting'!K27</f>
        <v>6.8949880228761256</v>
      </c>
      <c r="F24" s="838" t="s">
        <v>160</v>
      </c>
    </row>
    <row r="25" spans="2:6">
      <c r="B25" s="858" t="s">
        <v>80</v>
      </c>
      <c r="D25" s="859">
        <f>'Consumer Analysis - Lighting'!E28</f>
        <v>6.32</v>
      </c>
      <c r="E25" s="860">
        <f>'Consumer Analysis - Lighting'!K28</f>
        <v>7.3858176787418834</v>
      </c>
      <c r="F25" s="838" t="s">
        <v>160</v>
      </c>
    </row>
    <row r="26" spans="2:6">
      <c r="B26" s="858" t="s">
        <v>83</v>
      </c>
      <c r="D26" s="859">
        <f>'Consumer Analysis - Lighting'!E29</f>
        <v>7.05</v>
      </c>
      <c r="E26" s="860">
        <f>'Consumer Analysis - Lighting'!K29</f>
        <v>8.238926366318081</v>
      </c>
      <c r="F26" s="838" t="s">
        <v>160</v>
      </c>
    </row>
    <row r="27" spans="2:6">
      <c r="B27" s="858" t="s">
        <v>85</v>
      </c>
      <c r="D27" s="859">
        <f>'Consumer Analysis - Lighting'!E30</f>
        <v>7.89</v>
      </c>
      <c r="E27" s="860">
        <f>'Consumer Analysis - Lighting'!K30</f>
        <v>9.2205856780495967</v>
      </c>
      <c r="F27" s="838" t="s">
        <v>160</v>
      </c>
    </row>
    <row r="28" spans="2:6">
      <c r="B28" s="858" t="s">
        <v>87</v>
      </c>
      <c r="D28" s="859">
        <f>'Consumer Analysis - Lighting'!E31</f>
        <v>12.16</v>
      </c>
      <c r="E28" s="860">
        <f>'Consumer Analysis - Lighting'!K31</f>
        <v>14.210687179351471</v>
      </c>
      <c r="F28" s="838" t="s">
        <v>160</v>
      </c>
    </row>
    <row r="29" spans="2:6">
      <c r="B29" s="858" t="s">
        <v>91</v>
      </c>
      <c r="D29" s="859">
        <f>'Consumer Analysis - Lighting'!E32</f>
        <v>13.32</v>
      </c>
      <c r="E29" s="860">
        <f>'Consumer Analysis - Lighting'!K32</f>
        <v>15.566311943171184</v>
      </c>
      <c r="F29" s="838" t="s">
        <v>160</v>
      </c>
    </row>
    <row r="30" spans="2:6">
      <c r="B30" s="858" t="s">
        <v>93</v>
      </c>
      <c r="D30" s="859">
        <f>'Consumer Analysis - Lighting'!E33</f>
        <v>18.16</v>
      </c>
      <c r="E30" s="860">
        <f>'Consumer Analysis - Lighting'!K33</f>
        <v>21.222539406005158</v>
      </c>
      <c r="F30" s="838" t="s">
        <v>160</v>
      </c>
    </row>
    <row r="31" spans="2:6">
      <c r="B31" s="861"/>
      <c r="D31" s="859"/>
      <c r="E31" s="860"/>
      <c r="F31" s="862"/>
    </row>
    <row r="32" spans="2:6">
      <c r="B32" s="856" t="s">
        <v>94</v>
      </c>
      <c r="D32" s="859"/>
      <c r="E32" s="860"/>
      <c r="F32" s="862"/>
    </row>
    <row r="33" spans="2:6">
      <c r="B33" s="857" t="s">
        <v>504</v>
      </c>
      <c r="D33" s="859"/>
      <c r="E33" s="860"/>
      <c r="F33" s="862"/>
    </row>
    <row r="34" spans="2:6">
      <c r="B34" s="858" t="s">
        <v>75</v>
      </c>
      <c r="D34" s="859">
        <f>'Consumer Analysis - Lighting'!E37</f>
        <v>8.9499999999999993</v>
      </c>
      <c r="E34" s="860">
        <f>'Consumer Analysis - Lighting'!K37</f>
        <v>10.459346238091747</v>
      </c>
      <c r="F34" s="860" t="s">
        <v>160</v>
      </c>
    </row>
    <row r="35" spans="2:6">
      <c r="B35" s="858" t="s">
        <v>80</v>
      </c>
      <c r="D35" s="859">
        <f>'Consumer Analysis - Lighting'!E38</f>
        <v>9.32</v>
      </c>
      <c r="E35" s="860">
        <f>'Consumer Analysis - Lighting'!K38</f>
        <v>10.891743792068727</v>
      </c>
      <c r="F35" s="860" t="s">
        <v>160</v>
      </c>
    </row>
    <row r="36" spans="2:6">
      <c r="B36" s="858" t="s">
        <v>83</v>
      </c>
      <c r="D36" s="859">
        <f>'Consumer Analysis - Lighting'!E39</f>
        <v>10.1</v>
      </c>
      <c r="E36" s="860">
        <f>'Consumer Analysis - Lighting'!K39</f>
        <v>11.803284581533704</v>
      </c>
      <c r="F36" s="860" t="s">
        <v>160</v>
      </c>
    </row>
    <row r="37" spans="2:6">
      <c r="B37" s="858" t="s">
        <v>85</v>
      </c>
      <c r="D37" s="859">
        <f>'Consumer Analysis - Lighting'!E40</f>
        <v>10.89</v>
      </c>
      <c r="E37" s="860">
        <f>'Consumer Analysis - Lighting'!K40</f>
        <v>12.726511791376442</v>
      </c>
      <c r="F37" s="860" t="s">
        <v>160</v>
      </c>
    </row>
    <row r="38" spans="2:6">
      <c r="B38" s="858" t="s">
        <v>87</v>
      </c>
      <c r="D38" s="859">
        <f>'Consumer Analysis - Lighting'!E41</f>
        <v>13.16</v>
      </c>
      <c r="E38" s="860">
        <f>'Consumer Analysis - Lighting'!K41</f>
        <v>15.379329217127085</v>
      </c>
      <c r="F38" s="860" t="s">
        <v>160</v>
      </c>
    </row>
    <row r="39" spans="2:6">
      <c r="B39" s="858" t="s">
        <v>91</v>
      </c>
      <c r="D39" s="859">
        <f>'Consumer Analysis - Lighting'!E42</f>
        <v>14.32</v>
      </c>
      <c r="E39" s="860">
        <f>'Consumer Analysis - Lighting'!K42</f>
        <v>16.734953980946798</v>
      </c>
      <c r="F39" s="860" t="s">
        <v>160</v>
      </c>
    </row>
    <row r="40" spans="2:6">
      <c r="B40" s="858"/>
      <c r="D40" s="859"/>
      <c r="E40" s="860"/>
      <c r="F40" s="860"/>
    </row>
    <row r="41" spans="2:6">
      <c r="B41" s="856" t="s">
        <v>144</v>
      </c>
      <c r="D41" s="859"/>
      <c r="E41" s="860"/>
      <c r="F41" s="862"/>
    </row>
    <row r="42" spans="2:6">
      <c r="B42" s="857" t="s">
        <v>504</v>
      </c>
      <c r="D42" s="863"/>
      <c r="E42" s="864"/>
    </row>
    <row r="43" spans="2:6">
      <c r="B43" s="857" t="s">
        <v>423</v>
      </c>
      <c r="D43" s="863">
        <f>'Consumer Analysis - Lighting'!E46</f>
        <v>0</v>
      </c>
      <c r="E43" s="864">
        <f>'Consumer Analysis - Lighting'!K46</f>
        <v>7.3950120935766792</v>
      </c>
      <c r="F43" s="838" t="s">
        <v>160</v>
      </c>
    </row>
    <row r="44" spans="2:6">
      <c r="B44" s="857" t="s">
        <v>424</v>
      </c>
      <c r="D44" s="863">
        <f>'Consumer Analysis - Lighting'!E47</f>
        <v>0</v>
      </c>
      <c r="E44" s="864">
        <f>'Consumer Analysis - Lighting'!K47</f>
        <v>8.7395597469542583</v>
      </c>
      <c r="F44" s="838" t="s">
        <v>160</v>
      </c>
    </row>
    <row r="45" spans="2:6">
      <c r="B45" s="857" t="s">
        <v>425</v>
      </c>
      <c r="D45" s="863">
        <f>'Consumer Analysis - Lighting'!E48</f>
        <v>0</v>
      </c>
      <c r="E45" s="864">
        <f>'Consumer Analysis - Lighting'!K48</f>
        <v>10.756381227020624</v>
      </c>
      <c r="F45" s="838" t="s">
        <v>160</v>
      </c>
    </row>
    <row r="46" spans="2:6">
      <c r="B46" s="858"/>
      <c r="D46" s="859"/>
      <c r="E46" s="860"/>
      <c r="F46" s="862"/>
    </row>
    <row r="47" spans="2:6">
      <c r="B47" s="856" t="s">
        <v>107</v>
      </c>
      <c r="D47" s="859"/>
      <c r="E47" s="860"/>
      <c r="F47" s="862"/>
    </row>
    <row r="48" spans="2:6">
      <c r="B48" s="857" t="s">
        <v>505</v>
      </c>
      <c r="D48" s="859"/>
      <c r="E48" s="860"/>
      <c r="F48" s="862"/>
    </row>
    <row r="49" spans="1:6">
      <c r="B49" s="858" t="s">
        <v>110</v>
      </c>
      <c r="D49" s="859">
        <f>'Consumer Analysis - Lighting'!E52</f>
        <v>5.82</v>
      </c>
      <c r="E49" s="860">
        <f>'Consumer Analysis - Lighting'!K52</f>
        <v>6.8014966598540756</v>
      </c>
      <c r="F49" s="860" t="s">
        <v>160</v>
      </c>
    </row>
    <row r="50" spans="1:6">
      <c r="B50" s="858" t="s">
        <v>112</v>
      </c>
      <c r="D50" s="859">
        <f>'Consumer Analysis - Lighting'!E53</f>
        <v>7.83</v>
      </c>
      <c r="E50" s="860">
        <f>'Consumer Analysis - Lighting'!K53</f>
        <v>9.1504671557830601</v>
      </c>
      <c r="F50" s="860" t="s">
        <v>160</v>
      </c>
    </row>
    <row r="51" spans="1:6">
      <c r="B51" s="858" t="s">
        <v>114</v>
      </c>
      <c r="D51" s="859">
        <f>'Consumer Analysis - Lighting'!E54</f>
        <v>13.41</v>
      </c>
      <c r="E51" s="860">
        <f>'Consumer Analysis - Lighting'!K54</f>
        <v>15.671489726570989</v>
      </c>
      <c r="F51" s="860" t="s">
        <v>160</v>
      </c>
    </row>
    <row r="52" spans="1:6">
      <c r="B52" s="858" t="s">
        <v>116</v>
      </c>
      <c r="D52" s="859">
        <f>'Consumer Analysis - Lighting'!E55</f>
        <v>28.03</v>
      </c>
      <c r="E52" s="860">
        <f>'Consumer Analysis - Lighting'!K55</f>
        <v>32.757036318850474</v>
      </c>
      <c r="F52" s="860" t="s">
        <v>160</v>
      </c>
    </row>
    <row r="53" spans="1:6">
      <c r="B53" s="858" t="s">
        <v>118</v>
      </c>
      <c r="D53" s="859">
        <f>'Consumer Analysis - Lighting'!E56</f>
        <v>25.03</v>
      </c>
      <c r="E53" s="860">
        <f>'Consumer Analysis - Lighting'!K56</f>
        <v>29.251110205523631</v>
      </c>
      <c r="F53" s="860" t="s">
        <v>160</v>
      </c>
    </row>
    <row r="54" spans="1:6">
      <c r="B54" s="858"/>
      <c r="D54" s="859"/>
      <c r="E54" s="860"/>
      <c r="F54" s="862"/>
    </row>
    <row r="55" spans="1:6">
      <c r="B55" s="857" t="s">
        <v>506</v>
      </c>
      <c r="D55" s="859"/>
      <c r="E55" s="860"/>
      <c r="F55" s="862"/>
    </row>
    <row r="56" spans="1:6">
      <c r="B56" s="858" t="s">
        <v>110</v>
      </c>
      <c r="D56" s="859">
        <f>'Consumer Analysis - Lighting'!E59</f>
        <v>4.22</v>
      </c>
      <c r="E56" s="860">
        <f>'Consumer Analysis - Lighting'!K59</f>
        <v>4.9316693994130922</v>
      </c>
      <c r="F56" s="860" t="s">
        <v>160</v>
      </c>
    </row>
    <row r="57" spans="1:6">
      <c r="B57" s="858" t="s">
        <v>112</v>
      </c>
      <c r="D57" s="859">
        <f>'Consumer Analysis - Lighting'!E60</f>
        <v>6.18</v>
      </c>
      <c r="E57" s="860">
        <f>'Consumer Analysis - Lighting'!K60</f>
        <v>7.2222077934532969</v>
      </c>
      <c r="F57" s="860" t="s">
        <v>160</v>
      </c>
    </row>
    <row r="58" spans="1:6">
      <c r="B58" s="858" t="s">
        <v>114</v>
      </c>
      <c r="D58" s="859">
        <f>'Consumer Analysis - Lighting'!E61</f>
        <v>8.31</v>
      </c>
      <c r="E58" s="860">
        <f>'Consumer Analysis - Lighting'!K61</f>
        <v>9.7114153339153564</v>
      </c>
      <c r="F58" s="860" t="s">
        <v>160</v>
      </c>
    </row>
    <row r="59" spans="1:6">
      <c r="B59" s="858" t="s">
        <v>116</v>
      </c>
      <c r="D59" s="859">
        <f>'Consumer Analysis - Lighting'!E62</f>
        <v>12.08</v>
      </c>
      <c r="E59" s="860">
        <f>'Consumer Analysis - Lighting'!K62</f>
        <v>14.117195816329422</v>
      </c>
      <c r="F59" s="860" t="s">
        <v>160</v>
      </c>
    </row>
    <row r="60" spans="1:6" ht="14.4" thickBot="1">
      <c r="A60" s="865"/>
      <c r="B60" s="866" t="s">
        <v>507</v>
      </c>
      <c r="D60" s="867"/>
      <c r="E60" s="868"/>
      <c r="F60" s="865"/>
    </row>
    <row r="61" spans="1:6" ht="14.4" thickTop="1">
      <c r="B61" s="862"/>
      <c r="D61" s="863"/>
      <c r="E61" s="864"/>
    </row>
    <row r="62" spans="1:6">
      <c r="B62" s="855" t="s">
        <v>11</v>
      </c>
      <c r="D62" s="863"/>
      <c r="E62" s="864"/>
    </row>
    <row r="63" spans="1:6">
      <c r="B63" s="869"/>
      <c r="D63" s="863"/>
      <c r="E63" s="864"/>
    </row>
    <row r="64" spans="1:6">
      <c r="B64" s="857" t="s">
        <v>461</v>
      </c>
      <c r="D64" s="863">
        <f>'Consumer Analysis - Lighting'!E67</f>
        <v>5</v>
      </c>
      <c r="E64" s="864">
        <f>'Consumer Analysis - Lighting'!K67</f>
        <v>5.8432101888780714</v>
      </c>
      <c r="F64" s="864" t="s">
        <v>160</v>
      </c>
    </row>
    <row r="65" spans="1:6">
      <c r="B65" s="862"/>
      <c r="D65" s="863"/>
      <c r="E65" s="864"/>
      <c r="F65" s="864"/>
    </row>
    <row r="66" spans="1:6">
      <c r="B66" s="846" t="s">
        <v>462</v>
      </c>
      <c r="D66" s="863"/>
      <c r="E66" s="864"/>
      <c r="F66" s="864"/>
    </row>
    <row r="67" spans="1:6">
      <c r="B67" s="847" t="s">
        <v>474</v>
      </c>
      <c r="D67" s="870">
        <f>'Consumer Analysis - Lighting'!E70</f>
        <v>0.111912</v>
      </c>
      <c r="E67" s="871">
        <f>'Consumer Analysis - Lighting'!K70</f>
        <v>9.0908664118565033E-2</v>
      </c>
      <c r="F67" s="864" t="s">
        <v>157</v>
      </c>
    </row>
    <row r="68" spans="1:6">
      <c r="B68" s="862"/>
      <c r="D68" s="863"/>
      <c r="E68" s="864"/>
    </row>
    <row r="69" spans="1:6">
      <c r="B69" s="857" t="s">
        <v>504</v>
      </c>
      <c r="D69" s="863"/>
      <c r="E69" s="864"/>
    </row>
    <row r="70" spans="1:6">
      <c r="B70" s="858" t="s">
        <v>75</v>
      </c>
      <c r="D70" s="863">
        <f>'Consumer Analysis - Lighting'!E73</f>
        <v>1.55</v>
      </c>
      <c r="E70" s="864">
        <f>'Consumer Analysis - Lighting'!K73</f>
        <v>1.8113951585522023</v>
      </c>
      <c r="F70" s="864" t="s">
        <v>160</v>
      </c>
    </row>
    <row r="71" spans="1:6">
      <c r="B71" s="858" t="s">
        <v>80</v>
      </c>
      <c r="D71" s="863">
        <f>'Consumer Analysis - Lighting'!E74</f>
        <v>2.2200000000000002</v>
      </c>
      <c r="E71" s="864">
        <f>'Consumer Analysis - Lighting'!K74</f>
        <v>2.5943853238618639</v>
      </c>
      <c r="F71" s="864" t="s">
        <v>160</v>
      </c>
    </row>
    <row r="72" spans="1:6">
      <c r="B72" s="858" t="s">
        <v>83</v>
      </c>
      <c r="D72" s="863">
        <f>'Consumer Analysis - Lighting'!E75</f>
        <v>3.1</v>
      </c>
      <c r="E72" s="864">
        <f>'Consumer Analysis - Lighting'!K75</f>
        <v>3.6227903171044047</v>
      </c>
      <c r="F72" s="864" t="s">
        <v>160</v>
      </c>
    </row>
    <row r="73" spans="1:6">
      <c r="B73" s="858" t="s">
        <v>85</v>
      </c>
      <c r="D73" s="863">
        <f>'Consumer Analysis - Lighting'!E76</f>
        <v>4.4400000000000004</v>
      </c>
      <c r="E73" s="864">
        <f>'Consumer Analysis - Lighting'!K76</f>
        <v>5.1887706477237279</v>
      </c>
      <c r="F73" s="864" t="s">
        <v>160</v>
      </c>
    </row>
    <row r="74" spans="1:6">
      <c r="B74" s="858" t="s">
        <v>87</v>
      </c>
      <c r="D74" s="863">
        <f>'Consumer Analysis - Lighting'!E77</f>
        <v>6.66</v>
      </c>
      <c r="E74" s="864">
        <f>'Consumer Analysis - Lighting'!K77</f>
        <v>7.7831559715855922</v>
      </c>
      <c r="F74" s="864" t="s">
        <v>160</v>
      </c>
    </row>
    <row r="75" spans="1:6">
      <c r="B75" s="858" t="s">
        <v>91</v>
      </c>
      <c r="D75" s="863">
        <f>'Consumer Analysis - Lighting'!E78</f>
        <v>8.32</v>
      </c>
      <c r="E75" s="864">
        <f>'Consumer Analysis - Lighting'!K78</f>
        <v>9.7231017542931113</v>
      </c>
      <c r="F75" s="864" t="s">
        <v>160</v>
      </c>
    </row>
    <row r="76" spans="1:6">
      <c r="B76" s="858" t="s">
        <v>93</v>
      </c>
      <c r="D76" s="863">
        <f>'Consumer Analysis - Lighting'!E79</f>
        <v>12.76</v>
      </c>
      <c r="E76" s="864">
        <f>'Consumer Analysis - Lighting'!K79</f>
        <v>14.911872402016838</v>
      </c>
      <c r="F76" s="864" t="s">
        <v>160</v>
      </c>
    </row>
    <row r="77" spans="1:6">
      <c r="B77" s="858" t="s">
        <v>126</v>
      </c>
      <c r="D77" s="863">
        <f>'Consumer Analysis - Lighting'!E80</f>
        <v>0.111912</v>
      </c>
      <c r="E77" s="864">
        <f>'Consumer Analysis - Lighting'!K80</f>
        <v>9.0908664118565033E-2</v>
      </c>
      <c r="F77" s="864" t="s">
        <v>157</v>
      </c>
    </row>
    <row r="78" spans="1:6" ht="14.4" thickBot="1">
      <c r="A78" s="865"/>
      <c r="B78" s="866" t="s">
        <v>508</v>
      </c>
      <c r="D78" s="867"/>
      <c r="E78" s="868"/>
      <c r="F78" s="865"/>
    </row>
    <row r="79" spans="1:6" ht="14.4" thickTop="1">
      <c r="B79" s="862"/>
      <c r="D79" s="863"/>
      <c r="E79" s="864"/>
    </row>
    <row r="80" spans="1:6">
      <c r="B80" s="855" t="s">
        <v>18</v>
      </c>
      <c r="D80" s="863"/>
      <c r="E80" s="864"/>
    </row>
    <row r="81" spans="1:6">
      <c r="B81" s="869"/>
      <c r="D81" s="863"/>
      <c r="E81" s="864"/>
    </row>
    <row r="82" spans="1:6">
      <c r="B82" s="856" t="s">
        <v>127</v>
      </c>
      <c r="D82" s="863"/>
      <c r="E82" s="864"/>
    </row>
    <row r="83" spans="1:6">
      <c r="B83" s="857" t="s">
        <v>504</v>
      </c>
      <c r="D83" s="863"/>
      <c r="E83" s="864"/>
    </row>
    <row r="84" spans="1:6">
      <c r="B84" s="858" t="s">
        <v>75</v>
      </c>
      <c r="D84" s="863">
        <f>'Consumer Analysis - Lighting'!E87</f>
        <v>8.9499999999999993</v>
      </c>
      <c r="E84" s="864">
        <f>'Consumer Analysis - Lighting'!K87</f>
        <v>10.459346238091747</v>
      </c>
      <c r="F84" s="864" t="s">
        <v>160</v>
      </c>
    </row>
    <row r="85" spans="1:6">
      <c r="B85" s="858" t="s">
        <v>80</v>
      </c>
      <c r="D85" s="863">
        <f>'Consumer Analysis - Lighting'!E88</f>
        <v>9.32</v>
      </c>
      <c r="E85" s="864">
        <f>'Consumer Analysis - Lighting'!K88</f>
        <v>10.891743792068727</v>
      </c>
      <c r="F85" s="864" t="s">
        <v>160</v>
      </c>
    </row>
    <row r="86" spans="1:6">
      <c r="B86" s="858" t="s">
        <v>83</v>
      </c>
      <c r="D86" s="863">
        <f>'Consumer Analysis - Lighting'!E89</f>
        <v>10.1</v>
      </c>
      <c r="E86" s="864">
        <f>'Consumer Analysis - Lighting'!K89</f>
        <v>11.803284581533704</v>
      </c>
      <c r="F86" s="864" t="s">
        <v>160</v>
      </c>
    </row>
    <row r="87" spans="1:6">
      <c r="B87" s="858" t="s">
        <v>85</v>
      </c>
      <c r="D87" s="863">
        <f>'Consumer Analysis - Lighting'!E90</f>
        <v>10.89</v>
      </c>
      <c r="E87" s="864">
        <f>'Consumer Analysis - Lighting'!K90</f>
        <v>12.726511791376442</v>
      </c>
      <c r="F87" s="864" t="s">
        <v>160</v>
      </c>
    </row>
    <row r="88" spans="1:6">
      <c r="B88" s="858" t="s">
        <v>87</v>
      </c>
      <c r="D88" s="863">
        <f>'Consumer Analysis - Lighting'!E91</f>
        <v>13.16</v>
      </c>
      <c r="E88" s="864">
        <f>'Consumer Analysis - Lighting'!K91</f>
        <v>15.379329217127085</v>
      </c>
      <c r="F88" s="864" t="s">
        <v>160</v>
      </c>
    </row>
    <row r="89" spans="1:6">
      <c r="B89" s="858" t="s">
        <v>91</v>
      </c>
      <c r="D89" s="863">
        <f>'Consumer Analysis - Lighting'!E92</f>
        <v>14.32</v>
      </c>
      <c r="E89" s="864">
        <f>'Consumer Analysis - Lighting'!K92</f>
        <v>16.734953980946798</v>
      </c>
      <c r="F89" s="864" t="s">
        <v>160</v>
      </c>
    </row>
    <row r="90" spans="1:6">
      <c r="B90" s="858"/>
      <c r="D90" s="863"/>
      <c r="E90" s="864"/>
    </row>
    <row r="91" spans="1:6">
      <c r="B91" s="856" t="s">
        <v>135</v>
      </c>
      <c r="D91" s="863"/>
      <c r="E91" s="864"/>
    </row>
    <row r="92" spans="1:6">
      <c r="B92" s="857" t="s">
        <v>504</v>
      </c>
      <c r="D92" s="863"/>
      <c r="E92" s="864"/>
    </row>
    <row r="93" spans="1:6">
      <c r="B93" s="858" t="s">
        <v>137</v>
      </c>
      <c r="D93" s="863">
        <f>'Consumer Analysis - Lighting'!E96</f>
        <v>5.78</v>
      </c>
      <c r="E93" s="864">
        <f>'Consumer Analysis - Lighting'!K96</f>
        <v>6.7547509783430515</v>
      </c>
      <c r="F93" s="864" t="s">
        <v>160</v>
      </c>
    </row>
    <row r="94" spans="1:6" ht="14.4" thickBot="1">
      <c r="A94" s="865"/>
      <c r="B94" s="866" t="s">
        <v>509</v>
      </c>
      <c r="D94" s="867"/>
      <c r="E94" s="868"/>
      <c r="F94" s="865"/>
    </row>
    <row r="95" spans="1:6" ht="14.4" thickTop="1">
      <c r="B95" s="862"/>
      <c r="D95" s="863"/>
      <c r="E95" s="864"/>
    </row>
    <row r="96" spans="1:6">
      <c r="B96" s="855" t="s">
        <v>23</v>
      </c>
      <c r="D96" s="863"/>
      <c r="E96" s="864"/>
    </row>
    <row r="97" spans="1:6">
      <c r="B97" s="869"/>
      <c r="D97" s="863"/>
      <c r="E97" s="864"/>
    </row>
    <row r="98" spans="1:6">
      <c r="B98" s="857" t="s">
        <v>461</v>
      </c>
      <c r="D98" s="863">
        <f>'Consumer Analysis - Lighting'!E101</f>
        <v>5</v>
      </c>
      <c r="E98" s="864">
        <f>'Consumer Analysis - Lighting'!K101</f>
        <v>5.8432101888780714</v>
      </c>
      <c r="F98" s="864" t="s">
        <v>160</v>
      </c>
    </row>
    <row r="99" spans="1:6">
      <c r="B99" s="862"/>
      <c r="D99" s="863"/>
      <c r="E99" s="864"/>
      <c r="F99" s="864"/>
    </row>
    <row r="100" spans="1:6">
      <c r="B100" s="846" t="s">
        <v>462</v>
      </c>
      <c r="D100" s="863"/>
      <c r="E100" s="864"/>
      <c r="F100" s="864"/>
    </row>
    <row r="101" spans="1:6">
      <c r="B101" s="847" t="s">
        <v>474</v>
      </c>
      <c r="D101" s="863">
        <f>'Consumer Analysis - Lighting'!E104</f>
        <v>7.9411999999999996E-2</v>
      </c>
      <c r="E101" s="873">
        <f>'Consumer Analysis - Lighting'!K104</f>
        <v>5.2927797890857574E-2</v>
      </c>
      <c r="F101" s="864" t="s">
        <v>157</v>
      </c>
    </row>
    <row r="102" spans="1:6" ht="14.4" thickBot="1">
      <c r="A102" s="865"/>
      <c r="B102" s="866" t="s">
        <v>510</v>
      </c>
      <c r="D102" s="867"/>
      <c r="E102" s="868"/>
      <c r="F102" s="865"/>
    </row>
    <row r="103" spans="1:6" ht="14.4" thickTop="1">
      <c r="B103" s="862"/>
      <c r="D103" s="863"/>
      <c r="E103" s="864"/>
    </row>
    <row r="104" spans="1:6">
      <c r="B104" s="855" t="s">
        <v>25</v>
      </c>
      <c r="D104" s="863"/>
      <c r="E104" s="864"/>
    </row>
    <row r="105" spans="1:6">
      <c r="B105" s="862"/>
      <c r="D105" s="863"/>
      <c r="E105" s="864"/>
    </row>
    <row r="106" spans="1:6">
      <c r="B106" s="846" t="s">
        <v>462</v>
      </c>
      <c r="D106" s="863"/>
      <c r="E106" s="864"/>
    </row>
    <row r="107" spans="1:6">
      <c r="B107" s="847" t="s">
        <v>474</v>
      </c>
      <c r="D107" s="863">
        <f>'Consumer Analysis - Lighting'!E110</f>
        <v>9.3411999999999995E-2</v>
      </c>
      <c r="E107" s="873">
        <f>'Consumer Analysis - Lighting'!K110</f>
        <v>6.9288786419716183E-2</v>
      </c>
      <c r="F107" s="864" t="s">
        <v>157</v>
      </c>
    </row>
    <row r="108" spans="1:6" ht="14.4" thickBot="1">
      <c r="A108" s="865"/>
      <c r="B108" s="866" t="s">
        <v>511</v>
      </c>
      <c r="D108" s="867"/>
      <c r="E108" s="868"/>
      <c r="F108" s="865"/>
    </row>
    <row r="109" spans="1:6" ht="14.4" thickTop="1">
      <c r="B109" s="862"/>
      <c r="D109" s="863"/>
      <c r="E109" s="864"/>
    </row>
    <row r="110" spans="1:6">
      <c r="B110" s="855" t="s">
        <v>26</v>
      </c>
      <c r="D110" s="863"/>
      <c r="E110" s="864"/>
    </row>
    <row r="111" spans="1:6">
      <c r="B111" s="869"/>
      <c r="D111" s="863"/>
      <c r="E111" s="864"/>
    </row>
    <row r="112" spans="1:6">
      <c r="B112" s="857" t="s">
        <v>461</v>
      </c>
      <c r="D112" s="863">
        <f>'Consumer Analysis - Lighting'!E115</f>
        <v>5</v>
      </c>
      <c r="E112" s="864">
        <f>'Consumer Analysis - Lighting'!K115</f>
        <v>5.8432101888780714</v>
      </c>
      <c r="F112" s="864" t="s">
        <v>160</v>
      </c>
    </row>
    <row r="113" spans="1:6">
      <c r="B113" s="862"/>
      <c r="D113" s="863"/>
      <c r="E113" s="864"/>
      <c r="F113" s="864"/>
    </row>
    <row r="114" spans="1:6">
      <c r="B114" s="846" t="s">
        <v>462</v>
      </c>
      <c r="D114" s="863"/>
      <c r="E114" s="864"/>
      <c r="F114" s="864"/>
    </row>
    <row r="115" spans="1:6">
      <c r="B115" s="847" t="s">
        <v>474</v>
      </c>
      <c r="D115" s="863">
        <f>'Consumer Analysis - Lighting'!E118</f>
        <v>7.9411999999999996E-2</v>
      </c>
      <c r="E115" s="873">
        <f>'Consumer Analysis - Lighting'!K118</f>
        <v>5.2927797890857574E-2</v>
      </c>
      <c r="F115" s="864" t="s">
        <v>157</v>
      </c>
    </row>
    <row r="116" spans="1:6" ht="14.4" thickBot="1">
      <c r="A116" s="865"/>
      <c r="B116" s="866" t="s">
        <v>512</v>
      </c>
      <c r="D116" s="867"/>
      <c r="E116" s="868"/>
      <c r="F116" s="865"/>
    </row>
    <row r="117" spans="1:6" ht="14.4" thickTop="1">
      <c r="B117" s="862"/>
      <c r="D117" s="863"/>
      <c r="E117" s="864"/>
    </row>
    <row r="118" spans="1:6">
      <c r="B118" s="855" t="s">
        <v>27</v>
      </c>
      <c r="D118" s="863"/>
      <c r="E118" s="864"/>
    </row>
    <row r="119" spans="1:6">
      <c r="B119" s="862"/>
      <c r="D119" s="863"/>
      <c r="E119" s="864"/>
    </row>
    <row r="120" spans="1:6">
      <c r="B120" s="857" t="s">
        <v>504</v>
      </c>
      <c r="D120" s="863">
        <f>'Consumer Analysis - Lighting'!E123</f>
        <v>1.51</v>
      </c>
      <c r="E120" s="864">
        <f>'Consumer Analysis - Lighting'!K123</f>
        <v>1.7646494770411778</v>
      </c>
      <c r="F120" s="864" t="s">
        <v>169</v>
      </c>
    </row>
    <row r="121" spans="1:6" ht="14.4" thickBot="1">
      <c r="A121" s="865"/>
      <c r="B121" s="866" t="s">
        <v>513</v>
      </c>
      <c r="D121" s="867"/>
      <c r="E121" s="868"/>
      <c r="F121" s="865"/>
    </row>
    <row r="122" spans="1:6" ht="14.4" thickTop="1">
      <c r="B122" s="862"/>
      <c r="D122" s="863"/>
      <c r="E122" s="864"/>
    </row>
    <row r="123" spans="1:6">
      <c r="B123" s="855" t="s">
        <v>28</v>
      </c>
      <c r="D123" s="863"/>
      <c r="E123" s="864"/>
    </row>
    <row r="124" spans="1:6">
      <c r="B124" s="862"/>
      <c r="D124" s="863"/>
      <c r="E124" s="864"/>
    </row>
    <row r="125" spans="1:6">
      <c r="B125" s="857" t="s">
        <v>504</v>
      </c>
      <c r="D125" s="863">
        <f>'Consumer Analysis - Lighting'!E128</f>
        <v>7.51</v>
      </c>
      <c r="E125" s="864">
        <f>'Consumer Analysis - Lighting'!K128</f>
        <v>8.7765017036948638</v>
      </c>
      <c r="F125" s="864" t="s">
        <v>170</v>
      </c>
    </row>
    <row r="126" spans="1:6" ht="14.4" thickBot="1">
      <c r="A126" s="865"/>
      <c r="B126" s="866" t="s">
        <v>514</v>
      </c>
      <c r="D126" s="867"/>
      <c r="E126" s="868"/>
      <c r="F126" s="865"/>
    </row>
    <row r="127" spans="1:6" ht="14.4" thickTop="1">
      <c r="B127" s="862"/>
      <c r="D127" s="863"/>
      <c r="E127" s="864"/>
    </row>
    <row r="128" spans="1:6">
      <c r="B128" s="855" t="s">
        <v>29</v>
      </c>
      <c r="D128" s="863"/>
      <c r="E128" s="864"/>
    </row>
    <row r="129" spans="1:7">
      <c r="B129" s="856"/>
      <c r="D129" s="863"/>
      <c r="E129" s="864"/>
    </row>
    <row r="130" spans="1:7">
      <c r="B130" s="857" t="s">
        <v>504</v>
      </c>
      <c r="D130" s="872">
        <f>'Consumer Analysis - Lighting'!E133</f>
        <v>2</v>
      </c>
      <c r="E130" s="873">
        <f>'Consumer Analysis - Lighting'!K133</f>
        <v>2.3372840755512287</v>
      </c>
      <c r="F130" s="873" t="s">
        <v>171</v>
      </c>
    </row>
    <row r="131" spans="1:7" ht="14.4" thickBot="1">
      <c r="A131" s="865"/>
      <c r="B131" s="866" t="s">
        <v>515</v>
      </c>
      <c r="D131" s="867"/>
      <c r="E131" s="868"/>
      <c r="F131" s="865"/>
    </row>
    <row r="132" spans="1:7" ht="14.4" thickTop="1">
      <c r="A132" s="874"/>
      <c r="B132" s="874"/>
      <c r="D132" s="874"/>
      <c r="E132" s="874"/>
      <c r="F132" s="874"/>
    </row>
    <row r="136" spans="1:7">
      <c r="C136" s="838"/>
      <c r="G136" s="838"/>
    </row>
    <row r="137" spans="1:7">
      <c r="C137" s="838"/>
      <c r="G137" s="838"/>
    </row>
    <row r="138" spans="1:7">
      <c r="C138" s="838"/>
      <c r="G138" s="838"/>
    </row>
    <row r="139" spans="1:7">
      <c r="C139" s="838"/>
      <c r="G139" s="838"/>
    </row>
    <row r="140" spans="1:7">
      <c r="C140" s="838"/>
      <c r="G140" s="838"/>
    </row>
    <row r="141" spans="1:7">
      <c r="C141" s="838"/>
      <c r="G141" s="838"/>
    </row>
    <row r="142" spans="1:7">
      <c r="C142" s="838"/>
      <c r="G142" s="838"/>
    </row>
    <row r="143" spans="1:7">
      <c r="C143" s="838"/>
      <c r="G143" s="838"/>
    </row>
    <row r="144" spans="1:7">
      <c r="C144" s="838"/>
      <c r="G144" s="838"/>
    </row>
    <row r="145" spans="3:7">
      <c r="C145" s="838"/>
      <c r="G145" s="838"/>
    </row>
    <row r="146" spans="3:7">
      <c r="C146" s="838"/>
      <c r="G146" s="838"/>
    </row>
    <row r="147" spans="3:7">
      <c r="C147" s="838"/>
      <c r="G147" s="838"/>
    </row>
    <row r="148" spans="3:7">
      <c r="C148" s="838"/>
      <c r="G148" s="838"/>
    </row>
    <row r="149" spans="3:7">
      <c r="C149" s="838"/>
      <c r="G149" s="838"/>
    </row>
    <row r="150" spans="3:7">
      <c r="C150" s="838"/>
      <c r="G150" s="838"/>
    </row>
    <row r="151" spans="3:7">
      <c r="C151" s="838"/>
      <c r="G151" s="838"/>
    </row>
    <row r="152" spans="3:7">
      <c r="C152" s="838"/>
      <c r="G152" s="838"/>
    </row>
    <row r="153" spans="3:7">
      <c r="C153" s="838"/>
      <c r="G153" s="838"/>
    </row>
    <row r="154" spans="3:7">
      <c r="C154" s="838"/>
      <c r="G154" s="838"/>
    </row>
    <row r="155" spans="3:7">
      <c r="C155" s="838"/>
      <c r="G155" s="838"/>
    </row>
    <row r="156" spans="3:7">
      <c r="C156" s="838"/>
      <c r="G156" s="838"/>
    </row>
    <row r="157" spans="3:7">
      <c r="C157" s="838"/>
      <c r="G157" s="838"/>
    </row>
    <row r="158" spans="3:7">
      <c r="C158" s="838"/>
      <c r="G158" s="838"/>
    </row>
    <row r="159" spans="3:7">
      <c r="C159" s="838"/>
      <c r="G159" s="838"/>
    </row>
    <row r="160" spans="3:7">
      <c r="C160" s="838"/>
      <c r="G160" s="838"/>
    </row>
    <row r="161" spans="3:7">
      <c r="C161" s="838"/>
      <c r="G161" s="838"/>
    </row>
    <row r="162" spans="3:7">
      <c r="C162" s="838"/>
      <c r="G162" s="838"/>
    </row>
    <row r="163" spans="3:7">
      <c r="C163" s="838"/>
      <c r="G163" s="838"/>
    </row>
    <row r="164" spans="3:7">
      <c r="C164" s="838"/>
      <c r="G164" s="838"/>
    </row>
    <row r="165" spans="3:7">
      <c r="C165" s="838"/>
      <c r="G165" s="838"/>
    </row>
    <row r="166" spans="3:7">
      <c r="C166" s="838"/>
      <c r="G166" s="838"/>
    </row>
    <row r="167" spans="3:7">
      <c r="C167" s="838"/>
      <c r="G167" s="838"/>
    </row>
    <row r="168" spans="3:7">
      <c r="C168" s="838"/>
      <c r="G168" s="838"/>
    </row>
    <row r="169" spans="3:7">
      <c r="C169" s="838"/>
      <c r="G169" s="838"/>
    </row>
    <row r="170" spans="3:7">
      <c r="C170" s="838"/>
      <c r="G170" s="838"/>
    </row>
    <row r="171" spans="3:7">
      <c r="C171" s="838"/>
      <c r="G171" s="838"/>
    </row>
    <row r="172" spans="3:7">
      <c r="C172" s="838"/>
      <c r="G172" s="838"/>
    </row>
    <row r="173" spans="3:7">
      <c r="C173" s="838"/>
      <c r="G173" s="838"/>
    </row>
    <row r="174" spans="3:7">
      <c r="C174" s="838"/>
      <c r="G174" s="838"/>
    </row>
    <row r="175" spans="3:7">
      <c r="C175" s="838"/>
      <c r="G175" s="838"/>
    </row>
    <row r="176" spans="3:7">
      <c r="C176" s="838"/>
      <c r="G176" s="838"/>
    </row>
    <row r="177" spans="3:7">
      <c r="C177" s="838"/>
      <c r="G177" s="838"/>
    </row>
    <row r="178" spans="3:7">
      <c r="C178" s="838"/>
      <c r="G178" s="838"/>
    </row>
    <row r="179" spans="3:7">
      <c r="C179" s="838"/>
      <c r="G179" s="838"/>
    </row>
    <row r="180" spans="3:7">
      <c r="C180" s="838"/>
      <c r="G180" s="838"/>
    </row>
    <row r="181" spans="3:7">
      <c r="C181" s="838"/>
      <c r="G181" s="838"/>
    </row>
    <row r="182" spans="3:7">
      <c r="C182" s="838"/>
      <c r="G182" s="838"/>
    </row>
    <row r="183" spans="3:7">
      <c r="C183" s="838"/>
      <c r="G183" s="838"/>
    </row>
    <row r="184" spans="3:7">
      <c r="C184" s="838"/>
      <c r="G184" s="838"/>
    </row>
  </sheetData>
  <mergeCells count="1">
    <mergeCell ref="B2:D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1B888-883D-4907-9DBB-1113F3BE8FD1}">
  <sheetPr codeName="Sheet23">
    <tabColor theme="4"/>
  </sheetPr>
  <dimension ref="A1"/>
  <sheetViews>
    <sheetView workbookViewId="0"/>
  </sheetViews>
  <sheetFormatPr defaultColWidth="8.796875" defaultRowHeight="13.8"/>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525E8-1AC7-4CF0-B4B0-120F954788D3}">
  <sheetPr codeName="Sheet9">
    <tabColor theme="3" tint="0.79998168889431442"/>
    <pageSetUpPr fitToPage="1"/>
  </sheetPr>
  <dimension ref="A1:AM51"/>
  <sheetViews>
    <sheetView workbookViewId="0">
      <pane xSplit="3" topLeftCell="D1" activePane="topRight" state="frozen"/>
      <selection activeCell="A4" sqref="A4"/>
      <selection pane="topRight" activeCell="D1" sqref="D1"/>
    </sheetView>
  </sheetViews>
  <sheetFormatPr defaultColWidth="8.296875" defaultRowHeight="13.2"/>
  <cols>
    <col min="1" max="1" width="1.5" style="692" customWidth="1"/>
    <col min="2" max="2" width="22.69921875" style="692" customWidth="1"/>
    <col min="3" max="3" width="0.69921875" style="692" customWidth="1"/>
    <col min="4" max="4" width="44" style="692" customWidth="1"/>
    <col min="5" max="5" width="14" style="692" customWidth="1"/>
    <col min="6" max="6" width="12.5" style="692" customWidth="1"/>
    <col min="7" max="7" width="13.5" style="692" customWidth="1"/>
    <col min="8" max="8" width="1.5" style="692" customWidth="1"/>
    <col min="9" max="9" width="12.5" style="692" customWidth="1"/>
    <col min="10" max="10" width="1.5" style="692" customWidth="1"/>
    <col min="11" max="11" width="10.296875" style="692" customWidth="1"/>
    <col min="12" max="12" width="1" style="692" customWidth="1"/>
    <col min="13" max="13" width="11.19921875" style="692" customWidth="1"/>
    <col min="14" max="15" width="12.09765625" style="692" customWidth="1"/>
    <col min="16" max="16" width="1.296875" style="692" customWidth="1"/>
    <col min="17" max="17" width="20.796875" style="692" customWidth="1"/>
    <col min="18" max="18" width="20" style="692" customWidth="1"/>
    <col min="19" max="19" width="1.296875" style="692" customWidth="1"/>
    <col min="20" max="22" width="10.296875" style="692" customWidth="1"/>
    <col min="23" max="23" width="8.296875" style="692" customWidth="1"/>
    <col min="24" max="24" width="23.5" style="692" customWidth="1"/>
    <col min="25" max="25" width="20.296875" style="692" customWidth="1"/>
    <col min="26" max="27" width="12" style="692" customWidth="1"/>
    <col min="28" max="28" width="4" style="692" customWidth="1"/>
    <col min="29" max="29" width="23.5" style="692" customWidth="1"/>
    <col min="30" max="30" width="20.296875" style="692" customWidth="1"/>
    <col min="31" max="32" width="12" style="692" bestFit="1" customWidth="1"/>
    <col min="33" max="33" width="4" style="692" customWidth="1"/>
    <col min="34" max="34" width="23.5" style="692" customWidth="1"/>
    <col min="35" max="35" width="20.296875" style="692" customWidth="1"/>
    <col min="36" max="37" width="12" style="692" bestFit="1" customWidth="1"/>
    <col min="38" max="39" width="8.296875" style="692"/>
    <col min="40" max="16384" width="8.296875" style="3"/>
  </cols>
  <sheetData>
    <row r="1" spans="2:37">
      <c r="E1" s="774"/>
      <c r="F1" s="774"/>
      <c r="G1" s="774"/>
      <c r="H1" s="774"/>
      <c r="I1" s="774"/>
      <c r="J1" s="774"/>
      <c r="K1" s="774"/>
    </row>
    <row r="2" spans="2:37">
      <c r="B2" s="1575" t="s">
        <v>635</v>
      </c>
      <c r="C2" s="1576"/>
      <c r="D2" s="1573"/>
    </row>
    <row r="3" spans="2:37">
      <c r="B3" s="779" t="s">
        <v>526</v>
      </c>
      <c r="C3" s="773"/>
      <c r="D3" s="875">
        <f>'Lists and Mapping'!C10</f>
        <v>2027</v>
      </c>
      <c r="E3" s="689"/>
      <c r="F3" s="689"/>
      <c r="G3" s="689"/>
      <c r="H3" s="689"/>
      <c r="I3" s="689"/>
      <c r="J3" s="689"/>
      <c r="K3" s="689"/>
    </row>
    <row r="4" spans="2:37">
      <c r="B4" s="779" t="s">
        <v>334</v>
      </c>
      <c r="C4" s="773"/>
      <c r="D4" s="875" t="str">
        <f>'Lists and Mapping'!C12</f>
        <v>PREB Approved, Reconciliation in FY27</v>
      </c>
      <c r="E4" s="689"/>
      <c r="F4" s="689"/>
      <c r="G4" s="689"/>
      <c r="H4" s="689"/>
      <c r="I4" s="689"/>
      <c r="J4" s="689"/>
      <c r="K4" s="689"/>
      <c r="Q4" s="876" t="s">
        <v>524</v>
      </c>
    </row>
    <row r="5" spans="2:37">
      <c r="B5" s="779" t="s">
        <v>529</v>
      </c>
      <c r="C5" s="773"/>
      <c r="D5" s="875" t="str">
        <f>'Lists and Mapping'!C13</f>
        <v>PREB FY2027</v>
      </c>
      <c r="E5" s="689"/>
      <c r="F5" s="689"/>
      <c r="Q5" s="877">
        <f>INDEX('Revenue Requirement'!$C$3:$E$3,MATCH($D$4,'Revenue Requirement'!$F$3:$F$3,0),MATCH($D$3,'Revenue Requirement'!$C$2:$E$2,0))</f>
        <v>1793828425</v>
      </c>
    </row>
    <row r="6" spans="2:37">
      <c r="B6" s="784" t="s">
        <v>532</v>
      </c>
      <c r="C6" s="878"/>
      <c r="D6" s="875" t="str">
        <f>'Lists and Mapping'!C14</f>
        <v>PREB FY2027</v>
      </c>
      <c r="G6" s="1577" t="str">
        <f>"PROPOSED"</f>
        <v>PROPOSED</v>
      </c>
      <c r="H6" s="1578"/>
      <c r="I6" s="1578"/>
      <c r="J6" s="1578"/>
      <c r="K6" s="1579"/>
    </row>
    <row r="7" spans="2:37">
      <c r="C7" s="689"/>
      <c r="D7" s="689"/>
      <c r="E7" s="879" t="s">
        <v>339</v>
      </c>
      <c r="F7" s="880" t="s">
        <v>340</v>
      </c>
      <c r="G7" s="881"/>
      <c r="H7" s="882"/>
      <c r="I7" s="882" t="s">
        <v>341</v>
      </c>
      <c r="J7" s="882"/>
      <c r="K7" s="880" t="s">
        <v>342</v>
      </c>
      <c r="L7" s="699"/>
      <c r="M7" s="699"/>
      <c r="N7" s="699"/>
      <c r="O7" s="699"/>
      <c r="P7" s="699"/>
      <c r="Q7" s="699"/>
      <c r="R7" s="699"/>
      <c r="T7" s="1580" t="s">
        <v>530</v>
      </c>
      <c r="U7" s="1581"/>
      <c r="V7" s="1582"/>
    </row>
    <row r="8" spans="2:37" ht="79.2">
      <c r="B8" s="736"/>
      <c r="C8" s="689"/>
      <c r="D8" s="883" t="s">
        <v>343</v>
      </c>
      <c r="E8" s="884" t="s">
        <v>344</v>
      </c>
      <c r="F8" s="885" t="s">
        <v>345</v>
      </c>
      <c r="G8" s="884" t="s">
        <v>345</v>
      </c>
      <c r="H8" s="883"/>
      <c r="I8" s="883" t="s">
        <v>346</v>
      </c>
      <c r="J8" s="883"/>
      <c r="K8" s="885" t="s">
        <v>346</v>
      </c>
      <c r="L8" s="699"/>
      <c r="M8" s="886" t="s">
        <v>572</v>
      </c>
      <c r="N8" s="886" t="s">
        <v>574</v>
      </c>
      <c r="O8" s="886" t="s">
        <v>573</v>
      </c>
      <c r="P8" s="699"/>
      <c r="Q8" s="887" t="s">
        <v>520</v>
      </c>
      <c r="R8" s="888" t="s">
        <v>521</v>
      </c>
      <c r="T8" s="889" t="s">
        <v>594</v>
      </c>
      <c r="U8" s="889" t="s">
        <v>595</v>
      </c>
      <c r="V8" s="889" t="s">
        <v>596</v>
      </c>
      <c r="X8" s="715" t="s">
        <v>634</v>
      </c>
      <c r="Y8" s="715" t="s">
        <v>593</v>
      </c>
      <c r="Z8" s="715" t="s">
        <v>583</v>
      </c>
      <c r="AA8" s="715" t="s">
        <v>584</v>
      </c>
      <c r="AC8" s="715" t="s">
        <v>595</v>
      </c>
      <c r="AD8" s="715" t="s">
        <v>598</v>
      </c>
      <c r="AE8" s="715" t="s">
        <v>583</v>
      </c>
      <c r="AF8" s="715" t="s">
        <v>584</v>
      </c>
      <c r="AH8" s="715" t="s">
        <v>596</v>
      </c>
      <c r="AI8" s="715" t="s">
        <v>598</v>
      </c>
      <c r="AJ8" s="715" t="s">
        <v>583</v>
      </c>
      <c r="AK8" s="715" t="s">
        <v>584</v>
      </c>
    </row>
    <row r="9" spans="2:37" ht="13.8" thickBot="1">
      <c r="E9" s="890"/>
      <c r="F9" s="891"/>
      <c r="G9" s="890"/>
      <c r="K9" s="891"/>
      <c r="M9" s="890"/>
      <c r="O9" s="891"/>
      <c r="Q9" s="890"/>
      <c r="R9" s="891"/>
      <c r="T9" s="890"/>
      <c r="V9" s="891"/>
    </row>
    <row r="10" spans="2:37">
      <c r="B10" s="699" t="s">
        <v>3</v>
      </c>
      <c r="D10" s="692" t="s">
        <v>347</v>
      </c>
      <c r="E10" s="892">
        <f>VLOOKUP("TOTAL "&amp;$B10, 'Consumer Analysis'!$B$11:$N$162, 3,FALSE)</f>
        <v>5466100000</v>
      </c>
      <c r="F10" s="893">
        <f>VLOOKUP("TOTAL "&amp;$B10, 'Consumer Analysis'!$B$11:$N$162, 7,FALSE)</f>
        <v>526773832</v>
      </c>
      <c r="G10" s="894">
        <f>VLOOKUP("TOTAL "&amp;$B10, 'Consumer Analysis'!$B$11:$N$162, 13,FALSE)</f>
        <v>587909072</v>
      </c>
      <c r="I10" s="895">
        <f>G10-F10</f>
        <v>61135240</v>
      </c>
      <c r="K10" s="896">
        <f>IF(F10=0,0,ROUND((G10-F10)/F10,9))</f>
        <v>0.116055955</v>
      </c>
      <c r="M10" s="897">
        <f>G10/$G$38</f>
        <v>0.32773985756418483</v>
      </c>
      <c r="N10" s="898">
        <f>G10-F10</f>
        <v>61135240</v>
      </c>
      <c r="O10" s="899">
        <f>N10/$F10</f>
        <v>0.11605595473087205</v>
      </c>
      <c r="Q10" s="900">
        <f>INDEX($T10:$V10,MATCH($D$5,$T$8:$V$8,0))</f>
        <v>0.32773985760596219</v>
      </c>
      <c r="R10" s="901">
        <f>Q10*$Q$5</f>
        <v>587909072.57902741</v>
      </c>
      <c r="T10" s="902">
        <v>0.3240744619425513</v>
      </c>
      <c r="U10" s="903">
        <v>0.32773985760596219</v>
      </c>
      <c r="V10" s="904">
        <v>0.32773985760596219</v>
      </c>
      <c r="X10" s="905" t="s">
        <v>581</v>
      </c>
      <c r="Y10" s="906">
        <v>555556635</v>
      </c>
      <c r="Z10" s="907">
        <f>Y10</f>
        <v>555556635</v>
      </c>
      <c r="AA10" s="908">
        <f>Z10/$Z$38</f>
        <v>0.32773985760596219</v>
      </c>
      <c r="AC10" s="905" t="s">
        <v>581</v>
      </c>
      <c r="AD10" s="906">
        <v>587909072.57902741</v>
      </c>
      <c r="AE10" s="907">
        <f>AD10</f>
        <v>587909072.57902741</v>
      </c>
      <c r="AF10" s="908">
        <f>AE10/$AE$38</f>
        <v>0.32773985760596225</v>
      </c>
      <c r="AH10" s="905" t="s">
        <v>581</v>
      </c>
      <c r="AI10" s="906">
        <v>555561961.75590563</v>
      </c>
      <c r="AJ10" s="907">
        <f>AI10</f>
        <v>555561961.75590563</v>
      </c>
      <c r="AK10" s="908">
        <f>AJ10/$AJ$38</f>
        <v>0.32773985760596219</v>
      </c>
    </row>
    <row r="11" spans="2:37">
      <c r="B11" s="699" t="s">
        <v>6</v>
      </c>
      <c r="D11" s="692" t="s">
        <v>348</v>
      </c>
      <c r="E11" s="892">
        <f>VLOOKUP("TOTAL "&amp;$B11, 'Consumer Analysis'!$B$11:$N$162, 3,FALSE)</f>
        <v>455100000</v>
      </c>
      <c r="F11" s="893">
        <f>VLOOKUP("TOTAL "&amp;$B11, 'Consumer Analysis'!$B$11:$N$162, 7,FALSE)</f>
        <v>26450426</v>
      </c>
      <c r="G11" s="894">
        <f>VLOOKUP("TOTAL "&amp;$B11, 'Consumer Analysis'!$B$11:$N$162, 13,FALSE)</f>
        <v>27411161</v>
      </c>
      <c r="I11" s="895">
        <f>G11-F11</f>
        <v>960735</v>
      </c>
      <c r="K11" s="896">
        <f>IF(F11=0,0,ROUND((G11-F11)/F11,9))</f>
        <v>3.6322098999999997E-2</v>
      </c>
      <c r="M11" s="897">
        <f t="shared" ref="M11:M38" si="0">G11/$G$38</f>
        <v>1.5280815401006329E-2</v>
      </c>
      <c r="N11" s="898">
        <f>G11-F11</f>
        <v>960735</v>
      </c>
      <c r="O11" s="899">
        <f>N11/$F11</f>
        <v>3.6322099311368372E-2</v>
      </c>
      <c r="Q11" s="900">
        <f>INDEX($T11:$V11,MATCH($D$5,$T$8:$V$8,0))</f>
        <v>1.5280815574252916E-2</v>
      </c>
      <c r="R11" s="909">
        <f>Q11*$Q$5</f>
        <v>27411161.334277578</v>
      </c>
      <c r="T11" s="902">
        <v>1.6197047581275152E-2</v>
      </c>
      <c r="U11" s="903">
        <v>1.5280815574252916E-2</v>
      </c>
      <c r="V11" s="904">
        <v>1.5281487946302314E-2</v>
      </c>
      <c r="X11" s="910"/>
      <c r="Y11" s="911">
        <v>25903874.137419932</v>
      </c>
      <c r="Z11" s="912">
        <f>Y11</f>
        <v>25903874.137419932</v>
      </c>
      <c r="AA11" s="908">
        <f t="shared" ref="AA11:AA35" si="1">Z11/$Z$38</f>
        <v>1.5281487946302316E-2</v>
      </c>
      <c r="AC11" s="910"/>
      <c r="AD11" s="911">
        <v>27411161.334277578</v>
      </c>
      <c r="AE11" s="912">
        <f>AD11</f>
        <v>27411161.334277578</v>
      </c>
      <c r="AF11" s="908">
        <f t="shared" ref="AF11:AF13" si="2">AE11/$AE$38</f>
        <v>1.5280815574252917E-2</v>
      </c>
      <c r="AH11" s="910"/>
      <c r="AI11" s="911">
        <v>25904122.507443521</v>
      </c>
      <c r="AJ11" s="912">
        <f>AI11</f>
        <v>25904122.507443521</v>
      </c>
      <c r="AK11" s="908">
        <f t="shared" ref="AK11:AK13" si="3">AJ11/$AJ$38</f>
        <v>1.5281487946302316E-2</v>
      </c>
    </row>
    <row r="12" spans="2:37">
      <c r="B12" s="699" t="s">
        <v>8</v>
      </c>
      <c r="D12" s="692" t="s">
        <v>349</v>
      </c>
      <c r="E12" s="892">
        <f>VLOOKUP("TOTAL "&amp;$B12, 'Consumer Analysis'!$B$11:$N$162, 3,FALSE)</f>
        <v>16400000</v>
      </c>
      <c r="F12" s="893">
        <f>VLOOKUP("TOTAL "&amp;$B12, 'Consumer Analysis'!$B$11:$N$162, 7,FALSE)</f>
        <v>762679</v>
      </c>
      <c r="G12" s="894">
        <f>VLOOKUP("TOTAL "&amp;$B12, 'Consumer Analysis'!$B$11:$N$162, 13,FALSE)</f>
        <v>987790</v>
      </c>
      <c r="I12" s="895">
        <f>G12-F12</f>
        <v>225111</v>
      </c>
      <c r="K12" s="896">
        <f>IF(F12=0,0,ROUND((G12-F12)/F12,9))</f>
        <v>0.29515825099999998</v>
      </c>
      <c r="M12" s="897">
        <f t="shared" si="0"/>
        <v>5.5066024547300424E-4</v>
      </c>
      <c r="N12" s="898">
        <f>G12-F12</f>
        <v>225111</v>
      </c>
      <c r="O12" s="899">
        <f>N12/$F12</f>
        <v>0.29515825137443147</v>
      </c>
      <c r="Q12" s="900">
        <f>INDEX($T12:$V12,MATCH($D$5,$T$8:$V$8,0))</f>
        <v>5.5066014454469784E-4</v>
      </c>
      <c r="R12" s="909">
        <f>Q12*$Q$5</f>
        <v>987789.81979888771</v>
      </c>
      <c r="T12" s="902">
        <v>4.6662373516305722E-4</v>
      </c>
      <c r="U12" s="903">
        <v>5.5066014454469784E-4</v>
      </c>
      <c r="V12" s="904">
        <v>5.4972398323826848E-4</v>
      </c>
      <c r="X12" s="910"/>
      <c r="Y12" s="911">
        <v>931845.17909271526</v>
      </c>
      <c r="Z12" s="912">
        <f>Y12</f>
        <v>931845.17909271526</v>
      </c>
      <c r="AA12" s="908">
        <f t="shared" si="1"/>
        <v>5.4972398323826848E-4</v>
      </c>
      <c r="AC12" s="910"/>
      <c r="AD12" s="911">
        <v>987789.81979888771</v>
      </c>
      <c r="AE12" s="912">
        <f>AD12</f>
        <v>987789.81979888771</v>
      </c>
      <c r="AF12" s="908">
        <f t="shared" si="2"/>
        <v>5.5066014454469795E-4</v>
      </c>
      <c r="AH12" s="910"/>
      <c r="AI12" s="911">
        <v>931854.11375661485</v>
      </c>
      <c r="AJ12" s="912">
        <f>AI12</f>
        <v>931854.11375661485</v>
      </c>
      <c r="AK12" s="908">
        <f t="shared" si="3"/>
        <v>5.4972398323826859E-4</v>
      </c>
    </row>
    <row r="13" spans="2:37" ht="26.4">
      <c r="B13" s="699" t="s">
        <v>9</v>
      </c>
      <c r="D13" s="715" t="s">
        <v>350</v>
      </c>
      <c r="E13" s="892">
        <f>VLOOKUP("TOTAL "&amp;$B13, 'Consumer Analysis'!$B$11:$N$162, 3,FALSE)</f>
        <v>262000000.00000003</v>
      </c>
      <c r="F13" s="893">
        <f>VLOOKUP("TOTAL "&amp;$B13, 'Consumer Analysis'!$B$11:$N$162, 7,FALSE)</f>
        <v>32930954</v>
      </c>
      <c r="G13" s="894">
        <f>VLOOKUP("TOTAL "&amp;$B13, 'Consumer Analysis'!$B$11:$N$162, 13,FALSE)</f>
        <v>31226965</v>
      </c>
      <c r="I13" s="895">
        <f>G13-F13</f>
        <v>-1703989</v>
      </c>
      <c r="K13" s="896">
        <f>IF(F13=0,0,ROUND((G13-F13)/F13,9))</f>
        <v>-5.1744295000000003E-2</v>
      </c>
      <c r="M13" s="914">
        <f t="shared" si="0"/>
        <v>1.7407999890945356E-2</v>
      </c>
      <c r="N13" s="915">
        <f>G13-F13</f>
        <v>-1703989</v>
      </c>
      <c r="O13" s="916">
        <f>N13/$F13</f>
        <v>-5.174429504836088E-2</v>
      </c>
      <c r="Q13" s="900">
        <f>INDEX($T13:$V13,MATCH($D$5,$T$8:$V$8,0))</f>
        <v>1.7408E-2</v>
      </c>
      <c r="R13" s="909">
        <f>Q13*$Q$5</f>
        <v>31226965.222399998</v>
      </c>
      <c r="T13" s="902">
        <v>1.9585597469582754E-2</v>
      </c>
      <c r="U13" s="903">
        <v>1.7408E-2</v>
      </c>
      <c r="V13" s="904">
        <v>1.6721137067785129E-2</v>
      </c>
      <c r="X13" s="910"/>
      <c r="Y13" s="911">
        <v>31692528.290170506</v>
      </c>
      <c r="Z13" s="912">
        <f>Y13</f>
        <v>31692528.290170506</v>
      </c>
      <c r="AA13" s="908">
        <f t="shared" si="1"/>
        <v>1.8696392149098191E-2</v>
      </c>
      <c r="AC13" s="910"/>
      <c r="AD13" s="911">
        <v>31226965.222399998</v>
      </c>
      <c r="AE13" s="912">
        <f>AD13</f>
        <v>31226965.222399998</v>
      </c>
      <c r="AF13" s="908">
        <f t="shared" si="2"/>
        <v>1.7408E-2</v>
      </c>
      <c r="AH13" s="910"/>
      <c r="AI13" s="911">
        <v>28344516.227064788</v>
      </c>
      <c r="AJ13" s="912">
        <f>AI13</f>
        <v>28344516.227064788</v>
      </c>
      <c r="AK13" s="908">
        <f t="shared" si="3"/>
        <v>1.6721137067785132E-2</v>
      </c>
    </row>
    <row r="14" spans="2:37">
      <c r="B14" s="728"/>
      <c r="C14" s="728"/>
      <c r="D14" s="728" t="s">
        <v>351</v>
      </c>
      <c r="E14" s="919">
        <f>SUM(E10:E13)</f>
        <v>6199600000</v>
      </c>
      <c r="F14" s="920">
        <f t="shared" ref="F14" si="4">SUM(F10:F13)</f>
        <v>586917891</v>
      </c>
      <c r="G14" s="921">
        <f>SUM(G10:G13)</f>
        <v>647534988</v>
      </c>
      <c r="H14" s="728"/>
      <c r="I14" s="922">
        <f>SUM(I10:I13)</f>
        <v>60617097</v>
      </c>
      <c r="J14" s="728"/>
      <c r="K14" s="923">
        <f>IF(F14=0,0,ROUND((G14-F14)/F14,9))</f>
        <v>0.10328037</v>
      </c>
      <c r="M14" s="924">
        <f t="shared" si="0"/>
        <v>0.36097933310160957</v>
      </c>
      <c r="N14" s="925">
        <f>G14-F14</f>
        <v>60617097</v>
      </c>
      <c r="O14" s="926">
        <f>N14/$F14</f>
        <v>0.1032803700986515</v>
      </c>
      <c r="Q14" s="927"/>
      <c r="R14" s="928">
        <f>SUM(R10:R13)</f>
        <v>647534988.95550394</v>
      </c>
      <c r="T14" s="929"/>
      <c r="U14" s="930"/>
      <c r="V14" s="931"/>
      <c r="X14" s="910"/>
      <c r="Y14" s="932">
        <v>614084882.60668325</v>
      </c>
      <c r="Z14" s="933"/>
      <c r="AA14" s="934"/>
      <c r="AC14" s="910"/>
      <c r="AD14" s="932">
        <v>647534988.95550394</v>
      </c>
      <c r="AE14" s="933"/>
      <c r="AF14" s="934"/>
      <c r="AH14" s="910"/>
      <c r="AI14" s="932">
        <v>610742454.60417056</v>
      </c>
      <c r="AJ14" s="933"/>
      <c r="AK14" s="934"/>
    </row>
    <row r="15" spans="2:37">
      <c r="E15" s="892"/>
      <c r="F15" s="935"/>
      <c r="G15" s="892"/>
      <c r="I15" s="895"/>
      <c r="K15" s="896"/>
      <c r="M15" s="897"/>
      <c r="N15" s="898"/>
      <c r="O15" s="899"/>
      <c r="Q15" s="900"/>
      <c r="R15" s="909"/>
      <c r="T15" s="902"/>
      <c r="U15" s="917"/>
      <c r="V15" s="918"/>
      <c r="Y15" s="936"/>
      <c r="AA15" s="712"/>
      <c r="AD15" s="936"/>
      <c r="AF15" s="712"/>
      <c r="AI15" s="936"/>
      <c r="AK15" s="712"/>
    </row>
    <row r="16" spans="2:37">
      <c r="B16" s="699" t="s">
        <v>10</v>
      </c>
      <c r="D16" s="692" t="s">
        <v>352</v>
      </c>
      <c r="E16" s="892">
        <f>VLOOKUP("TOTAL "&amp;$B16, 'Consumer Analysis'!$B$11:$N$162, 3,FALSE)</f>
        <v>2239100000</v>
      </c>
      <c r="F16" s="893">
        <f>VLOOKUP("TOTAL "&amp;$B16, 'Consumer Analysis'!$B$11:$N$162, 7,FALSE)</f>
        <v>272393409</v>
      </c>
      <c r="G16" s="894">
        <f>VLOOKUP("TOTAL "&amp;$B16, 'Consumer Analysis'!$B$11:$N$162, 13,FALSE)</f>
        <v>257426492</v>
      </c>
      <c r="I16" s="895">
        <f t="shared" ref="I16:I17" si="5">G16-F16</f>
        <v>-14966917</v>
      </c>
      <c r="K16" s="896">
        <f t="shared" ref="K16:K17" si="6">IF(F16=0,0,ROUND((G16-F16)/F16,9))</f>
        <v>-5.4945959000000003E-2</v>
      </c>
      <c r="M16" s="897">
        <f t="shared" si="0"/>
        <v>0.14350675272676822</v>
      </c>
      <c r="N16" s="898">
        <f>G16-F16</f>
        <v>-14966917</v>
      </c>
      <c r="O16" s="899">
        <f>N16/$F16</f>
        <v>-5.4945958696085775E-2</v>
      </c>
      <c r="Q16" s="900">
        <f>INDEX($T16:$V16,MATCH($D$5,$T$8:$V$8,0))</f>
        <v>0.14350675252850706</v>
      </c>
      <c r="R16" s="909">
        <f>Q16*$Q$5</f>
        <v>257426491.86507657</v>
      </c>
      <c r="T16" s="902">
        <v>0.15901265951971966</v>
      </c>
      <c r="U16" s="917">
        <v>0.14350675252850706</v>
      </c>
      <c r="V16" s="918">
        <v>0.14350675252850706</v>
      </c>
      <c r="X16" s="905"/>
      <c r="Y16" s="911">
        <v>243260399.01551712</v>
      </c>
      <c r="Z16" s="912">
        <f>Y16</f>
        <v>243260399.01551712</v>
      </c>
      <c r="AA16" s="908">
        <f t="shared" si="1"/>
        <v>0.14350675252850706</v>
      </c>
      <c r="AB16" s="937"/>
      <c r="AC16" s="905"/>
      <c r="AD16" s="911">
        <v>257426491.86507657</v>
      </c>
      <c r="AE16" s="912">
        <f>AD16</f>
        <v>257426491.86507657</v>
      </c>
      <c r="AF16" s="908">
        <f>AE16/$AE$38</f>
        <v>0.14350675252850706</v>
      </c>
      <c r="AG16" s="937"/>
      <c r="AH16" s="905"/>
      <c r="AI16" s="911">
        <v>243262731.43076596</v>
      </c>
      <c r="AJ16" s="912">
        <f>AI16</f>
        <v>243262731.43076596</v>
      </c>
      <c r="AK16" s="908">
        <f>AJ16/$AJ$38</f>
        <v>0.14350675252850709</v>
      </c>
    </row>
    <row r="17" spans="2:37">
      <c r="B17" s="699" t="s">
        <v>22</v>
      </c>
      <c r="D17" s="692" t="s">
        <v>353</v>
      </c>
      <c r="E17" s="892">
        <f>VLOOKUP("TOTAL "&amp;$B17, 'Consumer Analysis'!$B$11:$N$162, 3,FALSE)</f>
        <v>150000</v>
      </c>
      <c r="F17" s="893">
        <f>VLOOKUP("TOTAL "&amp;$B17, 'Consumer Analysis'!$B$11:$N$162, 7,FALSE)</f>
        <v>68742</v>
      </c>
      <c r="G17" s="894">
        <f>VLOOKUP("TOTAL "&amp;$B17, 'Consumer Analysis'!$B$11:$N$162, 13,FALSE)</f>
        <v>94972</v>
      </c>
      <c r="I17" s="895">
        <f t="shared" si="5"/>
        <v>26230</v>
      </c>
      <c r="K17" s="896">
        <f t="shared" si="6"/>
        <v>0.38157167400000003</v>
      </c>
      <c r="M17" s="897">
        <f t="shared" si="0"/>
        <v>5.2943747996094477E-5</v>
      </c>
      <c r="N17" s="898">
        <f>G17-F17</f>
        <v>26230</v>
      </c>
      <c r="O17" s="899">
        <f>N17/$F17</f>
        <v>0.38157167379476886</v>
      </c>
      <c r="Q17" s="900">
        <f>INDEX($T17:$V17,MATCH($D$5,$T$8:$V$8,0))</f>
        <v>5.2944022474519885E-5</v>
      </c>
      <c r="R17" s="909">
        <f>Q17*$Q$5</f>
        <v>94972.492448632605</v>
      </c>
      <c r="T17" s="902">
        <v>4.0352636557635442E-5</v>
      </c>
      <c r="U17" s="917">
        <v>5.2944022474519885E-5</v>
      </c>
      <c r="V17" s="918">
        <v>5.3017439691566357E-5</v>
      </c>
      <c r="X17" s="938" t="s">
        <v>582</v>
      </c>
      <c r="Y17" s="939">
        <v>89423.550138939914</v>
      </c>
      <c r="Z17" s="940">
        <f>Y17*$Y$41</f>
        <v>89512.885835040579</v>
      </c>
      <c r="AA17" s="941">
        <f t="shared" si="1"/>
        <v>5.2806390220638709E-5</v>
      </c>
      <c r="AB17" s="942"/>
      <c r="AC17" s="943" t="s">
        <v>582</v>
      </c>
      <c r="AD17" s="939">
        <v>86615.861604629914</v>
      </c>
      <c r="AE17" s="940">
        <f>AD17*$AD$41</f>
        <v>94972.492448632591</v>
      </c>
      <c r="AF17" s="941">
        <f t="shared" ref="AF17:AF35" si="7">AE17/$AE$38</f>
        <v>5.2944022474519885E-5</v>
      </c>
      <c r="AG17" s="937"/>
      <c r="AH17" s="943" t="s">
        <v>582</v>
      </c>
      <c r="AI17" s="939">
        <v>89770.892775575674</v>
      </c>
      <c r="AJ17" s="940">
        <f>AI17*$AI$41</f>
        <v>89871.500578165229</v>
      </c>
      <c r="AK17" s="941">
        <f t="shared" ref="AK17:AK18" si="8">AJ17/$AJ$38</f>
        <v>5.3017439691566357E-5</v>
      </c>
    </row>
    <row r="18" spans="2:37">
      <c r="B18" s="735" t="s">
        <v>21</v>
      </c>
      <c r="C18" s="736"/>
      <c r="D18" s="736" t="s">
        <v>354</v>
      </c>
      <c r="E18" s="944">
        <f>VLOOKUP("TOTAL "&amp;$B18, 'Consumer Analysis'!$B$11:$N$162, 3,FALSE)</f>
        <v>16450000</v>
      </c>
      <c r="F18" s="893">
        <f>VLOOKUP("TOTAL "&amp;$B18, 'Consumer Analysis'!$B$11:$N$162, 7,FALSE)</f>
        <v>2099067</v>
      </c>
      <c r="G18" s="894">
        <f>VLOOKUP("TOTAL "&amp;$B18, 'Consumer Analysis'!$B$11:$N$162, 13,FALSE)</f>
        <v>2725207</v>
      </c>
      <c r="I18" s="895">
        <f>G18-F18</f>
        <v>626140</v>
      </c>
      <c r="K18" s="896">
        <f>IF(F18=0,0,ROUND((G18-F18)/F18,9))</f>
        <v>0.29829443300000003</v>
      </c>
      <c r="M18" s="897">
        <f t="shared" si="0"/>
        <v>1.5192127431789648E-3</v>
      </c>
      <c r="N18" s="898">
        <f>G18-F18</f>
        <v>626140</v>
      </c>
      <c r="O18" s="899">
        <f>N18/$F18</f>
        <v>0.29829443271701189</v>
      </c>
      <c r="Q18" s="900">
        <f>INDEX($T18:$V18,MATCH($D$5,$T$8:$V$8,0))</f>
        <v>1.5192129541142481E-3</v>
      </c>
      <c r="R18" s="909">
        <f>Q18*$Q$5</f>
        <v>2725207.3807183593</v>
      </c>
      <c r="T18" s="902">
        <v>1.2248100861106416E-3</v>
      </c>
      <c r="U18" s="917">
        <v>1.5192129541142481E-3</v>
      </c>
      <c r="V18" s="918">
        <v>1.5213196392881167E-3</v>
      </c>
      <c r="X18" s="938"/>
      <c r="Y18" s="939">
        <v>2565982.1340424987</v>
      </c>
      <c r="Z18" s="940">
        <f>Y18*$Y$41</f>
        <v>2568545.5952310823</v>
      </c>
      <c r="AA18" s="941">
        <f t="shared" si="1"/>
        <v>1.5152636375865736E-3</v>
      </c>
      <c r="AB18" s="942"/>
      <c r="AC18" s="938"/>
      <c r="AD18" s="939">
        <v>2485416.3478955422</v>
      </c>
      <c r="AE18" s="940">
        <f>AD18*$AD$41</f>
        <v>2725207.3807183588</v>
      </c>
      <c r="AF18" s="941">
        <f t="shared" si="7"/>
        <v>1.5192129541142481E-3</v>
      </c>
      <c r="AG18" s="937"/>
      <c r="AH18" s="938"/>
      <c r="AI18" s="939">
        <v>2575949.0275354739</v>
      </c>
      <c r="AJ18" s="940">
        <f>AI18*$AI$41</f>
        <v>2578835.9384620581</v>
      </c>
      <c r="AK18" s="941">
        <f t="shared" si="8"/>
        <v>1.5213196392881167E-3</v>
      </c>
    </row>
    <row r="19" spans="2:37">
      <c r="B19" s="739"/>
      <c r="C19" s="728"/>
      <c r="D19" s="728" t="s">
        <v>355</v>
      </c>
      <c r="E19" s="919">
        <f>SUM(E16:E18)</f>
        <v>2255700000</v>
      </c>
      <c r="F19" s="920">
        <f>SUM(F16:F18)</f>
        <v>274561218</v>
      </c>
      <c r="G19" s="921">
        <f>SUM(G16:G18)</f>
        <v>260246671</v>
      </c>
      <c r="H19" s="728"/>
      <c r="I19" s="922">
        <f>SUM(I16:I18)</f>
        <v>-14314547</v>
      </c>
      <c r="J19" s="728"/>
      <c r="K19" s="923">
        <f>IF(F19=0,0,ROUND((G19-F19)/F19,9))</f>
        <v>-5.2136084999999999E-2</v>
      </c>
      <c r="M19" s="924">
        <f t="shared" si="0"/>
        <v>0.14507890921794328</v>
      </c>
      <c r="N19" s="925">
        <f>G19-F19</f>
        <v>-14314547</v>
      </c>
      <c r="O19" s="926">
        <f>N19/$F19</f>
        <v>-5.2136085002361839E-2</v>
      </c>
      <c r="Q19" s="927"/>
      <c r="R19" s="928">
        <f>SUM(R16:R18)</f>
        <v>260246671.73824355</v>
      </c>
      <c r="T19" s="929"/>
      <c r="U19" s="930"/>
      <c r="V19" s="931"/>
      <c r="X19" s="938"/>
      <c r="Y19" s="945">
        <v>245915804.69969857</v>
      </c>
      <c r="Z19" s="946"/>
      <c r="AA19" s="947"/>
      <c r="AB19" s="942"/>
      <c r="AC19" s="938"/>
      <c r="AD19" s="945">
        <v>259998524.07457674</v>
      </c>
      <c r="AE19" s="946"/>
      <c r="AF19" s="947"/>
      <c r="AG19" s="937"/>
      <c r="AH19" s="938"/>
      <c r="AI19" s="945">
        <v>245928451.35107699</v>
      </c>
      <c r="AJ19" s="946"/>
      <c r="AK19" s="947"/>
    </row>
    <row r="20" spans="2:37">
      <c r="B20" s="699"/>
      <c r="E20" s="892"/>
      <c r="F20" s="935"/>
      <c r="G20" s="892"/>
      <c r="I20" s="895"/>
      <c r="K20" s="896"/>
      <c r="M20" s="897"/>
      <c r="N20" s="898"/>
      <c r="O20" s="899"/>
      <c r="Q20" s="900"/>
      <c r="R20" s="909"/>
      <c r="T20" s="902"/>
      <c r="U20" s="917"/>
      <c r="V20" s="918"/>
      <c r="X20" s="938"/>
      <c r="Y20" s="939"/>
      <c r="Z20" s="940"/>
      <c r="AA20" s="941"/>
      <c r="AB20" s="942"/>
      <c r="AC20" s="938"/>
      <c r="AD20" s="939"/>
      <c r="AE20" s="940"/>
      <c r="AF20" s="941"/>
      <c r="AG20" s="937"/>
      <c r="AH20" s="938"/>
      <c r="AI20" s="939"/>
      <c r="AJ20" s="940"/>
      <c r="AK20" s="941"/>
    </row>
    <row r="21" spans="2:37">
      <c r="B21" s="699" t="s">
        <v>12</v>
      </c>
      <c r="D21" s="692" t="s">
        <v>356</v>
      </c>
      <c r="E21" s="892">
        <f>VLOOKUP("TOTAL "&amp;$B21, 'Consumer Analysis'!$B$11:$N$162, 3,FALSE)</f>
        <v>3794500000</v>
      </c>
      <c r="F21" s="893">
        <f>VLOOKUP("TOTAL "&amp;$B21, 'Consumer Analysis'!$B$11:$N$162, 7,FALSE)</f>
        <v>464378375</v>
      </c>
      <c r="G21" s="894">
        <f>VLOOKUP("TOTAL "&amp;$B21, 'Consumer Analysis'!$B$11:$N$162, 13,FALSE)</f>
        <v>564902511</v>
      </c>
      <c r="I21" s="895">
        <f t="shared" ref="I21" si="9">G21-F21</f>
        <v>100524136</v>
      </c>
      <c r="K21" s="896">
        <f>IF(F21=0,0,ROUND((G21-F21)/F21,9))</f>
        <v>0.21647032099999999</v>
      </c>
      <c r="M21" s="897">
        <f t="shared" si="0"/>
        <v>0.31491446094369907</v>
      </c>
      <c r="N21" s="898">
        <f>G21-F21</f>
        <v>100524136</v>
      </c>
      <c r="O21" s="899">
        <f>N21/$F21</f>
        <v>0.21647032121166279</v>
      </c>
      <c r="Q21" s="900">
        <f>INDEX($T21:$V21,MATCH($D$5,$T$8:$V$8,0))</f>
        <v>0.31491446051458294</v>
      </c>
      <c r="R21" s="909">
        <f>Q21*$Q$5</f>
        <v>564902510.71459901</v>
      </c>
      <c r="T21" s="902">
        <v>0.27131416722619611</v>
      </c>
      <c r="U21" s="917">
        <v>0.31491446051458294</v>
      </c>
      <c r="V21" s="918">
        <v>0.3153511508569119</v>
      </c>
      <c r="X21" s="938"/>
      <c r="Y21" s="939">
        <v>531897043.95535529</v>
      </c>
      <c r="Z21" s="940">
        <f>Y21*$Y$41</f>
        <v>532428418.43782449</v>
      </c>
      <c r="AA21" s="941">
        <f t="shared" si="1"/>
        <v>0.31409581499135591</v>
      </c>
      <c r="AB21" s="942"/>
      <c r="AC21" s="938"/>
      <c r="AD21" s="939">
        <v>515196731.46019608</v>
      </c>
      <c r="AE21" s="940">
        <f>AD21*$AD$41</f>
        <v>564902510.71459889</v>
      </c>
      <c r="AF21" s="941">
        <f t="shared" si="7"/>
        <v>0.31491446051458294</v>
      </c>
      <c r="AG21" s="937"/>
      <c r="AH21" s="938"/>
      <c r="AI21" s="939">
        <v>533963060.36131501</v>
      </c>
      <c r="AJ21" s="940">
        <f>AI21*$AI$41</f>
        <v>534561482.06021965</v>
      </c>
      <c r="AK21" s="941">
        <f t="shared" ref="AK21:AK22" si="10">AJ21/$AJ$38</f>
        <v>0.3153511508569119</v>
      </c>
    </row>
    <row r="22" spans="2:37">
      <c r="B22" s="699" t="s">
        <v>14</v>
      </c>
      <c r="D22" s="692" t="s">
        <v>357</v>
      </c>
      <c r="E22" s="892">
        <f>VLOOKUP("TOTAL "&amp;$B22, 'Consumer Analysis'!$B$11:$N$162, 3,FALSE)</f>
        <v>6100000</v>
      </c>
      <c r="F22" s="893">
        <f>VLOOKUP("TOTAL "&amp;$B22, 'Consumer Analysis'!$B$11:$N$162, 7,FALSE)</f>
        <v>615834</v>
      </c>
      <c r="G22" s="894">
        <f>VLOOKUP("TOTAL "&amp;$B22, 'Consumer Analysis'!$B$11:$N$162, 13,FALSE)</f>
        <v>733518</v>
      </c>
      <c r="I22" s="895">
        <f>G22-F22</f>
        <v>117684</v>
      </c>
      <c r="K22" s="896">
        <f>IF(F22=0,0,ROUND((G22-F22)/F22,9))</f>
        <v>0.19109695099999999</v>
      </c>
      <c r="M22" s="897">
        <f t="shared" si="0"/>
        <v>4.0891201767467492E-4</v>
      </c>
      <c r="N22" s="898">
        <f>G22-F22</f>
        <v>117684</v>
      </c>
      <c r="O22" s="899">
        <f>N22/$F22</f>
        <v>0.19109695145120276</v>
      </c>
      <c r="Q22" s="900">
        <f>INDEX($T22:$V22,MATCH($D$5,$T$8:$V$8,0))</f>
        <v>4.0891225045707467E-4</v>
      </c>
      <c r="R22" s="909">
        <f>Q22*$Q$5</f>
        <v>733518.41820061975</v>
      </c>
      <c r="T22" s="902">
        <v>3.579785662284116E-4</v>
      </c>
      <c r="U22" s="917">
        <v>4.0891225045707467E-4</v>
      </c>
      <c r="V22" s="918">
        <v>4.0947928707502741E-4</v>
      </c>
      <c r="X22" s="938"/>
      <c r="Y22" s="939">
        <v>690661.257345399</v>
      </c>
      <c r="Z22" s="940">
        <f>Y22*$Y$41</f>
        <v>691351.24006358499</v>
      </c>
      <c r="AA22" s="941">
        <f t="shared" si="1"/>
        <v>4.0784925010236753E-4</v>
      </c>
      <c r="AB22" s="942"/>
      <c r="AC22" s="938"/>
      <c r="AD22" s="939">
        <v>668976.12305663654</v>
      </c>
      <c r="AE22" s="940">
        <f>AD22*$AD$41</f>
        <v>733518.41820061964</v>
      </c>
      <c r="AF22" s="941">
        <f t="shared" si="7"/>
        <v>4.0891225045707467E-4</v>
      </c>
      <c r="AG22" s="937"/>
      <c r="AH22" s="938"/>
      <c r="AI22" s="939">
        <v>693343.95224820462</v>
      </c>
      <c r="AJ22" s="940">
        <f>AI22*$AI$41</f>
        <v>694120.9948877251</v>
      </c>
      <c r="AK22" s="941">
        <f t="shared" si="10"/>
        <v>4.0947928707502735E-4</v>
      </c>
    </row>
    <row r="23" spans="2:37">
      <c r="B23" s="728"/>
      <c r="C23" s="728"/>
      <c r="D23" s="728" t="s">
        <v>358</v>
      </c>
      <c r="E23" s="919">
        <f>SUM(E21:E22)</f>
        <v>3800600000</v>
      </c>
      <c r="F23" s="920">
        <f t="shared" ref="F23:G23" si="11">SUM(F21:F22)</f>
        <v>464994209</v>
      </c>
      <c r="G23" s="921">
        <f t="shared" si="11"/>
        <v>565636029</v>
      </c>
      <c r="H23" s="728"/>
      <c r="I23" s="922">
        <f>G23-F23</f>
        <v>100641820</v>
      </c>
      <c r="J23" s="728"/>
      <c r="K23" s="923">
        <f>IF(F23=0,0,ROUND((G23-F23)/F23,9))</f>
        <v>0.216436717</v>
      </c>
      <c r="M23" s="924">
        <f t="shared" si="0"/>
        <v>0.31532337296137375</v>
      </c>
      <c r="N23" s="925">
        <f>G23-F23</f>
        <v>100641820</v>
      </c>
      <c r="O23" s="926">
        <f>N23/$F23</f>
        <v>0.21643671695704925</v>
      </c>
      <c r="Q23" s="927"/>
      <c r="R23" s="928">
        <f>SUM(R21:R22)</f>
        <v>565636029.13279963</v>
      </c>
      <c r="T23" s="929"/>
      <c r="U23" s="930"/>
      <c r="V23" s="931"/>
      <c r="X23" s="938"/>
      <c r="Y23" s="945">
        <v>532587705.21270066</v>
      </c>
      <c r="Z23" s="946"/>
      <c r="AA23" s="947"/>
      <c r="AB23" s="942"/>
      <c r="AC23" s="938"/>
      <c r="AD23" s="945">
        <v>515865707.58325273</v>
      </c>
      <c r="AE23" s="946"/>
      <c r="AF23" s="947"/>
      <c r="AG23" s="937"/>
      <c r="AH23" s="938"/>
      <c r="AI23" s="945">
        <v>534656404.31356323</v>
      </c>
      <c r="AJ23" s="946"/>
      <c r="AK23" s="947"/>
    </row>
    <row r="24" spans="2:37">
      <c r="E24" s="892"/>
      <c r="F24" s="893"/>
      <c r="G24" s="894"/>
      <c r="I24" s="895"/>
      <c r="K24" s="896"/>
      <c r="M24" s="897"/>
      <c r="N24" s="898"/>
      <c r="O24" s="899"/>
      <c r="Q24" s="900"/>
      <c r="R24" s="909"/>
      <c r="T24" s="902"/>
      <c r="U24" s="917"/>
      <c r="V24" s="918"/>
      <c r="X24" s="938"/>
      <c r="Y24" s="939"/>
      <c r="Z24" s="940"/>
      <c r="AA24" s="941"/>
      <c r="AB24" s="942"/>
      <c r="AC24" s="938"/>
      <c r="AD24" s="939"/>
      <c r="AE24" s="940"/>
      <c r="AF24" s="941"/>
      <c r="AG24" s="937"/>
      <c r="AH24" s="938"/>
      <c r="AI24" s="939"/>
      <c r="AJ24" s="940"/>
      <c r="AK24" s="941"/>
    </row>
    <row r="25" spans="2:37">
      <c r="B25" s="699" t="s">
        <v>13</v>
      </c>
      <c r="D25" s="743" t="s">
        <v>359</v>
      </c>
      <c r="E25" s="892">
        <f>VLOOKUP("TOTAL "&amp;$B25, 'Consumer Analysis'!$B$11:$N$162, 3,FALSE)</f>
        <v>2624493598.1999998</v>
      </c>
      <c r="F25" s="893">
        <f>VLOOKUP("TOTAL "&amp;$B25, 'Consumer Analysis'!$B$11:$N$162, 7,FALSE)</f>
        <v>244307199</v>
      </c>
      <c r="G25" s="894">
        <f>VLOOKUP("TOTAL "&amp;$B25, 'Consumer Analysis'!$B$11:$N$162, 13,FALSE)</f>
        <v>212130616</v>
      </c>
      <c r="I25" s="895">
        <f>G25-F25</f>
        <v>-32176583</v>
      </c>
      <c r="K25" s="896">
        <f>IF(F25=0,0,ROUND((G25-F25)/F25,9))</f>
        <v>-0.13170542299999999</v>
      </c>
      <c r="M25" s="897">
        <f t="shared" si="0"/>
        <v>0.11825580040180565</v>
      </c>
      <c r="N25" s="898">
        <f>G25-F25</f>
        <v>-32176583</v>
      </c>
      <c r="O25" s="899">
        <f>N25/$F25</f>
        <v>-0.1317054230563218</v>
      </c>
      <c r="Q25" s="900">
        <f>INDEX($T25:$V25,MATCH($D$5,$T$8:$V$8,0))</f>
        <v>0.11825580024981222</v>
      </c>
      <c r="R25" s="909">
        <f>Q25*$Q$5</f>
        <v>212130615.90923527</v>
      </c>
      <c r="T25" s="902">
        <v>0.14512822879622386</v>
      </c>
      <c r="U25" s="917">
        <v>0.11825580024981222</v>
      </c>
      <c r="V25" s="918">
        <v>0.11841978498969714</v>
      </c>
      <c r="X25" s="938"/>
      <c r="Y25" s="939">
        <v>199736495.04906538</v>
      </c>
      <c r="Z25" s="940">
        <f>Y25*$Y$41</f>
        <v>199936035.31328204</v>
      </c>
      <c r="AA25" s="941">
        <f t="shared" si="1"/>
        <v>0.11794838476526463</v>
      </c>
      <c r="AB25" s="942"/>
      <c r="AC25" s="938"/>
      <c r="AD25" s="939">
        <v>193465240.26035258</v>
      </c>
      <c r="AE25" s="940">
        <f>AD25*$AD$41</f>
        <v>212130615.90923524</v>
      </c>
      <c r="AF25" s="941">
        <f t="shared" si="7"/>
        <v>0.11825580024981222</v>
      </c>
      <c r="AG25" s="937"/>
      <c r="AH25" s="938"/>
      <c r="AI25" s="939">
        <v>200512319.7699016</v>
      </c>
      <c r="AJ25" s="940">
        <f>AI25*$AI$41</f>
        <v>200737037.41791046</v>
      </c>
      <c r="AK25" s="941">
        <f t="shared" ref="AK25:AK28" si="12">AJ25/$AJ$38</f>
        <v>0.11841978498969713</v>
      </c>
    </row>
    <row r="26" spans="2:37">
      <c r="B26" s="699" t="s">
        <v>16</v>
      </c>
      <c r="D26" s="692" t="s">
        <v>360</v>
      </c>
      <c r="E26" s="892">
        <f>VLOOKUP("TOTAL "&amp;$B26, 'Consumer Analysis'!$B$11:$N$162, 3,FALSE)</f>
        <v>289200000</v>
      </c>
      <c r="F26" s="893">
        <f>VLOOKUP("TOTAL "&amp;$B26, 'Consumer Analysis'!$B$11:$N$162, 7,FALSE)</f>
        <v>26597638</v>
      </c>
      <c r="G26" s="894">
        <f>VLOOKUP("TOTAL "&amp;$B26, 'Consumer Analysis'!$B$11:$N$162, 13,FALSE)</f>
        <v>23913990</v>
      </c>
      <c r="I26" s="895">
        <f>G26-F26</f>
        <v>-2683648</v>
      </c>
      <c r="K26" s="896">
        <f>IF(F26=0,0,ROUND((G26-F26)/F26,9))</f>
        <v>-0.100897982</v>
      </c>
      <c r="M26" s="897">
        <f t="shared" si="0"/>
        <v>1.3331258267080016E-2</v>
      </c>
      <c r="N26" s="898">
        <f>G26-F26</f>
        <v>-2683648</v>
      </c>
      <c r="O26" s="899">
        <f>N26/$F26</f>
        <v>-0.10089798199373945</v>
      </c>
      <c r="Q26" s="900">
        <f>INDEX($T26:$V26,MATCH($D$5,$T$8:$V$8,0))</f>
        <v>1.3331258348470192E-2</v>
      </c>
      <c r="R26" s="909">
        <f>Q26*$Q$5</f>
        <v>23913990.166504387</v>
      </c>
      <c r="T26" s="902">
        <v>1.6229960973383563E-2</v>
      </c>
      <c r="U26" s="917">
        <v>1.3331258348470192E-2</v>
      </c>
      <c r="V26" s="918">
        <v>1.3349744739226453E-2</v>
      </c>
      <c r="X26" s="938"/>
      <c r="Y26" s="939">
        <v>22516771.367595192</v>
      </c>
      <c r="Z26" s="940">
        <f>Y26*$Y$41</f>
        <v>22539266.017393127</v>
      </c>
      <c r="AA26" s="941">
        <f t="shared" si="1"/>
        <v>1.3296602667851003E-2</v>
      </c>
      <c r="AB26" s="942"/>
      <c r="AC26" s="938"/>
      <c r="AD26" s="939">
        <v>21809797.861172669</v>
      </c>
      <c r="AE26" s="940">
        <f>AD26*$AD$41</f>
        <v>23913990.166504383</v>
      </c>
      <c r="AF26" s="941">
        <f t="shared" si="7"/>
        <v>1.3331258348470192E-2</v>
      </c>
      <c r="AG26" s="937"/>
      <c r="AH26" s="938"/>
      <c r="AI26" s="939">
        <v>22604231.938364223</v>
      </c>
      <c r="AJ26" s="940">
        <f>AI26*$AI$41</f>
        <v>22629564.894673668</v>
      </c>
      <c r="AK26" s="941">
        <f t="shared" si="12"/>
        <v>1.3349744739226453E-2</v>
      </c>
    </row>
    <row r="27" spans="2:37">
      <c r="B27" s="699" t="s">
        <v>17</v>
      </c>
      <c r="D27" s="692" t="s">
        <v>361</v>
      </c>
      <c r="E27" s="892">
        <f>VLOOKUP("TOTAL "&amp;$B27, 'Consumer Analysis'!$B$11:$N$162, 3,FALSE)</f>
        <v>60700000</v>
      </c>
      <c r="F27" s="893">
        <f>VLOOKUP("TOTAL "&amp;$B27, 'Consumer Analysis'!$B$11:$N$162, 7,FALSE)</f>
        <v>4685141</v>
      </c>
      <c r="G27" s="894">
        <f>VLOOKUP("TOTAL "&amp;$B27, 'Consumer Analysis'!$B$11:$N$162, 13,FALSE)</f>
        <v>4055459</v>
      </c>
      <c r="I27" s="895">
        <f t="shared" ref="I27:I28" si="13">G27-F27</f>
        <v>-629682</v>
      </c>
      <c r="K27" s="896">
        <f t="shared" ref="K27:K28" si="14">IF(F27=0,0,ROUND((G27-F27)/F27,9))</f>
        <v>-0.13439979699999999</v>
      </c>
      <c r="M27" s="897">
        <f t="shared" si="0"/>
        <v>2.2607842238185289E-3</v>
      </c>
      <c r="N27" s="898">
        <f>G27-F27</f>
        <v>-629682</v>
      </c>
      <c r="O27" s="899">
        <f>N27/$F27</f>
        <v>-0.13439979714591299</v>
      </c>
      <c r="Q27" s="900">
        <f>INDEX($T27:$V27,MATCH($D$5,$T$8:$V$8,0))</f>
        <v>2.2607839751542323E-3</v>
      </c>
      <c r="R27" s="909">
        <f>Q27*$Q$5</f>
        <v>4055458.5574161555</v>
      </c>
      <c r="T27" s="902">
        <v>2.8740403555410948E-3</v>
      </c>
      <c r="U27" s="917">
        <v>2.2607839751542323E-3</v>
      </c>
      <c r="V27" s="918">
        <v>2.2639189932363766E-3</v>
      </c>
      <c r="X27" s="938"/>
      <c r="Y27" s="939">
        <v>3818510.9424357112</v>
      </c>
      <c r="Z27" s="940">
        <f>Y27*$Y$41</f>
        <v>3822325.701887561</v>
      </c>
      <c r="AA27" s="941">
        <f t="shared" si="1"/>
        <v>2.254906884984352E-3</v>
      </c>
      <c r="AB27" s="942"/>
      <c r="AC27" s="938"/>
      <c r="AD27" s="939">
        <v>3698618.7062791707</v>
      </c>
      <c r="AE27" s="940">
        <f>AD27*$AD$41</f>
        <v>4055458.557416155</v>
      </c>
      <c r="AF27" s="941">
        <f t="shared" si="7"/>
        <v>2.2607839751542323E-3</v>
      </c>
      <c r="AG27" s="937"/>
      <c r="AH27" s="938"/>
      <c r="AI27" s="939">
        <v>3833342.9599155285</v>
      </c>
      <c r="AJ27" s="940">
        <f>AI27*$AI$41</f>
        <v>3837639.0541153867</v>
      </c>
      <c r="AK27" s="941">
        <f t="shared" si="12"/>
        <v>2.2639189932363766E-3</v>
      </c>
    </row>
    <row r="28" spans="2:37">
      <c r="B28" s="699" t="s">
        <v>24</v>
      </c>
      <c r="D28" s="692" t="s">
        <v>362</v>
      </c>
      <c r="E28" s="892">
        <f>VLOOKUP("TOTAL "&amp;$B28, 'Consumer Analysis'!$B$11:$N$162, 3,FALSE)</f>
        <v>4200000</v>
      </c>
      <c r="F28" s="893">
        <f>VLOOKUP("TOTAL "&amp;$B28, 'Consumer Analysis'!$B$11:$N$162, 7,FALSE)</f>
        <v>1334597</v>
      </c>
      <c r="G28" s="894">
        <f>VLOOKUP("TOTAL "&amp;$B28, 'Consumer Analysis'!$B$11:$N$162, 13,FALSE)</f>
        <v>1727175</v>
      </c>
      <c r="I28" s="895">
        <f t="shared" si="13"/>
        <v>392578</v>
      </c>
      <c r="K28" s="896">
        <f t="shared" si="14"/>
        <v>0.29415471500000001</v>
      </c>
      <c r="M28" s="897">
        <f t="shared" si="0"/>
        <v>9.6284292154692416E-4</v>
      </c>
      <c r="N28" s="898">
        <f>G28-F28</f>
        <v>392578</v>
      </c>
      <c r="O28" s="899">
        <f>N28/$F28</f>
        <v>0.29415471486898292</v>
      </c>
      <c r="Q28" s="900">
        <f>INDEX($T28:$V28,MATCH($D$5,$T$8:$V$8,0))</f>
        <v>9.6284274809769902E-4</v>
      </c>
      <c r="R28" s="909">
        <f>Q28*$Q$5</f>
        <v>1727174.6903427672</v>
      </c>
      <c r="T28" s="902">
        <v>8.2142138709823435E-4</v>
      </c>
      <c r="U28" s="917">
        <v>9.6284274809769902E-4</v>
      </c>
      <c r="V28" s="918">
        <v>9.6417791742777273E-4</v>
      </c>
      <c r="X28" s="938"/>
      <c r="Y28" s="939">
        <v>1626261.33671401</v>
      </c>
      <c r="Z28" s="940">
        <f>Y28*$Y$41</f>
        <v>1627886.0003326116</v>
      </c>
      <c r="AA28" s="941">
        <f t="shared" si="1"/>
        <v>9.6033976076579384E-4</v>
      </c>
      <c r="AB28" s="942"/>
      <c r="AC28" s="938"/>
      <c r="AD28" s="939">
        <v>1575200.5669079665</v>
      </c>
      <c r="AE28" s="940">
        <f>AD28*$AD$41</f>
        <v>1727174.6903427669</v>
      </c>
      <c r="AF28" s="941">
        <f t="shared" si="7"/>
        <v>9.6284274809769902E-4</v>
      </c>
      <c r="AG28" s="937"/>
      <c r="AH28" s="938"/>
      <c r="AI28" s="939">
        <v>1632578.1279806881</v>
      </c>
      <c r="AJ28" s="940">
        <f>AI28*$AI$41</f>
        <v>1634407.7867145331</v>
      </c>
      <c r="AK28" s="941">
        <f t="shared" si="12"/>
        <v>9.6417791742777262E-4</v>
      </c>
    </row>
    <row r="29" spans="2:37">
      <c r="B29" s="728"/>
      <c r="C29" s="728"/>
      <c r="D29" s="728" t="s">
        <v>363</v>
      </c>
      <c r="E29" s="919">
        <f>SUM(E25:E28)</f>
        <v>2978593598.1999998</v>
      </c>
      <c r="F29" s="920">
        <f>SUM(F25:F28)</f>
        <v>276924575</v>
      </c>
      <c r="G29" s="921">
        <f>SUM(G25:G28)</f>
        <v>241827240</v>
      </c>
      <c r="H29" s="728"/>
      <c r="I29" s="922">
        <f>G29-F29</f>
        <v>-35097335</v>
      </c>
      <c r="J29" s="728"/>
      <c r="K29" s="923">
        <f>IF(F29=0,0,ROUND((G29-F29)/F29,9))</f>
        <v>-0.12673969099999999</v>
      </c>
      <c r="M29" s="924">
        <f t="shared" si="0"/>
        <v>0.13481068581425112</v>
      </c>
      <c r="N29" s="925">
        <f>G29-F29</f>
        <v>-35097335</v>
      </c>
      <c r="O29" s="926">
        <f>N29/$F29</f>
        <v>-0.12673969076236732</v>
      </c>
      <c r="Q29" s="927"/>
      <c r="R29" s="928">
        <f>SUM(R25:R28)</f>
        <v>241827239.32349855</v>
      </c>
      <c r="T29" s="929"/>
      <c r="U29" s="930"/>
      <c r="V29" s="931"/>
      <c r="X29" s="938"/>
      <c r="Y29" s="945">
        <v>227698038.69581029</v>
      </c>
      <c r="Z29" s="946"/>
      <c r="AA29" s="947"/>
      <c r="AB29" s="942"/>
      <c r="AC29" s="938"/>
      <c r="AD29" s="945">
        <v>220548857.39471239</v>
      </c>
      <c r="AE29" s="946"/>
      <c r="AF29" s="947"/>
      <c r="AG29" s="937"/>
      <c r="AH29" s="938"/>
      <c r="AI29" s="945">
        <v>228582472.79616204</v>
      </c>
      <c r="AJ29" s="946"/>
      <c r="AK29" s="947"/>
    </row>
    <row r="30" spans="2:37">
      <c r="E30" s="890"/>
      <c r="F30" s="893"/>
      <c r="G30" s="894"/>
      <c r="K30" s="948"/>
      <c r="M30" s="897"/>
      <c r="N30" s="898"/>
      <c r="O30" s="899"/>
      <c r="Q30" s="900"/>
      <c r="R30" s="909"/>
      <c r="T30" s="902"/>
      <c r="U30" s="917"/>
      <c r="V30" s="918"/>
      <c r="X30" s="938"/>
      <c r="Y30" s="939"/>
      <c r="Z30" s="940"/>
      <c r="AA30" s="941"/>
      <c r="AB30" s="942"/>
      <c r="AC30" s="938"/>
      <c r="AD30" s="939"/>
      <c r="AE30" s="940"/>
      <c r="AF30" s="941"/>
      <c r="AG30" s="937"/>
      <c r="AH30" s="938"/>
      <c r="AI30" s="939"/>
      <c r="AJ30" s="940"/>
      <c r="AK30" s="941"/>
    </row>
    <row r="31" spans="2:37">
      <c r="B31" s="699" t="s">
        <v>1</v>
      </c>
      <c r="D31" s="743" t="s">
        <v>364</v>
      </c>
      <c r="E31" s="892">
        <f>VLOOKUP("TOTAL "&amp;$B31, 'Consumer Analysis - Lighting'!$B$19:$N$137, 3,FALSE)</f>
        <v>265679709.2753191</v>
      </c>
      <c r="F31" s="893">
        <f>VLOOKUP("TOTAL "&amp;$B31, 'Consumer Analysis - Lighting'!$B$13:$N$137, 7,FALSE)</f>
        <v>69758794.879999995</v>
      </c>
      <c r="G31" s="913">
        <f>R31</f>
        <v>75410466.880217254</v>
      </c>
      <c r="I31" s="895">
        <f>G31-F31</f>
        <v>5651672.0002172589</v>
      </c>
      <c r="K31" s="896">
        <f>IF(F31=0,0,ROUND((G31-F31)/F31,9))</f>
        <v>8.1017339999999993E-2</v>
      </c>
      <c r="M31" s="897">
        <f t="shared" si="0"/>
        <v>4.2038840445331793E-2</v>
      </c>
      <c r="N31" s="898">
        <f>G31-F31</f>
        <v>5651672.0002172589</v>
      </c>
      <c r="O31" s="899">
        <f>N31/$F31</f>
        <v>8.1017339963216681E-2</v>
      </c>
      <c r="Q31" s="900">
        <f>INDEX($T31:$V31,MATCH($D$5,$T$8:$V$8,0))</f>
        <v>4.2038840409286779E-2</v>
      </c>
      <c r="R31" s="909">
        <f>Q31*$Q$5</f>
        <v>75410466.880217254</v>
      </c>
      <c r="T31" s="902">
        <v>4.1071293002550718E-2</v>
      </c>
      <c r="U31" s="917">
        <v>4.2038840409286779E-2</v>
      </c>
      <c r="V31" s="918">
        <v>4.2097135463694403E-2</v>
      </c>
      <c r="X31" s="938"/>
      <c r="Y31" s="939">
        <v>71004471.844426855</v>
      </c>
      <c r="Z31" s="940">
        <f>Y31*$Y$41</f>
        <v>71075406.558029994</v>
      </c>
      <c r="AA31" s="941">
        <f t="shared" si="1"/>
        <v>4.1929557055176959E-2</v>
      </c>
      <c r="AB31" s="942"/>
      <c r="AC31" s="938"/>
      <c r="AD31" s="939">
        <v>68775098.920039654</v>
      </c>
      <c r="AE31" s="940">
        <f>AD31*$AD$41</f>
        <v>75410466.880217254</v>
      </c>
      <c r="AF31" s="941">
        <f t="shared" si="7"/>
        <v>4.2038840409286779E-2</v>
      </c>
      <c r="AG31" s="937"/>
      <c r="AH31" s="938"/>
      <c r="AI31" s="939">
        <v>71280270.338504225</v>
      </c>
      <c r="AJ31" s="940">
        <f>AI31*$AI$41</f>
        <v>71360155.378577009</v>
      </c>
      <c r="AK31" s="941">
        <f t="shared" ref="AK31:AK32" si="15">AJ31/$AJ$38</f>
        <v>4.2097135463694403E-2</v>
      </c>
    </row>
    <row r="32" spans="2:37">
      <c r="B32" s="699" t="s">
        <v>20</v>
      </c>
      <c r="D32" s="750" t="s">
        <v>365</v>
      </c>
      <c r="E32" s="949">
        <f>VLOOKUP("TOTAL "&amp;$B32, 'Consumer Analysis - Lighting'!$B$13:$N$137, 3,FALSE)</f>
        <v>3109157.565660065</v>
      </c>
      <c r="F32" s="893">
        <f>VLOOKUP("TOTAL "&amp;$B32, 'Consumer Analysis - Lighting'!$B$13:$N$137, 7,FALSE)</f>
        <v>398856</v>
      </c>
      <c r="G32" s="913">
        <f>R32</f>
        <v>357493.58171515202</v>
      </c>
      <c r="I32" s="895">
        <f>G32-F32</f>
        <v>-41362.418284847983</v>
      </c>
      <c r="K32" s="896">
        <f>IF(F32=0,0,ROUND((G32-F32)/F32,9))</f>
        <v>-0.103702635</v>
      </c>
      <c r="M32" s="897">
        <f t="shared" si="0"/>
        <v>1.9929084467578041E-4</v>
      </c>
      <c r="N32" s="898">
        <f>G32-F32</f>
        <v>-41362.418284847983</v>
      </c>
      <c r="O32" s="899">
        <f>N32/$F32</f>
        <v>-0.1037026352489319</v>
      </c>
      <c r="Q32" s="900">
        <f>INDEX($T32:$V32,MATCH($D$5,$T$8:$V$8,0))</f>
        <v>1.992908445049041E-4</v>
      </c>
      <c r="R32" s="909">
        <f>Q32*$Q$5</f>
        <v>357493.58171515202</v>
      </c>
      <c r="T32" s="902">
        <v>2.3266582639690415E-4</v>
      </c>
      <c r="U32" s="917">
        <v>1.992908445049041E-4</v>
      </c>
      <c r="V32" s="918">
        <v>1.9956720014436147E-4</v>
      </c>
      <c r="X32" s="938"/>
      <c r="Y32" s="939">
        <v>336606.36258593196</v>
      </c>
      <c r="Z32" s="940">
        <f>Y32*$Y$41</f>
        <v>336942.63825008087</v>
      </c>
      <c r="AA32" s="941">
        <f t="shared" si="1"/>
        <v>1.9877277189112993E-4</v>
      </c>
      <c r="AB32" s="942"/>
      <c r="AC32" s="938"/>
      <c r="AD32" s="939">
        <v>326037.71681711701</v>
      </c>
      <c r="AE32" s="940">
        <f>AD32*$AD$41</f>
        <v>357493.58171515196</v>
      </c>
      <c r="AF32" s="941">
        <f t="shared" si="7"/>
        <v>1.992908445049041E-4</v>
      </c>
      <c r="AG32" s="937"/>
      <c r="AH32" s="938"/>
      <c r="AI32" s="939">
        <v>337913.82288366463</v>
      </c>
      <c r="AJ32" s="940">
        <f>AI32*$AI$41</f>
        <v>338292.52878859476</v>
      </c>
      <c r="AK32" s="941">
        <f t="shared" si="15"/>
        <v>1.9956720014436147E-4</v>
      </c>
    </row>
    <row r="33" spans="2:37">
      <c r="B33" s="728"/>
      <c r="C33" s="728"/>
      <c r="D33" s="728" t="s">
        <v>366</v>
      </c>
      <c r="E33" s="919">
        <f>SUM(E31:E32)</f>
        <v>268788866.84097916</v>
      </c>
      <c r="F33" s="920">
        <f t="shared" ref="F33" si="16">SUM(F31:F32)</f>
        <v>70157650.879999995</v>
      </c>
      <c r="G33" s="921">
        <f>SUM(G31:G32)</f>
        <v>75767960.461932406</v>
      </c>
      <c r="H33" s="728"/>
      <c r="I33" s="922">
        <f>G33-F33</f>
        <v>5610309.5819324106</v>
      </c>
      <c r="J33" s="728"/>
      <c r="K33" s="923">
        <f>IF(F33=0,0,ROUND((G33-F33)/F33,9))</f>
        <v>7.9967180999999998E-2</v>
      </c>
      <c r="M33" s="924">
        <f t="shared" si="0"/>
        <v>4.2238131290007572E-2</v>
      </c>
      <c r="N33" s="925">
        <f>G33-F33</f>
        <v>5610309.5819324106</v>
      </c>
      <c r="O33" s="926">
        <f>N33/$F33</f>
        <v>7.9967181220598066E-2</v>
      </c>
      <c r="Q33" s="927"/>
      <c r="R33" s="928">
        <f>SUM(R31:R32)</f>
        <v>75767960.461932406</v>
      </c>
      <c r="T33" s="929"/>
      <c r="U33" s="930"/>
      <c r="V33" s="931"/>
      <c r="X33" s="938"/>
      <c r="Y33" s="945">
        <v>71341078.207012787</v>
      </c>
      <c r="Z33" s="946"/>
      <c r="AA33" s="947"/>
      <c r="AB33" s="942"/>
      <c r="AC33" s="938"/>
      <c r="AD33" s="945">
        <v>69101136.636856765</v>
      </c>
      <c r="AE33" s="946"/>
      <c r="AF33" s="947"/>
      <c r="AG33" s="937"/>
      <c r="AH33" s="938"/>
      <c r="AI33" s="945">
        <v>71618184.161387891</v>
      </c>
      <c r="AJ33" s="946"/>
      <c r="AK33" s="947"/>
    </row>
    <row r="34" spans="2:37">
      <c r="E34" s="890"/>
      <c r="F34" s="893"/>
      <c r="G34" s="894"/>
      <c r="K34" s="948"/>
      <c r="M34" s="897"/>
      <c r="N34" s="898"/>
      <c r="O34" s="899"/>
      <c r="Q34" s="900"/>
      <c r="R34" s="909"/>
      <c r="T34" s="902"/>
      <c r="U34" s="917"/>
      <c r="V34" s="918"/>
      <c r="X34" s="938"/>
      <c r="Y34" s="939"/>
      <c r="Z34" s="940"/>
      <c r="AA34" s="941"/>
      <c r="AB34" s="942"/>
      <c r="AC34" s="938"/>
      <c r="AD34" s="939"/>
      <c r="AE34" s="940"/>
      <c r="AF34" s="941"/>
      <c r="AG34" s="937"/>
      <c r="AH34" s="938"/>
      <c r="AI34" s="939"/>
      <c r="AJ34" s="940"/>
      <c r="AK34" s="941"/>
    </row>
    <row r="35" spans="2:37" ht="26.4">
      <c r="B35" s="699" t="s">
        <v>19</v>
      </c>
      <c r="D35" s="715" t="s">
        <v>367</v>
      </c>
      <c r="E35" s="892">
        <f>VLOOKUP("TOTAL "&amp;$B35, 'Consumer Analysis'!$B$11:$N$162, 3,FALSE)</f>
        <v>23109614.930104855</v>
      </c>
      <c r="F35" s="893">
        <f>VLOOKUP("TOTAL "&amp;$B35, 'Consumer Analysis'!$B$11:$N$162, 7,FALSE)</f>
        <v>2346329</v>
      </c>
      <c r="G35" s="894">
        <f>VLOOKUP("TOTAL "&amp;$B35, 'Consumer Analysis'!$B$11:$N$162, 13,FALSE)</f>
        <v>2815535</v>
      </c>
      <c r="I35" s="895">
        <f>G35-F35</f>
        <v>469206</v>
      </c>
      <c r="K35" s="896">
        <f>IF(F35=0,0,ROUND((G35-F35)/F35,9))</f>
        <v>0.19997451299999999</v>
      </c>
      <c r="M35" s="897">
        <f t="shared" si="0"/>
        <v>1.569567614814723E-3</v>
      </c>
      <c r="N35" s="898">
        <f>G35-F35</f>
        <v>469206</v>
      </c>
      <c r="O35" s="899">
        <f>N35/$F35</f>
        <v>0.19997451337813241</v>
      </c>
      <c r="Q35" s="900">
        <f>INDEX($T35:$V35,MATCH($D$5,$T$8:$V$8,0))</f>
        <v>1.5695678297782544E-3</v>
      </c>
      <c r="R35" s="909">
        <f>Q35*$Q$5</f>
        <v>2815535.3880217941</v>
      </c>
      <c r="T35" s="902">
        <v>1.3686908954209582E-3</v>
      </c>
      <c r="U35" s="917">
        <v>1.5695678297782544E-3</v>
      </c>
      <c r="V35" s="918">
        <v>1.5717443418119491E-3</v>
      </c>
      <c r="X35" s="938"/>
      <c r="Y35" s="939">
        <v>2651032.5616114922</v>
      </c>
      <c r="Z35" s="940">
        <f>Y35*$Y$41</f>
        <v>2653680.9896699749</v>
      </c>
      <c r="AA35" s="941">
        <f t="shared" si="1"/>
        <v>1.565487611692526E-3</v>
      </c>
      <c r="AB35" s="942"/>
      <c r="AC35" s="938"/>
      <c r="AD35" s="939">
        <v>2567796.3926632199</v>
      </c>
      <c r="AE35" s="940">
        <f>AD35*$AD$41</f>
        <v>2815535.3880217937</v>
      </c>
      <c r="AF35" s="941">
        <f t="shared" si="7"/>
        <v>1.5695678297782544E-3</v>
      </c>
      <c r="AG35" s="937"/>
      <c r="AH35" s="938"/>
      <c r="AI35" s="939">
        <v>2661329.8114782963</v>
      </c>
      <c r="AJ35" s="940">
        <f>AI35*$AI$41</f>
        <v>2664312.4101360627</v>
      </c>
      <c r="AK35" s="941">
        <f>AJ35/$AJ$38</f>
        <v>1.5717443418119491E-3</v>
      </c>
    </row>
    <row r="36" spans="2:37">
      <c r="B36" s="728"/>
      <c r="C36" s="728"/>
      <c r="D36" s="728" t="s">
        <v>368</v>
      </c>
      <c r="E36" s="919">
        <f>SUM(E35)</f>
        <v>23109614.930104855</v>
      </c>
      <c r="F36" s="920">
        <f>SUM(F35)</f>
        <v>2346329</v>
      </c>
      <c r="G36" s="921">
        <f>SUM(G35)</f>
        <v>2815535</v>
      </c>
      <c r="H36" s="728"/>
      <c r="I36" s="922">
        <f>G36-F36</f>
        <v>469206</v>
      </c>
      <c r="J36" s="728"/>
      <c r="K36" s="923">
        <f>IF(F36=0,0,ROUND((G36-F36)/F36,9))</f>
        <v>0.19997451299999999</v>
      </c>
      <c r="M36" s="924">
        <f t="shared" si="0"/>
        <v>1.569567614814723E-3</v>
      </c>
      <c r="N36" s="925">
        <f>G36-F36</f>
        <v>469206</v>
      </c>
      <c r="O36" s="926">
        <f>N36/$F36</f>
        <v>0.19997451337813241</v>
      </c>
      <c r="Q36" s="927"/>
      <c r="R36" s="928">
        <f>R35</f>
        <v>2815535.3880217941</v>
      </c>
      <c r="T36" s="929"/>
      <c r="U36" s="930"/>
      <c r="V36" s="931"/>
      <c r="X36" s="938"/>
      <c r="Y36" s="945">
        <v>2651032.5616114922</v>
      </c>
      <c r="Z36" s="946"/>
      <c r="AA36" s="950"/>
      <c r="AB36" s="951"/>
      <c r="AC36" s="952"/>
      <c r="AD36" s="945">
        <v>2567796.3926632199</v>
      </c>
      <c r="AE36" s="953"/>
      <c r="AF36" s="950"/>
      <c r="AG36" s="951"/>
      <c r="AH36" s="952"/>
      <c r="AI36" s="945">
        <v>2661329.8114782963</v>
      </c>
      <c r="AJ36" s="953"/>
      <c r="AK36" s="950"/>
    </row>
    <row r="37" spans="2:37">
      <c r="E37" s="890"/>
      <c r="F37" s="954"/>
      <c r="G37" s="955"/>
      <c r="I37" s="895"/>
      <c r="K37" s="956"/>
      <c r="M37" s="897"/>
      <c r="N37" s="898"/>
      <c r="O37" s="899"/>
      <c r="Q37" s="900"/>
      <c r="R37" s="909"/>
      <c r="T37" s="902"/>
      <c r="U37" s="917"/>
      <c r="V37" s="918"/>
      <c r="X37" s="692" t="s">
        <v>597</v>
      </c>
      <c r="Y37" s="936"/>
      <c r="Z37" s="957"/>
      <c r="AA37" s="958"/>
      <c r="AC37" s="692" t="s">
        <v>597</v>
      </c>
      <c r="AD37" s="936"/>
      <c r="AE37" s="957"/>
      <c r="AF37" s="958"/>
      <c r="AH37" s="692" t="s">
        <v>597</v>
      </c>
      <c r="AI37" s="936"/>
      <c r="AJ37" s="957"/>
      <c r="AK37" s="958"/>
    </row>
    <row r="38" spans="2:37" ht="13.8" thickBot="1">
      <c r="B38" s="753" t="s">
        <v>369</v>
      </c>
      <c r="C38" s="754"/>
      <c r="D38" s="754"/>
      <c r="E38" s="959">
        <f>E14+E19+E23+E29+E33+E36</f>
        <v>15526392079.971085</v>
      </c>
      <c r="F38" s="960">
        <f>SUM(F14,F19,F23,F29,F33,F36)</f>
        <v>1675901872.8800001</v>
      </c>
      <c r="G38" s="961">
        <f>SUM(G14, G19,G23,G29,G33,G36,)</f>
        <v>1793828423.4619324</v>
      </c>
      <c r="H38" s="754"/>
      <c r="I38" s="962">
        <f>G38-F38</f>
        <v>117926550.58193231</v>
      </c>
      <c r="J38" s="754"/>
      <c r="K38" s="963">
        <f>IF(F38=0,0,ROUND((G38-F38)/F38,9))</f>
        <v>7.0366023999999999E-2</v>
      </c>
      <c r="M38" s="964">
        <f t="shared" si="0"/>
        <v>1</v>
      </c>
      <c r="N38" s="965">
        <f>G38-F38</f>
        <v>117926550.58193231</v>
      </c>
      <c r="O38" s="966">
        <f>N38/$F38</f>
        <v>7.0366023506661615E-2</v>
      </c>
      <c r="Q38" s="967">
        <f>INDEX($T38:$V38,MATCH($D$5,$T$8:$V$8,0))</f>
        <v>0.99999999999999967</v>
      </c>
      <c r="R38" s="968">
        <f>SUM(R14,R19,R23,R29,R33,R36)</f>
        <v>1793828424.9999998</v>
      </c>
      <c r="T38" s="969">
        <v>1</v>
      </c>
      <c r="U38" s="970">
        <f t="shared" ref="U38:V38" si="17">SUM(U10:U13,U16:U18,U21:U22,U25:U28,U31:U32,U35)</f>
        <v>0.99999999999999967</v>
      </c>
      <c r="V38" s="971">
        <f t="shared" si="17"/>
        <v>1</v>
      </c>
      <c r="X38" s="972">
        <v>1695114653</v>
      </c>
      <c r="Y38" s="973">
        <v>1694278541.9835172</v>
      </c>
      <c r="Z38" s="972">
        <f>SUM(Z10:Z36)</f>
        <v>1695114653</v>
      </c>
      <c r="AA38" s="974">
        <f>SUM(AA10:AA35)</f>
        <v>1</v>
      </c>
      <c r="AC38" s="972">
        <v>1793828425</v>
      </c>
      <c r="AD38" s="973">
        <v>1715617011.0375659</v>
      </c>
      <c r="AE38" s="972">
        <f>SUM(AE10:AE36)</f>
        <v>1793828424.9999998</v>
      </c>
      <c r="AF38" s="974">
        <f>SUM(AF10:AF35)</f>
        <v>0.99999999999999978</v>
      </c>
      <c r="AH38" s="972">
        <v>1695130906</v>
      </c>
      <c r="AI38" s="973">
        <v>1694189297.0378392</v>
      </c>
      <c r="AJ38" s="972">
        <f>SUM(AJ10:AJ36)</f>
        <v>1695130905.9999998</v>
      </c>
      <c r="AK38" s="974">
        <f>SUM(AK10:AK35)</f>
        <v>1</v>
      </c>
    </row>
    <row r="39" spans="2:37" ht="13.8" thickTop="1">
      <c r="B39" s="743"/>
      <c r="E39" s="975"/>
      <c r="F39" s="895">
        <f>G38-F38</f>
        <v>117926550.58193231</v>
      </c>
      <c r="G39" s="895">
        <v>2801853204.9249129</v>
      </c>
      <c r="I39" s="895"/>
      <c r="K39" s="976"/>
      <c r="X39" s="977" t="s">
        <v>627</v>
      </c>
      <c r="Y39" s="978">
        <f>SUM(Y17:Y18,Y21:Y22,Y25:Y28,Y31:Y32,Y35)</f>
        <v>836933260.3613168</v>
      </c>
      <c r="AC39" s="977" t="s">
        <v>627</v>
      </c>
      <c r="AD39" s="978">
        <f>SUM(AD17:AD18,AD21:AD22,AD25:AD28,AD31:AD32,AD35)</f>
        <v>810655530.21698534</v>
      </c>
      <c r="AH39" s="977" t="s">
        <v>627</v>
      </c>
      <c r="AI39" s="978">
        <f>SUM(AI17:AI18,AI21:AI22,AI25:AI28,AI31:AI32,AI35)</f>
        <v>840184111.00290239</v>
      </c>
    </row>
    <row r="40" spans="2:37">
      <c r="B40" s="743"/>
      <c r="D40" s="692" t="s">
        <v>331</v>
      </c>
      <c r="E40" s="975"/>
      <c r="F40" s="978">
        <v>0</v>
      </c>
      <c r="G40" s="978">
        <f>F40</f>
        <v>0</v>
      </c>
      <c r="I40" s="895">
        <f>G40-F40</f>
        <v>0</v>
      </c>
      <c r="K40" s="979">
        <f>IF(F40=0,0,ROUND((G40-F40)/F40,9))</f>
        <v>0</v>
      </c>
      <c r="R40" s="978">
        <f>SUM(R14,R19,R23,R29,R33,R36)</f>
        <v>1793828424.9999998</v>
      </c>
      <c r="T40" s="1520">
        <f>SUM(T10:T13,T16:T18,T21:T22,T25:T28,T31:T32,T35)</f>
        <v>1.0000000000000002</v>
      </c>
      <c r="U40" s="1520">
        <f t="shared" ref="U40:V40" si="18">SUM(U10:U13,U16:U18,U21:U22,U25:U28,U31:U32,U35)</f>
        <v>0.99999999999999967</v>
      </c>
      <c r="V40" s="1520">
        <f t="shared" si="18"/>
        <v>1</v>
      </c>
      <c r="X40" s="977" t="s">
        <v>626</v>
      </c>
      <c r="Y40" s="978">
        <f>X38 - Y38</f>
        <v>836111.01648283005</v>
      </c>
      <c r="AC40" s="977" t="s">
        <v>626</v>
      </c>
      <c r="AD40" s="978">
        <f>AC38 - AD38</f>
        <v>78211413.962434053</v>
      </c>
      <c r="AH40" s="977" t="s">
        <v>626</v>
      </c>
      <c r="AI40" s="978">
        <f>AH38 - AI38</f>
        <v>941608.96216082573</v>
      </c>
    </row>
    <row r="41" spans="2:37">
      <c r="D41" s="692" t="s">
        <v>370</v>
      </c>
      <c r="F41" s="978">
        <v>0</v>
      </c>
      <c r="G41" s="978">
        <f>F41</f>
        <v>0</v>
      </c>
      <c r="I41" s="895">
        <f>G41-F41</f>
        <v>0</v>
      </c>
      <c r="K41" s="979">
        <f>IF(F41=0,0,ROUND((G41-F41)/F41,9))</f>
        <v>0</v>
      </c>
      <c r="X41" s="977" t="s">
        <v>628</v>
      </c>
      <c r="Y41" s="942">
        <f>1+Y40/Y39</f>
        <v>1.0009990175514376</v>
      </c>
      <c r="AC41" s="977" t="s">
        <v>628</v>
      </c>
      <c r="AD41" s="942">
        <f>1+AD40/AD39</f>
        <v>1.0964792208862122</v>
      </c>
      <c r="AH41" s="977" t="s">
        <v>628</v>
      </c>
      <c r="AI41" s="942">
        <f>1+AI40/AI39</f>
        <v>1.0011207174116121</v>
      </c>
    </row>
    <row r="42" spans="2:37" hidden="1">
      <c r="F42" s="895"/>
      <c r="G42" s="895"/>
      <c r="I42" s="895"/>
      <c r="K42" s="979"/>
    </row>
    <row r="43" spans="2:37" ht="13.8" hidden="1" thickBot="1">
      <c r="B43" s="753" t="s">
        <v>371</v>
      </c>
      <c r="C43" s="754"/>
      <c r="D43" s="754"/>
      <c r="E43" s="980"/>
      <c r="F43" s="962">
        <f>SUM(F38,F40:F41)</f>
        <v>1675901872.8800001</v>
      </c>
      <c r="G43" s="962">
        <f>SUM(G38,G40:G41)</f>
        <v>1793828423.4619324</v>
      </c>
      <c r="H43" s="754"/>
      <c r="I43" s="962">
        <f>SUM(I38,I40:I41)</f>
        <v>117926550.58193231</v>
      </c>
      <c r="J43" s="754"/>
      <c r="K43" s="981">
        <f>IF(F43=0,0,ROUND((G43-F43)/F43,9))</f>
        <v>7.0366023999999999E-2</v>
      </c>
    </row>
    <row r="44" spans="2:37" hidden="1">
      <c r="F44" s="982"/>
    </row>
    <row r="45" spans="2:37" hidden="1">
      <c r="B45" s="983" t="s">
        <v>372</v>
      </c>
      <c r="C45" s="983"/>
      <c r="D45" s="1574" t="e">
        <f>"[1]: Revenue difference represents the degree to which "&amp;CompIOU&amp;" rates are higher than proposed rates, in percentage terms. Negative values indicate proposed rates higher than "&amp;CompIOU&amp;" rates. No lighting comparison made."</f>
        <v>#NAME?</v>
      </c>
      <c r="E45" s="1574"/>
      <c r="F45" s="1574"/>
      <c r="G45" s="1574"/>
      <c r="H45" s="1574"/>
      <c r="I45" s="1574"/>
      <c r="J45" s="1574"/>
      <c r="K45" s="1574"/>
    </row>
    <row r="46" spans="2:37">
      <c r="G46" s="895">
        <f>G38-F38</f>
        <v>117926550.58193231</v>
      </c>
    </row>
    <row r="47" spans="2:37" ht="25.5" hidden="1" customHeight="1"/>
    <row r="48" spans="2:37">
      <c r="D48" s="692" t="s">
        <v>373</v>
      </c>
      <c r="E48" s="975">
        <f>SUM(E14,E19,E23,E29,E36)</f>
        <v>15257603213.130106</v>
      </c>
    </row>
    <row r="49" spans="5:10">
      <c r="E49" s="975">
        <f>E38-SUM(E11:E13)</f>
        <v>14792892079.971085</v>
      </c>
      <c r="I49" s="895">
        <v>353160000</v>
      </c>
      <c r="J49" s="692" t="s">
        <v>374</v>
      </c>
    </row>
    <row r="50" spans="5:10">
      <c r="E50" s="984">
        <f>E48/1000000</f>
        <v>15257.603213130105</v>
      </c>
    </row>
    <row r="51" spans="5:10">
      <c r="I51" s="895">
        <f>I49-I38</f>
        <v>235233449.41806769</v>
      </c>
      <c r="J51" s="692" t="s">
        <v>375</v>
      </c>
    </row>
  </sheetData>
  <mergeCells count="4">
    <mergeCell ref="D45:K45"/>
    <mergeCell ref="B2:D2"/>
    <mergeCell ref="G6:K6"/>
    <mergeCell ref="T7:V7"/>
  </mergeCells>
  <phoneticPr fontId="12" type="noConversion"/>
  <conditionalFormatting sqref="G18:K18 G9:K9 H20:K20 H24:K24 G30:K30 H31:K33 G34:K35 H36:K36 H10:K15 G37:K43">
    <cfRule type="expression" dxfId="205" priority="11">
      <formula>HideProposed</formula>
    </cfRule>
  </conditionalFormatting>
  <conditionalFormatting sqref="G22:K22">
    <cfRule type="expression" dxfId="204" priority="9">
      <formula>HideProposed</formula>
    </cfRule>
  </conditionalFormatting>
  <conditionalFormatting sqref="G25:K26">
    <cfRule type="expression" dxfId="203" priority="7">
      <formula>HideProposed</formula>
    </cfRule>
  </conditionalFormatting>
  <conditionalFormatting sqref="H16:K17">
    <cfRule type="expression" dxfId="202" priority="12">
      <formula>HideProposed</formula>
    </cfRule>
  </conditionalFormatting>
  <conditionalFormatting sqref="H19:K19">
    <cfRule type="expression" dxfId="201" priority="4">
      <formula>HideProposed</formula>
    </cfRule>
  </conditionalFormatting>
  <conditionalFormatting sqref="H21:K21">
    <cfRule type="expression" dxfId="200" priority="10">
      <formula>HideProposed</formula>
    </cfRule>
  </conditionalFormatting>
  <conditionalFormatting sqref="H23:K23">
    <cfRule type="expression" dxfId="199" priority="3">
      <formula>HideProposed</formula>
    </cfRule>
  </conditionalFormatting>
  <conditionalFormatting sqref="H27:K29">
    <cfRule type="expression" dxfId="198" priority="2">
      <formula>HideProposed</formula>
    </cfRule>
  </conditionalFormatting>
  <pageMargins left="0.7" right="0.7" top="0.75" bottom="0.75" header="0.3" footer="0.3"/>
  <pageSetup scale="43" orientation="landscape" blackAndWhite="1" r:id="rId1"/>
  <headerFooter scaleWithDoc="0">
    <oddHeader>&amp;R&amp;R&amp;"Times New Roman,Regular"&amp;10Docket 5820-UR-114
Witness: Sam Shannon
Schedule 1
Page &amp;P of &amp;N&amp;L&amp;"Calibri"&amp;10&amp;K0000FFTRADING PARTNER&amp;1#</oddHeader>
    <oddFooter>&amp;C&amp;C&amp;"Times New Roman,Regular"&amp;10Ex-PSC-Shannon-5&amp;R&amp;R&amp;"Times New Roman,Regular"&amp;8Rendered: &amp;D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40F52-BF98-4E2F-879B-4BB74E3C589D}">
  <sheetPr codeName="Sheet13">
    <tabColor theme="3" tint="0.79998168889431442"/>
    <pageSetUpPr fitToPage="1"/>
  </sheetPr>
  <dimension ref="A1:BU194"/>
  <sheetViews>
    <sheetView workbookViewId="0"/>
  </sheetViews>
  <sheetFormatPr defaultColWidth="8.296875" defaultRowHeight="13.2"/>
  <cols>
    <col min="1" max="1" width="3.8984375" style="773" customWidth="1"/>
    <col min="2" max="2" width="41.69921875" style="773" customWidth="1"/>
    <col min="3" max="3" width="1.5" style="773" customWidth="1"/>
    <col min="4" max="4" width="19.69921875" style="773" customWidth="1"/>
    <col min="5" max="5" width="10" style="773" customWidth="1"/>
    <col min="6" max="6" width="7.796875" style="773" customWidth="1"/>
    <col min="7" max="7" width="1.5" style="773" customWidth="1"/>
    <col min="8" max="8" width="14" style="773" customWidth="1"/>
    <col min="9" max="9" width="1.5" style="773" customWidth="1"/>
    <col min="10" max="10" width="15.5" style="773" customWidth="1"/>
    <col min="11" max="11" width="11.3984375" style="773" customWidth="1"/>
    <col min="12" max="12" width="20.296875" style="773" customWidth="1"/>
    <col min="13" max="13" width="1.5" style="773" customWidth="1"/>
    <col min="14" max="14" width="13" style="773" customWidth="1"/>
    <col min="15" max="15" width="1.5" style="773" customWidth="1"/>
    <col min="16" max="16" width="12.796875" style="773" customWidth="1"/>
    <col min="17" max="17" width="1" style="773" customWidth="1"/>
    <col min="18" max="18" width="12" style="773" customWidth="1"/>
    <col min="19" max="19" width="1" style="773" customWidth="1"/>
    <col min="20" max="20" width="21.296875" style="773" customWidth="1"/>
    <col min="21" max="21" width="1" style="773" customWidth="1"/>
    <col min="22" max="22" width="2.19921875" style="773" customWidth="1"/>
    <col min="23" max="23" width="19.5" style="773" customWidth="1"/>
    <col min="24" max="26" width="11.59765625" style="773" customWidth="1"/>
    <col min="27" max="27" width="1.796875" style="773" customWidth="1"/>
    <col min="28" max="28" width="8.296875" style="789" customWidth="1"/>
    <col min="29" max="30" width="9.5" style="789" customWidth="1"/>
    <col min="31" max="31" width="1.59765625" style="773" customWidth="1"/>
    <col min="32" max="32" width="11.5" style="773" customWidth="1"/>
    <col min="33" max="33" width="12.69921875" style="773" customWidth="1"/>
    <col min="34" max="34" width="11.5" style="987" customWidth="1"/>
    <col min="35" max="35" width="11.296875" style="773" customWidth="1"/>
    <col min="36" max="37" width="11.5" style="773" customWidth="1"/>
    <col min="38" max="38" width="13.5" style="773" customWidth="1"/>
    <col min="39" max="39" width="0.8984375" style="773" customWidth="1"/>
    <col min="40" max="40" width="11.5" style="773" customWidth="1"/>
    <col min="41" max="41" width="12.3984375" style="773" customWidth="1"/>
    <col min="42" max="42" width="11.5" style="987" customWidth="1"/>
    <col min="43" max="43" width="11.296875" style="773" customWidth="1"/>
    <col min="44" max="45" width="11.5" style="773" customWidth="1"/>
    <col min="46" max="46" width="13.5" style="773" customWidth="1"/>
    <col min="47" max="47" width="0.8984375" style="773" customWidth="1"/>
    <col min="48" max="48" width="11.5" style="773" customWidth="1"/>
    <col min="49" max="49" width="12.69921875" style="773" customWidth="1"/>
    <col min="50" max="50" width="11.5" style="987" customWidth="1"/>
    <col min="51" max="51" width="11.296875" style="773" customWidth="1"/>
    <col min="52" max="53" width="11.5" style="773" customWidth="1"/>
    <col min="54" max="54" width="13.5" style="773" customWidth="1"/>
    <col min="55" max="55" width="0.8984375" style="773" customWidth="1"/>
    <col min="56" max="56" width="11.5" style="773" customWidth="1"/>
    <col min="57" max="57" width="12.69921875" style="773" customWidth="1"/>
    <col min="58" max="58" width="11.5" style="987" customWidth="1"/>
    <col min="59" max="59" width="11.296875" style="773" customWidth="1"/>
    <col min="60" max="61" width="11.5" style="773" customWidth="1"/>
    <col min="62" max="62" width="13.5" style="773" customWidth="1"/>
    <col min="63" max="63" width="1.296875" style="773" customWidth="1"/>
    <col min="64" max="66" width="11" style="773" customWidth="1"/>
    <col min="67" max="73" width="8.296875" style="773"/>
    <col min="74" max="16384" width="8.296875" style="414"/>
  </cols>
  <sheetData>
    <row r="1" spans="1:73">
      <c r="E1" s="774"/>
      <c r="F1" s="774"/>
      <c r="G1" s="774"/>
      <c r="H1" s="774"/>
      <c r="I1" s="774"/>
      <c r="J1" s="985"/>
      <c r="K1" s="774"/>
      <c r="L1" s="986"/>
      <c r="M1" s="774"/>
      <c r="N1" s="774"/>
      <c r="O1" s="774"/>
      <c r="P1" s="774"/>
    </row>
    <row r="2" spans="1:73">
      <c r="B2" s="1575" t="s">
        <v>635</v>
      </c>
      <c r="C2" s="1576"/>
      <c r="D2" s="1573"/>
      <c r="E2" s="692"/>
      <c r="F2" s="692"/>
      <c r="G2" s="692"/>
      <c r="H2" s="692"/>
      <c r="I2" s="692"/>
      <c r="J2" s="988"/>
      <c r="K2" s="988"/>
      <c r="L2" s="986"/>
      <c r="M2" s="692"/>
      <c r="N2" s="986"/>
      <c r="O2" s="692"/>
      <c r="P2" s="989"/>
      <c r="R2" s="778"/>
      <c r="BL2" s="990"/>
      <c r="BM2" s="990"/>
      <c r="BN2" s="990"/>
    </row>
    <row r="3" spans="1:73">
      <c r="B3" s="779" t="s">
        <v>526</v>
      </c>
      <c r="C3" s="838"/>
      <c r="D3" s="991">
        <f>'Lists and Mapping'!C10</f>
        <v>2027</v>
      </c>
      <c r="H3" s="692"/>
      <c r="I3" s="838"/>
      <c r="J3" s="988"/>
      <c r="K3" s="988"/>
      <c r="L3" s="778"/>
      <c r="N3" s="992"/>
      <c r="BL3" s="990"/>
      <c r="BM3" s="990"/>
      <c r="BN3" s="990"/>
    </row>
    <row r="4" spans="1:73">
      <c r="B4" s="779" t="s">
        <v>334</v>
      </c>
      <c r="C4" s="838"/>
      <c r="D4" s="991" t="str">
        <f>'Lists and Mapping'!C12</f>
        <v>PREB Approved, Reconciliation in FY27</v>
      </c>
      <c r="E4" s="993"/>
      <c r="F4" s="993"/>
      <c r="H4" s="993"/>
      <c r="K4" s="778"/>
      <c r="L4" s="987"/>
      <c r="N4" s="992"/>
      <c r="BL4" s="795"/>
      <c r="BM4" s="795"/>
      <c r="BN4" s="795"/>
    </row>
    <row r="5" spans="1:73">
      <c r="B5" s="779" t="s">
        <v>529</v>
      </c>
      <c r="C5" s="838"/>
      <c r="D5" s="991" t="str">
        <f>'Lists and Mapping'!C13</f>
        <v>PREB FY2027</v>
      </c>
      <c r="E5" s="993"/>
      <c r="F5" s="987"/>
      <c r="H5" s="779" t="s">
        <v>556</v>
      </c>
      <c r="J5" s="994">
        <f>'Revenue Requirement'!E11</f>
        <v>1.4931E-2</v>
      </c>
      <c r="K5" s="987" t="s">
        <v>559</v>
      </c>
      <c r="N5" s="992"/>
      <c r="BL5" s="795"/>
      <c r="BM5" s="795"/>
      <c r="BN5" s="795"/>
    </row>
    <row r="6" spans="1:73">
      <c r="B6" s="779" t="s">
        <v>532</v>
      </c>
      <c r="C6" s="838"/>
      <c r="D6" s="995" t="str">
        <f>'Lists and Mapping'!$C$14</f>
        <v>PREB FY2027</v>
      </c>
      <c r="E6" s="795"/>
      <c r="F6" s="795"/>
      <c r="G6" s="795"/>
      <c r="H6" s="779" t="s">
        <v>557</v>
      </c>
      <c r="J6" s="994">
        <f>'Revenue Requirement'!E12</f>
        <v>1.9191E-2</v>
      </c>
      <c r="K6" s="795" t="s">
        <v>560</v>
      </c>
      <c r="M6" s="795"/>
      <c r="N6" s="806"/>
      <c r="O6" s="795"/>
      <c r="P6" s="806"/>
      <c r="Q6" s="795"/>
      <c r="R6" s="795"/>
      <c r="T6" s="996"/>
    </row>
    <row r="7" spans="1:73">
      <c r="B7" s="784" t="s">
        <v>693</v>
      </c>
      <c r="C7" s="997"/>
      <c r="D7" s="998" t="b">
        <f>Dashboard!$C$3</f>
        <v>1</v>
      </c>
      <c r="E7" s="795"/>
      <c r="F7" s="795"/>
      <c r="G7" s="786"/>
      <c r="H7" s="779" t="s">
        <v>558</v>
      </c>
      <c r="J7" s="697">
        <f>'Revenue Requirement'!E13</f>
        <v>3.4122E-2</v>
      </c>
      <c r="K7" s="783"/>
      <c r="M7" s="786"/>
      <c r="N7" s="1592" t="s">
        <v>455</v>
      </c>
      <c r="O7" s="1593"/>
      <c r="P7" s="1593"/>
      <c r="Q7" s="1593"/>
      <c r="R7" s="1594"/>
      <c r="S7" s="999"/>
      <c r="T7" s="1000" t="s">
        <v>528</v>
      </c>
      <c r="X7" s="1589" t="s">
        <v>636</v>
      </c>
      <c r="Y7" s="1590"/>
      <c r="Z7" s="1591"/>
      <c r="AB7" s="1595" t="s">
        <v>523</v>
      </c>
      <c r="AC7" s="1596"/>
      <c r="AD7" s="1597"/>
      <c r="AF7" s="1586" t="s">
        <v>637</v>
      </c>
      <c r="AG7" s="1587"/>
      <c r="AH7" s="1587"/>
      <c r="AI7" s="1587"/>
      <c r="AJ7" s="1587"/>
      <c r="AK7" s="1587"/>
      <c r="AL7" s="1588"/>
      <c r="AN7" s="1586" t="s">
        <v>589</v>
      </c>
      <c r="AO7" s="1587"/>
      <c r="AP7" s="1587"/>
      <c r="AQ7" s="1587"/>
      <c r="AR7" s="1587"/>
      <c r="AS7" s="1587"/>
      <c r="AT7" s="1588"/>
      <c r="AV7" s="1586" t="s">
        <v>591</v>
      </c>
      <c r="AW7" s="1587"/>
      <c r="AX7" s="1587"/>
      <c r="AY7" s="1587"/>
      <c r="AZ7" s="1587"/>
      <c r="BA7" s="1587"/>
      <c r="BB7" s="1588"/>
      <c r="BD7" s="1586" t="s">
        <v>592</v>
      </c>
      <c r="BE7" s="1587"/>
      <c r="BF7" s="1587"/>
      <c r="BG7" s="1587"/>
      <c r="BH7" s="1587"/>
      <c r="BI7" s="1587"/>
      <c r="BJ7" s="1588"/>
      <c r="BL7" s="1583" t="s">
        <v>638</v>
      </c>
      <c r="BM7" s="1584"/>
      <c r="BN7" s="1585"/>
    </row>
    <row r="8" spans="1:73" s="658" customFormat="1" ht="105.6">
      <c r="A8" s="1001"/>
      <c r="B8" s="787"/>
      <c r="C8" s="787"/>
      <c r="D8" s="1002" t="s">
        <v>456</v>
      </c>
      <c r="E8" s="1003" t="s">
        <v>340</v>
      </c>
      <c r="F8" s="1003"/>
      <c r="G8" s="1003"/>
      <c r="H8" s="1003" t="s">
        <v>340</v>
      </c>
      <c r="I8" s="1003"/>
      <c r="J8" s="1003" t="s">
        <v>456</v>
      </c>
      <c r="K8" s="1003" t="s">
        <v>454</v>
      </c>
      <c r="L8" s="1004"/>
      <c r="M8" s="787"/>
      <c r="N8" s="1005" t="s">
        <v>454</v>
      </c>
      <c r="O8" s="787"/>
      <c r="P8" s="787" t="s">
        <v>346</v>
      </c>
      <c r="Q8" s="787"/>
      <c r="R8" s="1006"/>
      <c r="S8" s="1007"/>
      <c r="T8" s="1008" t="s">
        <v>543</v>
      </c>
      <c r="U8" s="1001"/>
      <c r="V8" s="1001"/>
      <c r="W8" s="1009" t="s">
        <v>540</v>
      </c>
      <c r="X8" s="1010" t="s">
        <v>594</v>
      </c>
      <c r="Y8" s="1011" t="s">
        <v>595</v>
      </c>
      <c r="Z8" s="1012" t="s">
        <v>596</v>
      </c>
      <c r="AA8" s="1001"/>
      <c r="AB8" s="1013" t="s">
        <v>522</v>
      </c>
      <c r="AC8" s="1014" t="s">
        <v>686</v>
      </c>
      <c r="AD8" s="1015" t="s">
        <v>687</v>
      </c>
      <c r="AE8" s="1001"/>
      <c r="AF8" s="1016" t="s">
        <v>585</v>
      </c>
      <c r="AG8" s="1016" t="s">
        <v>617</v>
      </c>
      <c r="AH8" s="1017" t="s">
        <v>588</v>
      </c>
      <c r="AI8" s="1016" t="s">
        <v>158</v>
      </c>
      <c r="AJ8" s="1016" t="s">
        <v>587</v>
      </c>
      <c r="AK8" s="1016"/>
      <c r="AL8" s="1016" t="s">
        <v>590</v>
      </c>
      <c r="AM8" s="1001"/>
      <c r="AN8" s="1018" t="s">
        <v>585</v>
      </c>
      <c r="AO8" s="1018" t="s">
        <v>586</v>
      </c>
      <c r="AP8" s="1019" t="s">
        <v>588</v>
      </c>
      <c r="AQ8" s="1018" t="s">
        <v>158</v>
      </c>
      <c r="AR8" s="1018" t="s">
        <v>587</v>
      </c>
      <c r="AS8" s="1018"/>
      <c r="AT8" s="1018" t="s">
        <v>590</v>
      </c>
      <c r="AU8" s="1001"/>
      <c r="AV8" s="1018" t="s">
        <v>585</v>
      </c>
      <c r="AW8" s="1018" t="s">
        <v>617</v>
      </c>
      <c r="AX8" s="1019" t="s">
        <v>588</v>
      </c>
      <c r="AY8" s="1018" t="s">
        <v>158</v>
      </c>
      <c r="AZ8" s="1018" t="s">
        <v>587</v>
      </c>
      <c r="BA8" s="1018"/>
      <c r="BB8" s="1018" t="s">
        <v>590</v>
      </c>
      <c r="BC8" s="1001"/>
      <c r="BD8" s="1018" t="s">
        <v>585</v>
      </c>
      <c r="BE8" s="1018" t="s">
        <v>617</v>
      </c>
      <c r="BF8" s="1019" t="s">
        <v>588</v>
      </c>
      <c r="BG8" s="1018" t="s">
        <v>158</v>
      </c>
      <c r="BH8" s="1018" t="s">
        <v>587</v>
      </c>
      <c r="BI8" s="1018"/>
      <c r="BJ8" s="1018" t="s">
        <v>590</v>
      </c>
      <c r="BK8" s="1020"/>
      <c r="BL8" s="1018" t="s">
        <v>589</v>
      </c>
      <c r="BM8" s="1018" t="s">
        <v>591</v>
      </c>
      <c r="BN8" s="1018" t="s">
        <v>592</v>
      </c>
      <c r="BO8" s="1001"/>
      <c r="BP8" s="1001"/>
      <c r="BQ8" s="1001"/>
      <c r="BR8" s="1001"/>
      <c r="BS8" s="1001"/>
      <c r="BT8" s="1001"/>
      <c r="BU8" s="1001"/>
    </row>
    <row r="9" spans="1:73">
      <c r="A9" s="789" t="s">
        <v>533</v>
      </c>
      <c r="B9" s="790" t="s">
        <v>457</v>
      </c>
      <c r="C9" s="790"/>
      <c r="D9" s="1021" t="s">
        <v>458</v>
      </c>
      <c r="E9" s="793" t="s">
        <v>459</v>
      </c>
      <c r="F9" s="793"/>
      <c r="G9" s="793"/>
      <c r="H9" s="793" t="s">
        <v>345</v>
      </c>
      <c r="I9" s="793"/>
      <c r="J9" s="793" t="s">
        <v>458</v>
      </c>
      <c r="K9" s="793" t="s">
        <v>459</v>
      </c>
      <c r="L9" s="1022"/>
      <c r="M9" s="793"/>
      <c r="N9" s="1021" t="s">
        <v>345</v>
      </c>
      <c r="O9" s="793"/>
      <c r="P9" s="793" t="s">
        <v>460</v>
      </c>
      <c r="Q9" s="793"/>
      <c r="R9" s="1022" t="s">
        <v>342</v>
      </c>
      <c r="S9" s="999"/>
      <c r="T9" s="1023" t="s">
        <v>345</v>
      </c>
      <c r="W9" s="1024"/>
      <c r="X9" s="1024"/>
      <c r="Z9" s="1025"/>
      <c r="AB9" s="1026"/>
      <c r="AD9" s="1027"/>
      <c r="AF9" s="1024"/>
      <c r="AH9" s="1028"/>
      <c r="AL9" s="1025"/>
      <c r="AN9" s="1029"/>
      <c r="AO9" s="1030"/>
      <c r="AP9" s="1031"/>
      <c r="AQ9" s="1030"/>
      <c r="AR9" s="1030"/>
      <c r="AS9" s="1030"/>
      <c r="AT9" s="1032"/>
      <c r="AV9" s="1029"/>
      <c r="AW9" s="1030"/>
      <c r="AX9" s="1031"/>
      <c r="AY9" s="1030"/>
      <c r="AZ9" s="1030"/>
      <c r="BA9" s="1030"/>
      <c r="BB9" s="1032"/>
      <c r="BD9" s="1029"/>
      <c r="BE9" s="1030"/>
      <c r="BF9" s="1031"/>
      <c r="BG9" s="1030"/>
      <c r="BH9" s="1030"/>
      <c r="BI9" s="1030"/>
      <c r="BJ9" s="1032"/>
      <c r="BL9" s="1033"/>
      <c r="BM9" s="1034"/>
      <c r="BN9" s="1035"/>
    </row>
    <row r="10" spans="1:73">
      <c r="B10" s="795"/>
      <c r="C10" s="795"/>
      <c r="D10" s="1036"/>
      <c r="E10" s="795"/>
      <c r="F10" s="795"/>
      <c r="G10" s="795"/>
      <c r="H10" s="795"/>
      <c r="I10" s="795"/>
      <c r="J10" s="795"/>
      <c r="K10" s="795"/>
      <c r="L10" s="1037"/>
      <c r="M10" s="795"/>
      <c r="N10" s="1036"/>
      <c r="O10" s="795"/>
      <c r="P10" s="795"/>
      <c r="Q10" s="795"/>
      <c r="R10" s="1037"/>
      <c r="T10" s="1038"/>
      <c r="V10" s="1039" t="s">
        <v>538</v>
      </c>
      <c r="W10" s="1026" t="b">
        <f>INDEX($X10:$Z10,MATCH($D$6,$X$8:$Z$8,0))</f>
        <v>0</v>
      </c>
      <c r="X10" s="1026" t="b">
        <v>0</v>
      </c>
      <c r="Y10" s="789" t="b">
        <v>0</v>
      </c>
      <c r="Z10" s="1027" t="b">
        <v>0</v>
      </c>
      <c r="AB10" s="1026"/>
      <c r="AD10" s="1027"/>
      <c r="AF10" s="1024"/>
      <c r="AH10" s="1028"/>
      <c r="AL10" s="1025"/>
      <c r="AN10" s="1029"/>
      <c r="AO10" s="1030"/>
      <c r="AP10" s="1031"/>
      <c r="AQ10" s="1030"/>
      <c r="AR10" s="1030"/>
      <c r="AS10" s="1030"/>
      <c r="AT10" s="1032"/>
      <c r="AV10" s="1029"/>
      <c r="AW10" s="1030"/>
      <c r="AX10" s="1031"/>
      <c r="AY10" s="1030"/>
      <c r="AZ10" s="1030"/>
      <c r="BA10" s="1030"/>
      <c r="BB10" s="1032"/>
      <c r="BD10" s="1029"/>
      <c r="BE10" s="1030"/>
      <c r="BF10" s="1031"/>
      <c r="BG10" s="1030"/>
      <c r="BH10" s="1030"/>
      <c r="BI10" s="1030"/>
      <c r="BJ10" s="1032"/>
      <c r="BL10" s="1033"/>
      <c r="BM10" s="1034"/>
      <c r="BN10" s="1035"/>
    </row>
    <row r="11" spans="1:73">
      <c r="B11" s="797" t="s">
        <v>377</v>
      </c>
      <c r="C11" s="797"/>
      <c r="D11" s="1036"/>
      <c r="E11" s="795"/>
      <c r="F11" s="795"/>
      <c r="G11" s="795"/>
      <c r="H11" s="795"/>
      <c r="I11" s="795"/>
      <c r="J11" s="1040"/>
      <c r="K11" s="795"/>
      <c r="L11" s="1037"/>
      <c r="M11" s="795"/>
      <c r="N11" s="1036"/>
      <c r="O11" s="795"/>
      <c r="P11" s="795"/>
      <c r="Q11" s="795"/>
      <c r="R11" s="1037"/>
      <c r="T11" s="1038"/>
      <c r="W11" s="1026"/>
      <c r="X11" s="1026"/>
      <c r="Y11" s="789"/>
      <c r="Z11" s="1027"/>
      <c r="AB11" s="1026"/>
      <c r="AD11" s="1027"/>
      <c r="AF11" s="1024"/>
      <c r="AH11" s="1028"/>
      <c r="AL11" s="1025"/>
      <c r="AN11" s="1029"/>
      <c r="AO11" s="1030"/>
      <c r="AP11" s="1031"/>
      <c r="AQ11" s="1030"/>
      <c r="AR11" s="1030"/>
      <c r="AS11" s="1030"/>
      <c r="AT11" s="1032"/>
      <c r="AV11" s="1029"/>
      <c r="AW11" s="1030"/>
      <c r="AX11" s="1031"/>
      <c r="AY11" s="1030"/>
      <c r="AZ11" s="1030"/>
      <c r="BA11" s="1030"/>
      <c r="BB11" s="1032"/>
      <c r="BD11" s="1029"/>
      <c r="BE11" s="1030"/>
      <c r="BF11" s="1031"/>
      <c r="BG11" s="1030"/>
      <c r="BH11" s="1030"/>
      <c r="BI11" s="1030"/>
      <c r="BJ11" s="1032"/>
      <c r="BL11" s="1033"/>
      <c r="BM11" s="1034"/>
      <c r="BN11" s="1035"/>
    </row>
    <row r="12" spans="1:73">
      <c r="B12" s="795"/>
      <c r="C12" s="795"/>
      <c r="D12" s="1036"/>
      <c r="E12" s="795"/>
      <c r="F12" s="795"/>
      <c r="G12" s="795"/>
      <c r="H12" s="795"/>
      <c r="I12" s="795"/>
      <c r="J12" s="1040"/>
      <c r="K12" s="795"/>
      <c r="L12" s="1037"/>
      <c r="M12" s="795"/>
      <c r="N12" s="1036"/>
      <c r="O12" s="795"/>
      <c r="P12" s="795"/>
      <c r="Q12" s="795"/>
      <c r="R12" s="1037"/>
      <c r="T12" s="1041"/>
      <c r="V12" s="1039" t="s">
        <v>539</v>
      </c>
      <c r="W12" s="1026" t="b">
        <f>INDEX($X12:$Z12,MATCH($D$6,$X$8:$Z$8,0))</f>
        <v>1</v>
      </c>
      <c r="X12" s="1026" t="b">
        <v>0</v>
      </c>
      <c r="Y12" s="789" t="b">
        <v>1</v>
      </c>
      <c r="Z12" s="1027" t="b">
        <v>1</v>
      </c>
      <c r="AB12" s="1026"/>
      <c r="AD12" s="1027"/>
      <c r="AF12" s="1024"/>
      <c r="AH12" s="1028"/>
      <c r="AL12" s="1025"/>
      <c r="AN12" s="1029"/>
      <c r="AO12" s="1030"/>
      <c r="AP12" s="1031"/>
      <c r="AQ12" s="1030"/>
      <c r="AR12" s="1030"/>
      <c r="AS12" s="1030"/>
      <c r="AT12" s="1032"/>
      <c r="AV12" s="1029"/>
      <c r="AW12" s="1030"/>
      <c r="AX12" s="1031"/>
      <c r="AY12" s="1030"/>
      <c r="AZ12" s="1030"/>
      <c r="BA12" s="1030"/>
      <c r="BB12" s="1032"/>
      <c r="BD12" s="1029"/>
      <c r="BE12" s="1030"/>
      <c r="BF12" s="1031"/>
      <c r="BG12" s="1030"/>
      <c r="BH12" s="1030"/>
      <c r="BI12" s="1030"/>
      <c r="BJ12" s="1032"/>
      <c r="BL12" s="1033"/>
      <c r="BM12" s="1034"/>
      <c r="BN12" s="1035"/>
    </row>
    <row r="13" spans="1:73">
      <c r="A13" s="773" t="s">
        <v>3</v>
      </c>
      <c r="B13" s="795" t="s">
        <v>461</v>
      </c>
      <c r="C13" s="795"/>
      <c r="D13" s="1042">
        <f>'Billing Units'!D6</f>
        <v>1200273</v>
      </c>
      <c r="E13" s="799">
        <f>'Rate Inputs'!D6</f>
        <v>4</v>
      </c>
      <c r="F13" s="795" t="s">
        <v>160</v>
      </c>
      <c r="G13" s="832"/>
      <c r="H13" s="1043">
        <f>ROUND(E13*D13*12,0)</f>
        <v>57613104</v>
      </c>
      <c r="I13" s="795"/>
      <c r="J13" s="1044">
        <f>'Billing Units'!D44</f>
        <v>1200273</v>
      </c>
      <c r="K13" s="1045">
        <f>W13</f>
        <v>8</v>
      </c>
      <c r="L13" s="1037" t="str">
        <f>F13</f>
        <v>per month</v>
      </c>
      <c r="M13" s="832"/>
      <c r="N13" s="1046">
        <f>K13*J13*12</f>
        <v>115226208</v>
      </c>
      <c r="O13" s="1043"/>
      <c r="P13" s="1047">
        <f>IF(AND(N13=0,NOT(H13=0)),0,N13-H13)</f>
        <v>57613104</v>
      </c>
      <c r="Q13" s="1043"/>
      <c r="R13" s="1048">
        <f>IF(D13=0,0,(N13-H13)/H13)</f>
        <v>1</v>
      </c>
      <c r="T13" s="1049"/>
      <c r="W13" s="1050">
        <f>INDEX($X13:$Z13,MATCH($D$6,$X$8:$Z$8,0))</f>
        <v>8</v>
      </c>
      <c r="X13" s="1051">
        <f>E13</f>
        <v>4</v>
      </c>
      <c r="Y13" s="1052">
        <v>8</v>
      </c>
      <c r="Z13" s="1053">
        <v>16</v>
      </c>
      <c r="AB13" s="1026"/>
      <c r="AD13" s="1027"/>
      <c r="AF13" s="1054">
        <f>H13</f>
        <v>57613104</v>
      </c>
      <c r="AG13" s="1043"/>
      <c r="AH13" s="1055"/>
      <c r="AI13" s="832">
        <v>4</v>
      </c>
      <c r="AJ13" s="832">
        <f>AI13*$AH$18</f>
        <v>4.4642238233202702</v>
      </c>
      <c r="AK13" s="1043" t="s">
        <v>160</v>
      </c>
      <c r="AL13" s="1056">
        <f>AJ13*J13*12</f>
        <v>64299447.853057086</v>
      </c>
      <c r="AN13" s="1057">
        <v>57516752</v>
      </c>
      <c r="AO13" s="1058"/>
      <c r="AP13" s="1059"/>
      <c r="AQ13" s="1060">
        <v>4</v>
      </c>
      <c r="AR13" s="1060">
        <v>6.2149487835968795</v>
      </c>
      <c r="AS13" s="1058" t="s">
        <v>160</v>
      </c>
      <c r="AT13" s="1061">
        <v>89365916.969710857</v>
      </c>
      <c r="AV13" s="1057">
        <v>57613104</v>
      </c>
      <c r="AW13" s="1058"/>
      <c r="AX13" s="1059"/>
      <c r="AY13" s="1060">
        <v>4</v>
      </c>
      <c r="AZ13" s="1060">
        <v>6.9113009933525502</v>
      </c>
      <c r="BA13" s="1058" t="s">
        <v>160</v>
      </c>
      <c r="BB13" s="1061">
        <v>99545375.726330951</v>
      </c>
      <c r="BD13" s="1057">
        <v>57701136</v>
      </c>
      <c r="BE13" s="1058"/>
      <c r="BF13" s="1059"/>
      <c r="BG13" s="1060">
        <v>4</v>
      </c>
      <c r="BH13" s="1060">
        <v>6.8314308040856</v>
      </c>
      <c r="BI13" s="1058" t="s">
        <v>160</v>
      </c>
      <c r="BJ13" s="1061">
        <v>98545329.475283131</v>
      </c>
      <c r="BK13" s="1043"/>
      <c r="BL13" s="1062">
        <f>IF(AR13&lt;20,ROUND(AR13,0),MROUND(AR13,5))</f>
        <v>6</v>
      </c>
      <c r="BM13" s="1063">
        <f>IF(AZ13&lt;20,ROUND(AZ13,0),MROUND(AZ13,5))</f>
        <v>7</v>
      </c>
      <c r="BN13" s="1064">
        <f>IF(BH13&lt;20,ROUND(BH13,0),MROUND(BH13,5))</f>
        <v>7</v>
      </c>
    </row>
    <row r="14" spans="1:73">
      <c r="B14" s="795"/>
      <c r="C14" s="795"/>
      <c r="D14" s="1065"/>
      <c r="E14" s="802"/>
      <c r="F14" s="795"/>
      <c r="G14" s="795"/>
      <c r="H14" s="795"/>
      <c r="I14" s="795"/>
      <c r="J14" s="1066"/>
      <c r="K14" s="802"/>
      <c r="L14" s="1037"/>
      <c r="M14" s="795"/>
      <c r="N14" s="1036"/>
      <c r="O14" s="795"/>
      <c r="P14" s="795"/>
      <c r="Q14" s="795"/>
      <c r="R14" s="1037"/>
      <c r="T14" s="1041"/>
      <c r="W14" s="1067"/>
      <c r="X14" s="1067"/>
      <c r="Y14" s="802"/>
      <c r="Z14" s="1068"/>
      <c r="AB14" s="1026"/>
      <c r="AD14" s="1027"/>
      <c r="AF14" s="1036"/>
      <c r="AG14" s="795"/>
      <c r="AH14" s="1055"/>
      <c r="AI14" s="832"/>
      <c r="AJ14" s="832"/>
      <c r="AK14" s="795"/>
      <c r="AL14" s="1056"/>
      <c r="AN14" s="1033"/>
      <c r="AO14" s="1034"/>
      <c r="AP14" s="1059"/>
      <c r="AQ14" s="1060"/>
      <c r="AR14" s="1060"/>
      <c r="AS14" s="1034"/>
      <c r="AT14" s="1061"/>
      <c r="AV14" s="1033"/>
      <c r="AW14" s="1034"/>
      <c r="AX14" s="1059"/>
      <c r="AY14" s="1060"/>
      <c r="AZ14" s="1060"/>
      <c r="BA14" s="1034"/>
      <c r="BB14" s="1061"/>
      <c r="BD14" s="1033"/>
      <c r="BE14" s="1034"/>
      <c r="BF14" s="1059"/>
      <c r="BG14" s="1060"/>
      <c r="BH14" s="1060"/>
      <c r="BI14" s="1034"/>
      <c r="BJ14" s="1061"/>
      <c r="BK14" s="795"/>
      <c r="BL14" s="1069"/>
      <c r="BM14" s="1070"/>
      <c r="BN14" s="1071"/>
    </row>
    <row r="15" spans="1:73">
      <c r="B15" s="795" t="s">
        <v>462</v>
      </c>
      <c r="C15" s="795"/>
      <c r="D15" s="1042"/>
      <c r="E15" s="802"/>
      <c r="F15" s="795"/>
      <c r="G15" s="795"/>
      <c r="H15" s="795"/>
      <c r="I15" s="795"/>
      <c r="J15" s="1066"/>
      <c r="K15" s="802"/>
      <c r="L15" s="1072"/>
      <c r="M15" s="795"/>
      <c r="N15" s="1036"/>
      <c r="O15" s="795"/>
      <c r="P15" s="795"/>
      <c r="Q15" s="795"/>
      <c r="R15" s="1037"/>
      <c r="T15" s="1041"/>
      <c r="W15" s="1067"/>
      <c r="X15" s="1067"/>
      <c r="Y15" s="802"/>
      <c r="Z15" s="1068"/>
      <c r="AB15" s="1026"/>
      <c r="AD15" s="1027"/>
      <c r="AF15" s="1036"/>
      <c r="AG15" s="795"/>
      <c r="AH15" s="1055"/>
      <c r="AI15" s="832"/>
      <c r="AJ15" s="832"/>
      <c r="AK15" s="795"/>
      <c r="AL15" s="1056"/>
      <c r="AN15" s="1033"/>
      <c r="AO15" s="1034"/>
      <c r="AP15" s="1059"/>
      <c r="AQ15" s="1060"/>
      <c r="AR15" s="1060"/>
      <c r="AS15" s="1034"/>
      <c r="AT15" s="1061"/>
      <c r="AV15" s="1033"/>
      <c r="AW15" s="1034"/>
      <c r="AX15" s="1059"/>
      <c r="AY15" s="1060"/>
      <c r="AZ15" s="1060"/>
      <c r="BA15" s="1034"/>
      <c r="BB15" s="1061"/>
      <c r="BD15" s="1033"/>
      <c r="BE15" s="1034"/>
      <c r="BF15" s="1059"/>
      <c r="BG15" s="1060"/>
      <c r="BH15" s="1060"/>
      <c r="BI15" s="1034"/>
      <c r="BJ15" s="1061"/>
      <c r="BK15" s="795"/>
      <c r="BL15" s="1069"/>
      <c r="BM15" s="1070"/>
      <c r="BN15" s="1071"/>
    </row>
    <row r="16" spans="1:73">
      <c r="A16" s="773" t="s">
        <v>3</v>
      </c>
      <c r="B16" s="803" t="s">
        <v>463</v>
      </c>
      <c r="C16" s="795"/>
      <c r="D16" s="1042">
        <f>'Billing Units'!H6</f>
        <v>3465700000</v>
      </c>
      <c r="E16" s="805">
        <f>'Rate Inputs'!H6+IF($D$7,$J$7,0)</f>
        <v>8.3561999999999997E-2</v>
      </c>
      <c r="F16" s="806" t="s">
        <v>157</v>
      </c>
      <c r="G16" s="795"/>
      <c r="H16" s="1043">
        <f>ROUND(E16*D16,0)</f>
        <v>289600823</v>
      </c>
      <c r="I16" s="795"/>
      <c r="J16" s="1073">
        <f>'Billing Units'!H44</f>
        <v>3465700000</v>
      </c>
      <c r="K16" s="1135">
        <f>IF(W$10,W16,
IF(W$12,(T18-N13)/J18,
(T18-N13-AD17*J17)/(J16+J17)))</f>
        <v>8.6475341574253559E-2</v>
      </c>
      <c r="L16" s="1072" t="s">
        <v>157</v>
      </c>
      <c r="M16" s="795"/>
      <c r="N16" s="1046">
        <f>ROUND(K16*J16,0)</f>
        <v>299697591</v>
      </c>
      <c r="O16" s="795"/>
      <c r="P16" s="1047">
        <f>IF(AND(N16=0,NOT(H16=0)),0,N16-H16)</f>
        <v>10096768</v>
      </c>
      <c r="Q16" s="1043"/>
      <c r="R16" s="1074">
        <f>IF(D16=0,0,ROUND((N16-H16)/H16,9))</f>
        <v>3.4864431000000001E-2</v>
      </c>
      <c r="T16" s="1049"/>
      <c r="W16" s="1075">
        <f>INDEX($X16:$Z16,MATCH($D$6,$X$8:$Z$8,0))</f>
        <v>0</v>
      </c>
      <c r="X16" s="1076"/>
      <c r="Y16" s="805"/>
      <c r="Z16" s="1077"/>
      <c r="AB16" s="1026"/>
      <c r="AD16" s="1027"/>
      <c r="AF16" s="1054">
        <f>H16</f>
        <v>289600823</v>
      </c>
      <c r="AG16" s="1043"/>
      <c r="AH16" s="1055"/>
      <c r="AI16" s="832">
        <v>4.9439999999999998E-2</v>
      </c>
      <c r="AJ16" s="832">
        <f t="shared" ref="AJ16:AJ17" si="0">AI16*$AH$18</f>
        <v>5.5177806456238536E-2</v>
      </c>
      <c r="AK16" s="1043" t="s">
        <v>157</v>
      </c>
      <c r="AL16" s="1056">
        <f>AJ16*J16</f>
        <v>191229723.83538589</v>
      </c>
      <c r="AN16" s="1057">
        <v>181890822</v>
      </c>
      <c r="AO16" s="1058"/>
      <c r="AP16" s="1059"/>
      <c r="AQ16" s="1060">
        <v>4.9439999999999998E-2</v>
      </c>
      <c r="AR16" s="1060">
        <v>7.6816766965257424E-2</v>
      </c>
      <c r="AS16" s="1058" t="s">
        <v>157</v>
      </c>
      <c r="AT16" s="1061">
        <v>282610535.83955836</v>
      </c>
      <c r="AV16" s="1057">
        <v>171344208</v>
      </c>
      <c r="AW16" s="1058"/>
      <c r="AX16" s="1059"/>
      <c r="AY16" s="1060">
        <v>4.9439999999999998E-2</v>
      </c>
      <c r="AZ16" s="1060">
        <v>8.5423680277837519E-2</v>
      </c>
      <c r="BA16" s="1058" t="s">
        <v>157</v>
      </c>
      <c r="BB16" s="1061">
        <v>296052848.7389015</v>
      </c>
      <c r="BD16" s="1057">
        <v>162220244</v>
      </c>
      <c r="BE16" s="1058"/>
      <c r="BF16" s="1059"/>
      <c r="BG16" s="1060">
        <v>4.9439999999999998E-2</v>
      </c>
      <c r="BH16" s="1060">
        <v>8.4436484738498019E-2</v>
      </c>
      <c r="BI16" s="1058" t="s">
        <v>157</v>
      </c>
      <c r="BJ16" s="1061">
        <v>277049092.9115448</v>
      </c>
      <c r="BK16" s="1043"/>
      <c r="BL16" s="1062"/>
      <c r="BM16" s="1063"/>
      <c r="BN16" s="1064"/>
    </row>
    <row r="17" spans="1:73">
      <c r="A17" s="773" t="s">
        <v>3</v>
      </c>
      <c r="B17" s="803" t="s">
        <v>464</v>
      </c>
      <c r="C17" s="795"/>
      <c r="D17" s="1042">
        <f>'Billing Units'!I6</f>
        <v>2000399999.9999998</v>
      </c>
      <c r="E17" s="805">
        <f>'Rate Inputs'!I6+IF($D$7,$J$7,0)</f>
        <v>8.9762000000000008E-2</v>
      </c>
      <c r="F17" s="806" t="s">
        <v>157</v>
      </c>
      <c r="G17" s="806"/>
      <c r="H17" s="1043">
        <f>ROUND(E17*D17,0)</f>
        <v>179559905</v>
      </c>
      <c r="I17" s="795"/>
      <c r="J17" s="1073">
        <f>'Billing Units'!I44</f>
        <v>2000399999.9999998</v>
      </c>
      <c r="K17" s="1078">
        <f>IF(W$10,W17,
IF(W$12,K16,
K16+AD17))</f>
        <v>8.6475341574253559E-2</v>
      </c>
      <c r="L17" s="1072" t="s">
        <v>157</v>
      </c>
      <c r="M17" s="806"/>
      <c r="N17" s="1046">
        <f>ROUND(K17*J17,0)</f>
        <v>172985273</v>
      </c>
      <c r="O17" s="1043"/>
      <c r="P17" s="1047">
        <f>IF(AND(N17=0,NOT(H17=0)),0,N17-H17)</f>
        <v>-6574632</v>
      </c>
      <c r="Q17" s="1043"/>
      <c r="R17" s="1074">
        <f>IF(D17=0,0,ROUND((N17-H17)/H17,9))</f>
        <v>-3.6615256999999998E-2</v>
      </c>
      <c r="T17" s="1049"/>
      <c r="W17" s="1075">
        <f>INDEX($X17:$Z17,MATCH($D$6,$X$8:$Z$8,0))</f>
        <v>0</v>
      </c>
      <c r="X17" s="1067"/>
      <c r="Y17" s="802"/>
      <c r="Z17" s="1068"/>
      <c r="AB17" s="1026"/>
      <c r="AC17" s="789">
        <v>1.1254045307443366</v>
      </c>
      <c r="AD17" s="1079">
        <v>6.2000000000000041E-3</v>
      </c>
      <c r="AF17" s="1054">
        <f>H17</f>
        <v>179559905</v>
      </c>
      <c r="AG17" s="1043"/>
      <c r="AH17" s="1055"/>
      <c r="AI17" s="832">
        <v>5.5640000000000002E-2</v>
      </c>
      <c r="AJ17" s="832">
        <f t="shared" si="0"/>
        <v>6.2097353382384958E-2</v>
      </c>
      <c r="AK17" s="1043" t="s">
        <v>157</v>
      </c>
      <c r="AL17" s="1056">
        <f>AJ17*J17</f>
        <v>124219545.70612286</v>
      </c>
      <c r="AN17" s="1057">
        <v>118153947</v>
      </c>
      <c r="AO17" s="1058"/>
      <c r="AP17" s="1059"/>
      <c r="AQ17" s="1060">
        <v>5.5640000000000002E-2</v>
      </c>
      <c r="AR17" s="1060">
        <v>8.6449937579832603E-2</v>
      </c>
      <c r="AS17" s="1058" t="s">
        <v>157</v>
      </c>
      <c r="AT17" s="1061">
        <v>183580182.08029398</v>
      </c>
      <c r="AV17" s="1057">
        <v>111302256</v>
      </c>
      <c r="AW17" s="1058"/>
      <c r="AX17" s="1059"/>
      <c r="AY17" s="1060">
        <v>5.5640000000000002E-2</v>
      </c>
      <c r="AZ17" s="1060">
        <v>9.6136196817533978E-2</v>
      </c>
      <c r="BA17" s="1058" t="s">
        <v>157</v>
      </c>
      <c r="BB17" s="1061">
        <v>192310848.11379495</v>
      </c>
      <c r="BD17" s="1057">
        <v>105376191</v>
      </c>
      <c r="BE17" s="1058"/>
      <c r="BF17" s="1059"/>
      <c r="BG17" s="1060">
        <v>5.5640000000000002E-2</v>
      </c>
      <c r="BH17" s="1060">
        <v>9.5025202484830693E-2</v>
      </c>
      <c r="BI17" s="1058" t="s">
        <v>157</v>
      </c>
      <c r="BJ17" s="1061">
        <v>179967540.03097737</v>
      </c>
      <c r="BK17" s="1043"/>
      <c r="BL17" s="1062"/>
      <c r="BM17" s="1063"/>
      <c r="BN17" s="1064"/>
    </row>
    <row r="18" spans="1:73" ht="13.8" thickBot="1">
      <c r="B18" s="807" t="s">
        <v>465</v>
      </c>
      <c r="C18" s="808"/>
      <c r="D18" s="1080">
        <f>SUM(D16:D17)</f>
        <v>5466100000</v>
      </c>
      <c r="E18" s="811"/>
      <c r="F18" s="811"/>
      <c r="G18" s="811"/>
      <c r="H18" s="1081">
        <f>SUM(H13,H16,H17)</f>
        <v>526773832</v>
      </c>
      <c r="I18" s="808"/>
      <c r="J18" s="1082">
        <f>SUM(J16:J17)</f>
        <v>5466100000</v>
      </c>
      <c r="K18" s="810"/>
      <c r="L18" s="1083"/>
      <c r="M18" s="811"/>
      <c r="N18" s="1084">
        <f>SUM(N13,N16,N17)</f>
        <v>587909072</v>
      </c>
      <c r="O18" s="1081"/>
      <c r="P18" s="1085">
        <f>IF(AND(N18=0,NOT(H18=0)),0,N18-H18)</f>
        <v>61135240</v>
      </c>
      <c r="Q18" s="1081"/>
      <c r="R18" s="1086">
        <f>IF(D18=0,0,ROUND((N18-H18)/H18,9))</f>
        <v>0.116055955</v>
      </c>
      <c r="T18" s="1087">
        <f>INDEX('Revenue Summary'!$R$10:$R$38,MATCH(AB18,'Revenue Summary'!$B$10:$B$38,0))</f>
        <v>587909072.57902741</v>
      </c>
      <c r="W18" s="1088"/>
      <c r="X18" s="1088"/>
      <c r="Y18" s="810"/>
      <c r="Z18" s="1089"/>
      <c r="AB18" s="1026" t="str" cm="1">
        <f t="array" ref="AB18">INDEX(_xlfn.TEXTSPLIT(B18," "),2)</f>
        <v>GRS</v>
      </c>
      <c r="AD18" s="1027"/>
      <c r="AF18" s="1090">
        <f>H18</f>
        <v>526773832</v>
      </c>
      <c r="AG18" s="1081">
        <f>T18</f>
        <v>587909072.57902741</v>
      </c>
      <c r="AH18" s="1091">
        <f>AG18/AF18</f>
        <v>1.1160559558300676</v>
      </c>
      <c r="AI18" s="1092"/>
      <c r="AJ18" s="1092"/>
      <c r="AK18" s="1081"/>
      <c r="AL18" s="1093">
        <f>SUM(AL13:AL17)</f>
        <v>379748717.39456582</v>
      </c>
      <c r="AN18" s="1094">
        <v>357561521</v>
      </c>
      <c r="AO18" s="1095">
        <v>555556635</v>
      </c>
      <c r="AP18" s="1096">
        <v>1.5537371958992199</v>
      </c>
      <c r="AQ18" s="1097"/>
      <c r="AR18" s="1097"/>
      <c r="AS18" s="1095"/>
      <c r="AT18" s="1098">
        <v>555556634.8895632</v>
      </c>
      <c r="AV18" s="1094">
        <v>340259568</v>
      </c>
      <c r="AW18" s="1095">
        <v>587909072.57902741</v>
      </c>
      <c r="AX18" s="1096">
        <v>1.7278252483381376</v>
      </c>
      <c r="AY18" s="1097"/>
      <c r="AZ18" s="1097"/>
      <c r="BA18" s="1095"/>
      <c r="BB18" s="1098">
        <v>587909072.57902741</v>
      </c>
      <c r="BD18" s="1094">
        <v>325297571</v>
      </c>
      <c r="BE18" s="1095">
        <v>555561961.75590563</v>
      </c>
      <c r="BF18" s="1096">
        <v>1.7078577010214</v>
      </c>
      <c r="BG18" s="1097"/>
      <c r="BH18" s="1097"/>
      <c r="BI18" s="1095"/>
      <c r="BJ18" s="1098">
        <v>555561962.41780531</v>
      </c>
      <c r="BK18" s="1043"/>
      <c r="BL18" s="1062"/>
      <c r="BM18" s="1063"/>
      <c r="BN18" s="1064"/>
    </row>
    <row r="19" spans="1:73" ht="13.8" thickTop="1">
      <c r="B19" s="795"/>
      <c r="C19" s="795"/>
      <c r="D19" s="1036"/>
      <c r="E19" s="795"/>
      <c r="F19" s="795"/>
      <c r="G19" s="795"/>
      <c r="H19" s="795"/>
      <c r="I19" s="795"/>
      <c r="J19" s="795"/>
      <c r="K19" s="812"/>
      <c r="L19" s="1037"/>
      <c r="M19" s="795"/>
      <c r="N19" s="1099"/>
      <c r="O19" s="795"/>
      <c r="P19" s="1100"/>
      <c r="Q19" s="795"/>
      <c r="R19" s="1101"/>
      <c r="T19" s="1041"/>
      <c r="W19" s="1036"/>
      <c r="X19" s="1036"/>
      <c r="Y19" s="795"/>
      <c r="Z19" s="1037"/>
      <c r="AB19" s="1026"/>
      <c r="AD19" s="1027"/>
      <c r="AF19" s="1036"/>
      <c r="AG19" s="795"/>
      <c r="AH19" s="1055"/>
      <c r="AI19" s="832"/>
      <c r="AJ19" s="832"/>
      <c r="AK19" s="795"/>
      <c r="AL19" s="1056"/>
      <c r="AN19" s="1033"/>
      <c r="AO19" s="1034"/>
      <c r="AP19" s="1059"/>
      <c r="AQ19" s="1060"/>
      <c r="AR19" s="1060"/>
      <c r="AS19" s="1034"/>
      <c r="AT19" s="1061"/>
      <c r="AV19" s="1033"/>
      <c r="AW19" s="1034"/>
      <c r="AX19" s="1059"/>
      <c r="AY19" s="1060"/>
      <c r="AZ19" s="1060"/>
      <c r="BA19" s="1034"/>
      <c r="BB19" s="1061"/>
      <c r="BD19" s="1033"/>
      <c r="BE19" s="1034"/>
      <c r="BF19" s="1059"/>
      <c r="BG19" s="1060"/>
      <c r="BH19" s="1060"/>
      <c r="BI19" s="1034"/>
      <c r="BJ19" s="1061"/>
      <c r="BK19" s="795"/>
      <c r="BL19" s="1062"/>
      <c r="BM19" s="1063"/>
      <c r="BN19" s="1064"/>
    </row>
    <row r="20" spans="1:73" s="3" customFormat="1">
      <c r="A20" s="692"/>
      <c r="B20" s="813" t="s">
        <v>466</v>
      </c>
      <c r="C20" s="813"/>
      <c r="D20" s="1102"/>
      <c r="E20" s="812"/>
      <c r="F20" s="812"/>
      <c r="G20" s="812"/>
      <c r="H20" s="812"/>
      <c r="I20" s="812"/>
      <c r="J20" s="1103"/>
      <c r="K20" s="812"/>
      <c r="L20" s="1104"/>
      <c r="M20" s="812"/>
      <c r="N20" s="1105"/>
      <c r="O20" s="812"/>
      <c r="P20" s="1106"/>
      <c r="Q20" s="812"/>
      <c r="R20" s="1107"/>
      <c r="S20" s="692"/>
      <c r="T20" s="1108"/>
      <c r="U20" s="692"/>
      <c r="V20" s="1039" t="s">
        <v>601</v>
      </c>
      <c r="W20" s="1026" t="b">
        <f>INDEX($X20:$Z20,MATCH($D$6,$X$8:$Z$8,0))</f>
        <v>1</v>
      </c>
      <c r="X20" s="1026" t="b">
        <v>0</v>
      </c>
      <c r="Y20" s="789" t="b">
        <v>1</v>
      </c>
      <c r="Z20" s="1027" t="b">
        <v>1</v>
      </c>
      <c r="AA20" s="692"/>
      <c r="AB20" s="1026"/>
      <c r="AC20" s="1109"/>
      <c r="AD20" s="1110"/>
      <c r="AE20" s="692"/>
      <c r="AF20" s="1102"/>
      <c r="AG20" s="812"/>
      <c r="AH20" s="1111"/>
      <c r="AI20" s="834"/>
      <c r="AJ20" s="834"/>
      <c r="AK20" s="812"/>
      <c r="AL20" s="1112"/>
      <c r="AM20" s="692"/>
      <c r="AN20" s="1113"/>
      <c r="AO20" s="1114"/>
      <c r="AP20" s="1115"/>
      <c r="AQ20" s="1116"/>
      <c r="AR20" s="1116"/>
      <c r="AS20" s="1114"/>
      <c r="AT20" s="1117"/>
      <c r="AU20" s="692"/>
      <c r="AV20" s="1113"/>
      <c r="AW20" s="1114"/>
      <c r="AX20" s="1115"/>
      <c r="AY20" s="1116"/>
      <c r="AZ20" s="1116"/>
      <c r="BA20" s="1114"/>
      <c r="BB20" s="1117"/>
      <c r="BC20" s="692"/>
      <c r="BD20" s="1113"/>
      <c r="BE20" s="1114"/>
      <c r="BF20" s="1115"/>
      <c r="BG20" s="1116"/>
      <c r="BH20" s="1116"/>
      <c r="BI20" s="1114"/>
      <c r="BJ20" s="1117"/>
      <c r="BK20" s="812"/>
      <c r="BL20" s="1062"/>
      <c r="BM20" s="1063"/>
      <c r="BN20" s="1064"/>
      <c r="BO20" s="692"/>
      <c r="BP20" s="692"/>
      <c r="BQ20" s="692"/>
      <c r="BR20" s="692"/>
      <c r="BS20" s="692"/>
      <c r="BT20" s="692"/>
      <c r="BU20" s="692"/>
    </row>
    <row r="21" spans="1:73" s="3" customFormat="1">
      <c r="A21" s="692"/>
      <c r="B21" s="812"/>
      <c r="C21" s="812"/>
      <c r="D21" s="1102"/>
      <c r="E21" s="812"/>
      <c r="F21" s="812"/>
      <c r="G21" s="812"/>
      <c r="H21" s="812"/>
      <c r="I21" s="812"/>
      <c r="J21" s="1103"/>
      <c r="K21" s="812"/>
      <c r="L21" s="1104"/>
      <c r="M21" s="812"/>
      <c r="N21" s="1105"/>
      <c r="O21" s="812"/>
      <c r="P21" s="1106"/>
      <c r="Q21" s="812"/>
      <c r="R21" s="1107"/>
      <c r="S21" s="692"/>
      <c r="T21" s="1108"/>
      <c r="U21" s="692"/>
      <c r="V21" s="1039" t="s">
        <v>599</v>
      </c>
      <c r="W21" s="1026" t="b">
        <f>INDEX($X21:$Z21,MATCH($D$6,$X$8:$Z$8,0))</f>
        <v>0</v>
      </c>
      <c r="X21" s="1026" t="b">
        <v>0</v>
      </c>
      <c r="Y21" s="789" t="b">
        <v>0</v>
      </c>
      <c r="Z21" s="1027" t="b">
        <v>0</v>
      </c>
      <c r="AA21" s="692"/>
      <c r="AB21" s="1026"/>
      <c r="AC21" s="1109"/>
      <c r="AD21" s="1110"/>
      <c r="AE21" s="692"/>
      <c r="AF21" s="1102"/>
      <c r="AG21" s="812"/>
      <c r="AH21" s="1111"/>
      <c r="AI21" s="834"/>
      <c r="AJ21" s="834"/>
      <c r="AK21" s="812"/>
      <c r="AL21" s="1112"/>
      <c r="AM21" s="692"/>
      <c r="AN21" s="1113"/>
      <c r="AO21" s="1114"/>
      <c r="AP21" s="1115"/>
      <c r="AQ21" s="1116"/>
      <c r="AR21" s="1116"/>
      <c r="AS21" s="1114"/>
      <c r="AT21" s="1117"/>
      <c r="AU21" s="692"/>
      <c r="AV21" s="1113"/>
      <c r="AW21" s="1114"/>
      <c r="AX21" s="1115"/>
      <c r="AY21" s="1116"/>
      <c r="AZ21" s="1116"/>
      <c r="BA21" s="1114"/>
      <c r="BB21" s="1117"/>
      <c r="BC21" s="692"/>
      <c r="BD21" s="1113"/>
      <c r="BE21" s="1114"/>
      <c r="BF21" s="1115"/>
      <c r="BG21" s="1116"/>
      <c r="BH21" s="1116"/>
      <c r="BI21" s="1114"/>
      <c r="BJ21" s="1117"/>
      <c r="BK21" s="812"/>
      <c r="BL21" s="1062"/>
      <c r="BM21" s="1063"/>
      <c r="BN21" s="1064"/>
      <c r="BO21" s="692"/>
      <c r="BP21" s="692"/>
      <c r="BQ21" s="692"/>
      <c r="BR21" s="692"/>
      <c r="BS21" s="692"/>
      <c r="BT21" s="692"/>
      <c r="BU21" s="692"/>
    </row>
    <row r="22" spans="1:73" s="3" customFormat="1">
      <c r="A22" s="773" t="s">
        <v>6</v>
      </c>
      <c r="B22" s="812" t="s">
        <v>461</v>
      </c>
      <c r="C22" s="812"/>
      <c r="D22" s="1118">
        <f>'Billing Units'!D10</f>
        <v>137698</v>
      </c>
      <c r="E22" s="827">
        <f>'Rate Inputs'!D10</f>
        <v>3</v>
      </c>
      <c r="F22" s="812" t="s">
        <v>160</v>
      </c>
      <c r="G22" s="834"/>
      <c r="H22" s="1119">
        <f>ROUND(E22*D22*12,0)</f>
        <v>4957128</v>
      </c>
      <c r="I22" s="812"/>
      <c r="J22" s="1120">
        <f>'Billing Units'!D48</f>
        <v>137698</v>
      </c>
      <c r="K22" s="1045">
        <f>W22</f>
        <v>5</v>
      </c>
      <c r="L22" s="1104" t="str">
        <f>F22</f>
        <v>per month</v>
      </c>
      <c r="M22" s="834"/>
      <c r="N22" s="1121">
        <f>ROUND(K22*J22*12,0)</f>
        <v>8261880</v>
      </c>
      <c r="O22" s="1119"/>
      <c r="P22" s="1122">
        <f>IF(AND(N22=0,NOT(H22=0)),0,N22-H22)</f>
        <v>3304752</v>
      </c>
      <c r="Q22" s="1119"/>
      <c r="R22" s="1048">
        <f>IF(D22=0,0,ROUND((N22-H22)/H22,9))</f>
        <v>0.66666666699999999</v>
      </c>
      <c r="S22" s="692"/>
      <c r="T22" s="1123"/>
      <c r="U22" s="692"/>
      <c r="V22" s="692"/>
      <c r="W22" s="1124">
        <f>INDEX($X22:$Z22,MATCH($D$6,$X$8:$Z$8,0))</f>
        <v>5</v>
      </c>
      <c r="X22" s="1051">
        <f>E22</f>
        <v>3</v>
      </c>
      <c r="Y22" s="1125">
        <f>Z22</f>
        <v>5</v>
      </c>
      <c r="Z22" s="1126">
        <f>BN22</f>
        <v>5</v>
      </c>
      <c r="AA22" s="692"/>
      <c r="AB22" s="1026"/>
      <c r="AC22" s="1109"/>
      <c r="AD22" s="1110"/>
      <c r="AE22" s="692"/>
      <c r="AF22" s="1127">
        <f>H22</f>
        <v>4957128</v>
      </c>
      <c r="AG22" s="1119"/>
      <c r="AH22" s="1111"/>
      <c r="AI22" s="834">
        <v>3</v>
      </c>
      <c r="AJ22" s="834">
        <f>AI22*$AH$27</f>
        <v>3.1089663358477755</v>
      </c>
      <c r="AK22" s="1119" t="s">
        <v>160</v>
      </c>
      <c r="AL22" s="1112">
        <f>AJ22*J22*12</f>
        <v>5137181.3581628036</v>
      </c>
      <c r="AM22" s="692"/>
      <c r="AN22" s="1128">
        <v>4948866</v>
      </c>
      <c r="AO22" s="1129"/>
      <c r="AP22" s="1115"/>
      <c r="AQ22" s="1116">
        <v>3</v>
      </c>
      <c r="AR22" s="1116">
        <v>4.2018667671211301</v>
      </c>
      <c r="AS22" s="1129" t="s">
        <v>160</v>
      </c>
      <c r="AT22" s="1117">
        <v>6931491.8601118922</v>
      </c>
      <c r="AU22" s="692"/>
      <c r="AV22" s="1128">
        <v>4957128</v>
      </c>
      <c r="AW22" s="1129"/>
      <c r="AX22" s="1115"/>
      <c r="AY22" s="1116">
        <v>3</v>
      </c>
      <c r="AZ22" s="1116">
        <v>4.6416058792105126</v>
      </c>
      <c r="BA22" s="1129" t="s">
        <v>160</v>
      </c>
      <c r="BB22" s="1117">
        <v>7669678.1562663503</v>
      </c>
      <c r="BC22" s="692"/>
      <c r="BD22" s="1128">
        <v>4964688</v>
      </c>
      <c r="BE22" s="1129"/>
      <c r="BF22" s="1115"/>
      <c r="BG22" s="1116">
        <v>3</v>
      </c>
      <c r="BH22" s="1116">
        <v>4.5591208927702649</v>
      </c>
      <c r="BI22" s="1129" t="s">
        <v>160</v>
      </c>
      <c r="BJ22" s="1117">
        <v>7544870.9289619401</v>
      </c>
      <c r="BK22" s="1119"/>
      <c r="BL22" s="1062">
        <f>IF(AR22&lt;20,ROUND(AR22,0),MROUND(AR22,5))</f>
        <v>4</v>
      </c>
      <c r="BM22" s="1063">
        <f>IF(AZ22&lt;20,ROUND(AZ22,0),MROUND(AZ22,5))</f>
        <v>5</v>
      </c>
      <c r="BN22" s="1064">
        <f>IF(BH22&lt;20,ROUND(BH22,0),MROUND(BH22,5))</f>
        <v>5</v>
      </c>
      <c r="BO22" s="692"/>
      <c r="BP22" s="692"/>
      <c r="BQ22" s="692"/>
      <c r="BR22" s="692"/>
      <c r="BS22" s="692"/>
      <c r="BT22" s="692"/>
      <c r="BU22" s="692"/>
    </row>
    <row r="23" spans="1:73" s="3" customFormat="1">
      <c r="A23" s="773"/>
      <c r="B23" s="812"/>
      <c r="C23" s="812"/>
      <c r="D23" s="1130"/>
      <c r="E23" s="817"/>
      <c r="F23" s="812"/>
      <c r="G23" s="812"/>
      <c r="H23" s="812"/>
      <c r="I23" s="812"/>
      <c r="J23" s="1131"/>
      <c r="K23" s="817"/>
      <c r="L23" s="1104"/>
      <c r="M23" s="812"/>
      <c r="N23" s="1105"/>
      <c r="O23" s="812"/>
      <c r="P23" s="1106"/>
      <c r="Q23" s="812"/>
      <c r="R23" s="1107"/>
      <c r="S23" s="692"/>
      <c r="T23" s="1108"/>
      <c r="U23" s="692"/>
      <c r="V23" s="692"/>
      <c r="W23" s="1132"/>
      <c r="X23" s="1132"/>
      <c r="Y23" s="817"/>
      <c r="Z23" s="1133"/>
      <c r="AA23" s="692"/>
      <c r="AB23" s="1026"/>
      <c r="AC23" s="1109"/>
      <c r="AD23" s="1110"/>
      <c r="AE23" s="692"/>
      <c r="AF23" s="1102"/>
      <c r="AG23" s="812"/>
      <c r="AH23" s="1111"/>
      <c r="AI23" s="834"/>
      <c r="AJ23" s="834"/>
      <c r="AK23" s="812"/>
      <c r="AL23" s="1112"/>
      <c r="AM23" s="692"/>
      <c r="AN23" s="1113"/>
      <c r="AO23" s="1114"/>
      <c r="AP23" s="1115"/>
      <c r="AQ23" s="1116"/>
      <c r="AR23" s="1116"/>
      <c r="AS23" s="1114"/>
      <c r="AT23" s="1117"/>
      <c r="AU23" s="692"/>
      <c r="AV23" s="1113"/>
      <c r="AW23" s="1114"/>
      <c r="AX23" s="1115"/>
      <c r="AY23" s="1116"/>
      <c r="AZ23" s="1116"/>
      <c r="BA23" s="1114"/>
      <c r="BB23" s="1117"/>
      <c r="BC23" s="692"/>
      <c r="BD23" s="1113"/>
      <c r="BE23" s="1114"/>
      <c r="BF23" s="1115"/>
      <c r="BG23" s="1116"/>
      <c r="BH23" s="1116"/>
      <c r="BI23" s="1114"/>
      <c r="BJ23" s="1117"/>
      <c r="BK23" s="812"/>
      <c r="BL23" s="1062"/>
      <c r="BM23" s="1063"/>
      <c r="BN23" s="1064"/>
      <c r="BO23" s="692"/>
      <c r="BP23" s="692"/>
      <c r="BQ23" s="692"/>
      <c r="BR23" s="692"/>
      <c r="BS23" s="692"/>
      <c r="BT23" s="692"/>
      <c r="BU23" s="692"/>
    </row>
    <row r="24" spans="1:73" s="3" customFormat="1">
      <c r="A24" s="773"/>
      <c r="B24" s="812" t="s">
        <v>462</v>
      </c>
      <c r="C24" s="812"/>
      <c r="D24" s="1118"/>
      <c r="E24" s="817"/>
      <c r="F24" s="812"/>
      <c r="G24" s="812"/>
      <c r="H24" s="1119"/>
      <c r="I24" s="812"/>
      <c r="J24" s="1131"/>
      <c r="K24" s="817"/>
      <c r="L24" s="1104"/>
      <c r="M24" s="812"/>
      <c r="N24" s="1105"/>
      <c r="O24" s="812"/>
      <c r="P24" s="1106"/>
      <c r="Q24" s="812"/>
      <c r="R24" s="1107"/>
      <c r="S24" s="692"/>
      <c r="T24" s="1108"/>
      <c r="U24" s="692"/>
      <c r="V24" s="692"/>
      <c r="W24" s="1132"/>
      <c r="X24" s="1132"/>
      <c r="Y24" s="817"/>
      <c r="Z24" s="1133"/>
      <c r="AA24" s="692"/>
      <c r="AB24" s="1026"/>
      <c r="AC24" s="1109"/>
      <c r="AD24" s="1110"/>
      <c r="AE24" s="692"/>
      <c r="AF24" s="1127"/>
      <c r="AG24" s="1119"/>
      <c r="AH24" s="1111"/>
      <c r="AI24" s="834"/>
      <c r="AJ24" s="834"/>
      <c r="AK24" s="1119"/>
      <c r="AL24" s="1112"/>
      <c r="AM24" s="692"/>
      <c r="AN24" s="1128"/>
      <c r="AO24" s="1129"/>
      <c r="AP24" s="1115"/>
      <c r="AQ24" s="1116"/>
      <c r="AR24" s="1116"/>
      <c r="AS24" s="1129"/>
      <c r="AT24" s="1117"/>
      <c r="AU24" s="692"/>
      <c r="AV24" s="1128"/>
      <c r="AW24" s="1129"/>
      <c r="AX24" s="1115"/>
      <c r="AY24" s="1116"/>
      <c r="AZ24" s="1116"/>
      <c r="BA24" s="1129"/>
      <c r="BB24" s="1117"/>
      <c r="BC24" s="692"/>
      <c r="BD24" s="1128"/>
      <c r="BE24" s="1129"/>
      <c r="BF24" s="1115"/>
      <c r="BG24" s="1116"/>
      <c r="BH24" s="1116"/>
      <c r="BI24" s="1129"/>
      <c r="BJ24" s="1117"/>
      <c r="BK24" s="812"/>
      <c r="BL24" s="1062"/>
      <c r="BM24" s="1063"/>
      <c r="BN24" s="1064"/>
      <c r="BO24" s="692"/>
      <c r="BP24" s="692"/>
      <c r="BQ24" s="692"/>
      <c r="BR24" s="692"/>
      <c r="BS24" s="692"/>
      <c r="BT24" s="692"/>
      <c r="BU24" s="692"/>
    </row>
    <row r="25" spans="1:73" s="3" customFormat="1">
      <c r="A25" s="773" t="s">
        <v>6</v>
      </c>
      <c r="B25" s="818" t="s">
        <v>463</v>
      </c>
      <c r="C25" s="812"/>
      <c r="D25" s="1118">
        <f>'Billing Units'!H10</f>
        <v>357900000</v>
      </c>
      <c r="E25" s="828">
        <f>'Rate Inputs'!H10+IF($D$7,$J$6,0)</f>
        <v>3.9731000000000002E-2</v>
      </c>
      <c r="F25" s="820" t="s">
        <v>157</v>
      </c>
      <c r="G25" s="812"/>
      <c r="H25" s="1119">
        <f>ROUND(E25*D25,0)</f>
        <v>14219725</v>
      </c>
      <c r="I25" s="812"/>
      <c r="J25" s="1134">
        <f>'Billing Units'!H48</f>
        <v>357900000</v>
      </c>
      <c r="K25" s="1135">
        <f>IF(W$10,W25,
IF($W$20,(T27-N22-N26)/J25,
IF(W$21,(T27-N22)/J27,
(T27-N22-AD26*J26)/(J25+J26))))</f>
        <v>3.0019218592560987E-2</v>
      </c>
      <c r="L25" s="1136" t="s">
        <v>157</v>
      </c>
      <c r="M25" s="812"/>
      <c r="N25" s="1121">
        <f>ROUND(K25*J25,0)</f>
        <v>10743878</v>
      </c>
      <c r="O25" s="812"/>
      <c r="P25" s="1122">
        <f>IF(AND(N25=0,NOT(H25=0)),0,N25-H25)</f>
        <v>-3475847</v>
      </c>
      <c r="Q25" s="1119"/>
      <c r="R25" s="1048">
        <f>IF(D25=0,0,ROUND((N25-H25)/H25,9))</f>
        <v>-0.24443841199999999</v>
      </c>
      <c r="S25" s="692"/>
      <c r="T25" s="1123"/>
      <c r="U25" s="692"/>
      <c r="V25" s="692"/>
      <c r="W25" s="1137">
        <f>INDEX($X25:$Z25,MATCH($D$6,$X$8:$Z$8,0))</f>
        <v>0</v>
      </c>
      <c r="X25" s="1076"/>
      <c r="Y25" s="805"/>
      <c r="Z25" s="1077"/>
      <c r="AA25" s="692"/>
      <c r="AB25" s="1026"/>
      <c r="AC25" s="1109"/>
      <c r="AD25" s="1110"/>
      <c r="AE25" s="692"/>
      <c r="AF25" s="1127">
        <f>H25</f>
        <v>14219725</v>
      </c>
      <c r="AG25" s="1119"/>
      <c r="AH25" s="1111"/>
      <c r="AI25" s="834">
        <v>2.0539999999999999E-2</v>
      </c>
      <c r="AJ25" s="834">
        <f t="shared" ref="AJ25:AJ26" si="1">AI25*$AH$27</f>
        <v>2.1286056179437768E-2</v>
      </c>
      <c r="AK25" s="1119" t="s">
        <v>157</v>
      </c>
      <c r="AL25" s="1112">
        <f>AJ25*J25</f>
        <v>7618279.5066207768</v>
      </c>
      <c r="AM25" s="692"/>
      <c r="AN25" s="1128">
        <v>7803995</v>
      </c>
      <c r="AO25" s="1129"/>
      <c r="AP25" s="1115"/>
      <c r="AQ25" s="1116">
        <v>2.0539999999999999E-2</v>
      </c>
      <c r="AR25" s="1116">
        <v>2.8768781132222671E-2</v>
      </c>
      <c r="AS25" s="1129" t="s">
        <v>157</v>
      </c>
      <c r="AT25" s="1117">
        <v>10930449.202478763</v>
      </c>
      <c r="AU25" s="692"/>
      <c r="AV25" s="1128">
        <v>7351266</v>
      </c>
      <c r="AW25" s="1129"/>
      <c r="AX25" s="1115"/>
      <c r="AY25" s="1116">
        <v>2.0539999999999999E-2</v>
      </c>
      <c r="AZ25" s="1116">
        <v>3.177952825299464E-2</v>
      </c>
      <c r="BA25" s="1129" t="s">
        <v>157</v>
      </c>
      <c r="BB25" s="1117">
        <v>11373893.161746781</v>
      </c>
      <c r="BC25" s="692"/>
      <c r="BD25" s="1128">
        <v>6960032</v>
      </c>
      <c r="BE25" s="1129"/>
      <c r="BF25" s="1115"/>
      <c r="BG25" s="1116">
        <v>2.0539999999999999E-2</v>
      </c>
      <c r="BH25" s="1116">
        <v>3.121478104583375E-2</v>
      </c>
      <c r="BI25" s="1129" t="s">
        <v>157</v>
      </c>
      <c r="BJ25" s="1117">
        <v>10577209.476265984</v>
      </c>
      <c r="BK25" s="1119"/>
      <c r="BL25" s="1062"/>
      <c r="BM25" s="1063"/>
      <c r="BN25" s="1064"/>
      <c r="BO25" s="692"/>
      <c r="BP25" s="692"/>
      <c r="BQ25" s="692"/>
      <c r="BR25" s="692"/>
      <c r="BS25" s="692"/>
      <c r="BT25" s="692"/>
      <c r="BU25" s="692"/>
    </row>
    <row r="26" spans="1:73" s="3" customFormat="1">
      <c r="A26" s="773" t="s">
        <v>6</v>
      </c>
      <c r="B26" s="818" t="s">
        <v>464</v>
      </c>
      <c r="C26" s="812"/>
      <c r="D26" s="1118">
        <f>'Billing Units'!I10</f>
        <v>97199999.999999985</v>
      </c>
      <c r="E26" s="828">
        <f>'Rate Inputs'!I10+IF($D$7,$J$6,0)</f>
        <v>7.4831000000000009E-2</v>
      </c>
      <c r="F26" s="820" t="s">
        <v>157</v>
      </c>
      <c r="G26" s="820"/>
      <c r="H26" s="1119">
        <f>ROUND(E26*D26,0)</f>
        <v>7273573</v>
      </c>
      <c r="I26" s="812"/>
      <c r="J26" s="1134">
        <f>'Billing Units'!I48</f>
        <v>97199999.999999985</v>
      </c>
      <c r="K26" s="1523">
        <f>IF(W$10,W26,
IF($W$20,K17,                                                                                                                                                                                                                                                     IF(W$21,K25,
K25+AD26)))</f>
        <v>8.6475341574253559E-2</v>
      </c>
      <c r="L26" s="1136" t="s">
        <v>157</v>
      </c>
      <c r="M26" s="820"/>
      <c r="N26" s="1121">
        <f>ROUND(K26*J26,0)</f>
        <v>8405403</v>
      </c>
      <c r="O26" s="1119"/>
      <c r="P26" s="1122">
        <f>IF(AND(N26=0,NOT(H26=0)),0,N26-H26)</f>
        <v>1131830</v>
      </c>
      <c r="Q26" s="1119"/>
      <c r="R26" s="1048">
        <f>IF(D26=0,0,ROUND((N26-H26)/H26,9))</f>
        <v>0.15560852999999999</v>
      </c>
      <c r="S26" s="692"/>
      <c r="T26" s="1123"/>
      <c r="U26" s="692"/>
      <c r="V26" s="692"/>
      <c r="W26" s="1138">
        <f>INDEX($X26:$Z26,MATCH($D$6,$X$8:$Z$8,0))</f>
        <v>0</v>
      </c>
      <c r="X26" s="1067"/>
      <c r="Y26" s="802"/>
      <c r="Z26" s="1068"/>
      <c r="AA26" s="692"/>
      <c r="AB26" s="1026"/>
      <c r="AC26" s="789">
        <v>2.7088607594936711</v>
      </c>
      <c r="AD26" s="1079">
        <v>3.5100000000000006E-2</v>
      </c>
      <c r="AE26" s="986"/>
      <c r="AF26" s="1127">
        <f>H26</f>
        <v>7273573</v>
      </c>
      <c r="AG26" s="1119"/>
      <c r="AH26" s="1111"/>
      <c r="AI26" s="834">
        <v>5.5640000000000002E-2</v>
      </c>
      <c r="AJ26" s="834">
        <f t="shared" si="1"/>
        <v>5.7660962308856742E-2</v>
      </c>
      <c r="AK26" s="1119" t="s">
        <v>157</v>
      </c>
      <c r="AL26" s="1112">
        <f>AJ26*J26</f>
        <v>5604645.5364208743</v>
      </c>
      <c r="AM26" s="692"/>
      <c r="AN26" s="1128">
        <v>5741686</v>
      </c>
      <c r="AO26" s="1129"/>
      <c r="AP26" s="1115"/>
      <c r="AQ26" s="1116">
        <v>5.5640000000000002E-2</v>
      </c>
      <c r="AR26" s="1116">
        <v>7.7930622307539901E-2</v>
      </c>
      <c r="AS26" s="1129" t="s">
        <v>157</v>
      </c>
      <c r="AT26" s="1117">
        <v>8041933.7958798911</v>
      </c>
      <c r="AU26" s="692"/>
      <c r="AV26" s="1128">
        <v>5408208</v>
      </c>
      <c r="AW26" s="1129"/>
      <c r="AX26" s="1115"/>
      <c r="AY26" s="1116">
        <v>5.5640000000000002E-2</v>
      </c>
      <c r="AZ26" s="1116">
        <v>8.6086317039757651E-2</v>
      </c>
      <c r="BA26" s="1129" t="s">
        <v>157</v>
      </c>
      <c r="BB26" s="1117">
        <v>8367590.0162644424</v>
      </c>
      <c r="BC26" s="692"/>
      <c r="BD26" s="1128">
        <v>5120752</v>
      </c>
      <c r="BE26" s="1129"/>
      <c r="BF26" s="1115"/>
      <c r="BG26" s="1116">
        <v>5.5640000000000002E-2</v>
      </c>
      <c r="BH26" s="1116">
        <v>8.4556495491245859E-2</v>
      </c>
      <c r="BI26" s="1129" t="s">
        <v>157</v>
      </c>
      <c r="BJ26" s="1117">
        <v>7782042.327592046</v>
      </c>
      <c r="BK26" s="1119"/>
      <c r="BL26" s="1062"/>
      <c r="BM26" s="1063"/>
      <c r="BN26" s="1064"/>
      <c r="BO26" s="692"/>
      <c r="BP26" s="692"/>
      <c r="BQ26" s="692"/>
      <c r="BR26" s="692"/>
      <c r="BS26" s="692"/>
      <c r="BT26" s="692"/>
      <c r="BU26" s="692"/>
    </row>
    <row r="27" spans="1:73" s="3" customFormat="1" ht="13.8" thickBot="1">
      <c r="A27" s="692"/>
      <c r="B27" s="821" t="s">
        <v>467</v>
      </c>
      <c r="C27" s="822"/>
      <c r="D27" s="1139">
        <f>SUM(D25:D26)</f>
        <v>455100000</v>
      </c>
      <c r="E27" s="825"/>
      <c r="F27" s="825"/>
      <c r="G27" s="825"/>
      <c r="H27" s="1140">
        <f>SUM(H22,H25,H26)</f>
        <v>26450426</v>
      </c>
      <c r="I27" s="822"/>
      <c r="J27" s="1141">
        <f>SUM(J25:J26)</f>
        <v>455100000</v>
      </c>
      <c r="K27" s="824"/>
      <c r="L27" s="1142"/>
      <c r="M27" s="825"/>
      <c r="N27" s="1143">
        <f>SUM(N22,N25,N26)</f>
        <v>27411161</v>
      </c>
      <c r="O27" s="1140"/>
      <c r="P27" s="1144">
        <f>IF(AND(N27=0,NOT(H27=0)),0,N27-H27)</f>
        <v>960735</v>
      </c>
      <c r="Q27" s="1140"/>
      <c r="R27" s="1145">
        <f>IF(D27=0,0,ROUND((N27-H27)/H27,9))</f>
        <v>3.6322098999999997E-2</v>
      </c>
      <c r="S27" s="692"/>
      <c r="T27" s="1087">
        <f>INDEX('Revenue Summary'!$R$10:$R$38,MATCH(AB27,'Revenue Summary'!$B$10:$B$38,0))</f>
        <v>27411161.334277578</v>
      </c>
      <c r="U27" s="692"/>
      <c r="V27" s="692"/>
      <c r="W27" s="1146"/>
      <c r="X27" s="1146"/>
      <c r="Y27" s="824"/>
      <c r="Z27" s="1147"/>
      <c r="AA27" s="692"/>
      <c r="AB27" s="1026" t="str" cm="1">
        <f t="array" ref="AB27">INDEX(_xlfn.TEXTSPLIT(B27," "),2)</f>
        <v>LRS</v>
      </c>
      <c r="AC27" s="1109"/>
      <c r="AD27" s="1110"/>
      <c r="AE27" s="692"/>
      <c r="AF27" s="1148">
        <f>H27</f>
        <v>26450426</v>
      </c>
      <c r="AG27" s="1081">
        <f>T27</f>
        <v>27411161.334277578</v>
      </c>
      <c r="AH27" s="1149">
        <f>AG27/AF27</f>
        <v>1.0363221119492585</v>
      </c>
      <c r="AI27" s="1150"/>
      <c r="AJ27" s="1150"/>
      <c r="AK27" s="1140"/>
      <c r="AL27" s="1093">
        <f>SUM(AL22:AL26)</f>
        <v>18360106.401204456</v>
      </c>
      <c r="AM27" s="692"/>
      <c r="AN27" s="1151">
        <v>18494547</v>
      </c>
      <c r="AO27" s="1095">
        <v>25903874.137419932</v>
      </c>
      <c r="AP27" s="1152">
        <v>1.4006222557070434</v>
      </c>
      <c r="AQ27" s="1153"/>
      <c r="AR27" s="1153"/>
      <c r="AS27" s="1154"/>
      <c r="AT27" s="1098">
        <v>25903874.858470544</v>
      </c>
      <c r="AU27" s="692"/>
      <c r="AV27" s="1151">
        <v>17716602</v>
      </c>
      <c r="AW27" s="1095">
        <v>27411161.334277578</v>
      </c>
      <c r="AX27" s="1152">
        <v>1.5472019597368376</v>
      </c>
      <c r="AY27" s="1153"/>
      <c r="AZ27" s="1153"/>
      <c r="BA27" s="1154"/>
      <c r="BB27" s="1098">
        <v>27411161.334277574</v>
      </c>
      <c r="BC27" s="692"/>
      <c r="BD27" s="1151">
        <v>17045472</v>
      </c>
      <c r="BE27" s="1095">
        <v>25904122.507443521</v>
      </c>
      <c r="BF27" s="1152">
        <v>1.5197069642567551</v>
      </c>
      <c r="BG27" s="1153"/>
      <c r="BH27" s="1153"/>
      <c r="BI27" s="1154"/>
      <c r="BJ27" s="1098">
        <v>25904122.732819967</v>
      </c>
      <c r="BK27" s="1043"/>
      <c r="BL27" s="1062"/>
      <c r="BM27" s="1063"/>
      <c r="BN27" s="1064"/>
      <c r="BO27" s="692"/>
      <c r="BP27" s="692"/>
      <c r="BQ27" s="692"/>
      <c r="BR27" s="692"/>
      <c r="BS27" s="692"/>
      <c r="BT27" s="692"/>
      <c r="BU27" s="692"/>
    </row>
    <row r="28" spans="1:73" s="3" customFormat="1" ht="13.8" thickTop="1">
      <c r="A28" s="692"/>
      <c r="B28" s="812"/>
      <c r="C28" s="812"/>
      <c r="D28" s="1102"/>
      <c r="E28" s="812"/>
      <c r="F28" s="812"/>
      <c r="G28" s="812"/>
      <c r="H28" s="812"/>
      <c r="I28" s="812"/>
      <c r="J28" s="812"/>
      <c r="K28" s="812"/>
      <c r="L28" s="1104"/>
      <c r="M28" s="812"/>
      <c r="N28" s="1105"/>
      <c r="O28" s="812"/>
      <c r="P28" s="1106"/>
      <c r="Q28" s="812"/>
      <c r="R28" s="1107"/>
      <c r="S28" s="692"/>
      <c r="T28" s="1108"/>
      <c r="U28" s="692"/>
      <c r="V28" s="692"/>
      <c r="W28" s="1102"/>
      <c r="X28" s="1102"/>
      <c r="Y28" s="812"/>
      <c r="Z28" s="1104"/>
      <c r="AA28" s="692"/>
      <c r="AB28" s="1026"/>
      <c r="AC28" s="1109"/>
      <c r="AD28" s="1110"/>
      <c r="AE28" s="692"/>
      <c r="AF28" s="1102"/>
      <c r="AG28" s="812"/>
      <c r="AH28" s="1111"/>
      <c r="AI28" s="834"/>
      <c r="AJ28" s="834"/>
      <c r="AK28" s="812"/>
      <c r="AL28" s="1112"/>
      <c r="AM28" s="692"/>
      <c r="AN28" s="1113"/>
      <c r="AO28" s="1114"/>
      <c r="AP28" s="1115"/>
      <c r="AQ28" s="1116"/>
      <c r="AR28" s="1116"/>
      <c r="AS28" s="1114"/>
      <c r="AT28" s="1117"/>
      <c r="AU28" s="692"/>
      <c r="AV28" s="1113"/>
      <c r="AW28" s="1114"/>
      <c r="AX28" s="1115"/>
      <c r="AY28" s="1116"/>
      <c r="AZ28" s="1116"/>
      <c r="BA28" s="1114"/>
      <c r="BB28" s="1117"/>
      <c r="BC28" s="692"/>
      <c r="BD28" s="1113"/>
      <c r="BE28" s="1114"/>
      <c r="BF28" s="1115"/>
      <c r="BG28" s="1116"/>
      <c r="BH28" s="1116"/>
      <c r="BI28" s="1114"/>
      <c r="BJ28" s="1117"/>
      <c r="BK28" s="812"/>
      <c r="BL28" s="1062"/>
      <c r="BM28" s="1063"/>
      <c r="BN28" s="1064"/>
      <c r="BO28" s="692"/>
      <c r="BP28" s="692"/>
      <c r="BQ28" s="692"/>
      <c r="BR28" s="692"/>
      <c r="BS28" s="692"/>
      <c r="BT28" s="692"/>
      <c r="BU28" s="692"/>
    </row>
    <row r="29" spans="1:73" s="3" customFormat="1">
      <c r="A29" s="692"/>
      <c r="B29" s="813" t="s">
        <v>383</v>
      </c>
      <c r="C29" s="813"/>
      <c r="D29" s="1102"/>
      <c r="E29" s="812"/>
      <c r="F29" s="812"/>
      <c r="G29" s="812"/>
      <c r="H29" s="812"/>
      <c r="I29" s="812"/>
      <c r="J29" s="1103"/>
      <c r="K29" s="812"/>
      <c r="L29" s="1104"/>
      <c r="M29" s="812"/>
      <c r="N29" s="1105"/>
      <c r="O29" s="812"/>
      <c r="P29" s="1106"/>
      <c r="Q29" s="812"/>
      <c r="R29" s="1107"/>
      <c r="S29" s="692"/>
      <c r="T29" s="1108"/>
      <c r="U29" s="692"/>
      <c r="V29" s="1039" t="s">
        <v>601</v>
      </c>
      <c r="W29" s="1026" t="b">
        <f>INDEX($X29:$Z29,MATCH($D$6,$X$8:$Z$8,0))</f>
        <v>1</v>
      </c>
      <c r="X29" s="1026" t="b">
        <v>0</v>
      </c>
      <c r="Y29" s="789" t="b">
        <v>1</v>
      </c>
      <c r="Z29" s="1027" t="b">
        <v>1</v>
      </c>
      <c r="AA29" s="692"/>
      <c r="AB29" s="1026"/>
      <c r="AC29" s="1109"/>
      <c r="AD29" s="1110"/>
      <c r="AE29" s="692"/>
      <c r="AF29" s="1102"/>
      <c r="AG29" s="812"/>
      <c r="AH29" s="1111"/>
      <c r="AI29" s="834"/>
      <c r="AJ29" s="834"/>
      <c r="AK29" s="812"/>
      <c r="AL29" s="1112"/>
      <c r="AM29" s="692"/>
      <c r="AN29" s="1113"/>
      <c r="AO29" s="1114"/>
      <c r="AP29" s="1115"/>
      <c r="AQ29" s="1116"/>
      <c r="AR29" s="1116"/>
      <c r="AS29" s="1114"/>
      <c r="AT29" s="1117"/>
      <c r="AU29" s="692"/>
      <c r="AV29" s="1113"/>
      <c r="AW29" s="1114"/>
      <c r="AX29" s="1115"/>
      <c r="AY29" s="1116"/>
      <c r="AZ29" s="1116"/>
      <c r="BA29" s="1114"/>
      <c r="BB29" s="1117"/>
      <c r="BC29" s="692"/>
      <c r="BD29" s="1113"/>
      <c r="BE29" s="1114"/>
      <c r="BF29" s="1115"/>
      <c r="BG29" s="1116"/>
      <c r="BH29" s="1116"/>
      <c r="BI29" s="1114"/>
      <c r="BJ29" s="1117"/>
      <c r="BK29" s="812"/>
      <c r="BL29" s="1062"/>
      <c r="BM29" s="1063"/>
      <c r="BN29" s="1064"/>
      <c r="BO29" s="692"/>
      <c r="BP29" s="692"/>
      <c r="BQ29" s="692"/>
      <c r="BR29" s="692"/>
      <c r="BS29" s="692"/>
      <c r="BT29" s="692"/>
      <c r="BU29" s="692"/>
    </row>
    <row r="30" spans="1:73" s="3" customFormat="1">
      <c r="A30" s="692"/>
      <c r="B30" s="812"/>
      <c r="C30" s="812"/>
      <c r="D30" s="1102"/>
      <c r="E30" s="812"/>
      <c r="F30" s="812"/>
      <c r="G30" s="812"/>
      <c r="H30" s="812"/>
      <c r="I30" s="812"/>
      <c r="J30" s="1103"/>
      <c r="K30" s="812"/>
      <c r="L30" s="1104"/>
      <c r="M30" s="812"/>
      <c r="N30" s="1105"/>
      <c r="O30" s="812"/>
      <c r="P30" s="1106"/>
      <c r="Q30" s="812"/>
      <c r="R30" s="1107"/>
      <c r="S30" s="692"/>
      <c r="T30" s="1108"/>
      <c r="U30" s="692"/>
      <c r="V30" s="1039" t="s">
        <v>600</v>
      </c>
      <c r="W30" s="1026" t="b">
        <f>INDEX($X30:$Z30,MATCH($D$6,$X$8:$Z$8,0))</f>
        <v>0</v>
      </c>
      <c r="X30" s="1026" t="b">
        <v>0</v>
      </c>
      <c r="Y30" s="789" t="b">
        <v>0</v>
      </c>
      <c r="Z30" s="1027" t="b">
        <v>0</v>
      </c>
      <c r="AA30" s="692"/>
      <c r="AB30" s="1026"/>
      <c r="AC30" s="1109"/>
      <c r="AD30" s="1110"/>
      <c r="AE30" s="692"/>
      <c r="AF30" s="1102"/>
      <c r="AG30" s="812"/>
      <c r="AH30" s="1111"/>
      <c r="AI30" s="834"/>
      <c r="AJ30" s="834"/>
      <c r="AK30" s="812"/>
      <c r="AL30" s="1112"/>
      <c r="AM30" s="692"/>
      <c r="AN30" s="1113"/>
      <c r="AO30" s="1114"/>
      <c r="AP30" s="1115"/>
      <c r="AQ30" s="1116"/>
      <c r="AR30" s="1116"/>
      <c r="AS30" s="1114"/>
      <c r="AT30" s="1117"/>
      <c r="AU30" s="692"/>
      <c r="AV30" s="1113"/>
      <c r="AW30" s="1114"/>
      <c r="AX30" s="1115"/>
      <c r="AY30" s="1116"/>
      <c r="AZ30" s="1116"/>
      <c r="BA30" s="1114"/>
      <c r="BB30" s="1117"/>
      <c r="BC30" s="692"/>
      <c r="BD30" s="1113"/>
      <c r="BE30" s="1114"/>
      <c r="BF30" s="1115"/>
      <c r="BG30" s="1116"/>
      <c r="BH30" s="1116"/>
      <c r="BI30" s="1114"/>
      <c r="BJ30" s="1117"/>
      <c r="BK30" s="812"/>
      <c r="BL30" s="1062"/>
      <c r="BM30" s="1063"/>
      <c r="BN30" s="1064"/>
      <c r="BO30" s="692"/>
      <c r="BP30" s="692"/>
      <c r="BQ30" s="692"/>
      <c r="BR30" s="692"/>
      <c r="BS30" s="692"/>
      <c r="BT30" s="692"/>
      <c r="BU30" s="692"/>
    </row>
    <row r="31" spans="1:73" s="3" customFormat="1">
      <c r="A31" s="692"/>
      <c r="B31" s="812" t="s">
        <v>461</v>
      </c>
      <c r="C31" s="812"/>
      <c r="D31" s="1118">
        <f>'Billing Units'!D12</f>
        <v>4385</v>
      </c>
      <c r="E31" s="827">
        <f>'Rate Inputs'!D12</f>
        <v>2</v>
      </c>
      <c r="F31" s="812" t="s">
        <v>160</v>
      </c>
      <c r="G31" s="834"/>
      <c r="H31" s="1119">
        <f>ROUND(E31*D31*12,0)</f>
        <v>105240</v>
      </c>
      <c r="I31" s="812"/>
      <c r="J31" s="1120">
        <f>'Billing Units'!D50</f>
        <v>4385</v>
      </c>
      <c r="K31" s="1045">
        <f>W31</f>
        <v>4</v>
      </c>
      <c r="L31" s="1104" t="str">
        <f>F31</f>
        <v>per month</v>
      </c>
      <c r="M31" s="834"/>
      <c r="N31" s="1121">
        <f>ROUND(K31*J31*12,0)</f>
        <v>210480</v>
      </c>
      <c r="O31" s="1119"/>
      <c r="P31" s="1122">
        <f>IF(AND(N31=0,NOT(H31=0)),0,N31-H31)</f>
        <v>105240</v>
      </c>
      <c r="Q31" s="1119"/>
      <c r="R31" s="1048">
        <f>IF(D31=0,0,ROUND((N31-H31)/H31,9))</f>
        <v>1</v>
      </c>
      <c r="S31" s="692"/>
      <c r="T31" s="1123"/>
      <c r="U31" s="692"/>
      <c r="V31" s="692"/>
      <c r="W31" s="1124">
        <f>INDEX($X31:$Z31,MATCH($D$6,$X$8:$Z$8,0))</f>
        <v>4</v>
      </c>
      <c r="X31" s="1051">
        <f>E31</f>
        <v>2</v>
      </c>
      <c r="Y31" s="1125">
        <f>Z31</f>
        <v>4</v>
      </c>
      <c r="Z31" s="1126">
        <f>BN31</f>
        <v>4</v>
      </c>
      <c r="AA31" s="692"/>
      <c r="AB31" s="1026"/>
      <c r="AC31" s="1109"/>
      <c r="AD31" s="1110"/>
      <c r="AE31" s="692"/>
      <c r="AF31" s="1127">
        <f>H31</f>
        <v>105240</v>
      </c>
      <c r="AG31" s="1119"/>
      <c r="AH31" s="1111"/>
      <c r="AI31" s="834">
        <v>2</v>
      </c>
      <c r="AJ31" s="834">
        <f>AI31*$AH$36</f>
        <v>2.5903160302011403</v>
      </c>
      <c r="AK31" s="1119" t="s">
        <v>160</v>
      </c>
      <c r="AL31" s="1112">
        <f>AJ31*J31*12</f>
        <v>136302.429509184</v>
      </c>
      <c r="AM31" s="692"/>
      <c r="AN31" s="1128">
        <v>105058</v>
      </c>
      <c r="AO31" s="1129"/>
      <c r="AP31" s="1115"/>
      <c r="AQ31" s="1116">
        <v>2</v>
      </c>
      <c r="AR31" s="1116">
        <v>3.9959912480658475</v>
      </c>
      <c r="AS31" s="1129" t="s">
        <v>160</v>
      </c>
      <c r="AT31" s="1117">
        <v>209905.42426965089</v>
      </c>
      <c r="AU31" s="692"/>
      <c r="AV31" s="1128">
        <v>105240</v>
      </c>
      <c r="AW31" s="1129"/>
      <c r="AX31" s="1115"/>
      <c r="AY31" s="1116">
        <v>2</v>
      </c>
      <c r="AZ31" s="1116">
        <v>4.4103075808195085</v>
      </c>
      <c r="BA31" s="1129" t="s">
        <v>160</v>
      </c>
      <c r="BB31" s="1117">
        <v>232070.38490272255</v>
      </c>
      <c r="BC31" s="692"/>
      <c r="BD31" s="1128">
        <v>105384</v>
      </c>
      <c r="BE31" s="1129"/>
      <c r="BF31" s="1115"/>
      <c r="BG31" s="1116">
        <v>2</v>
      </c>
      <c r="BH31" s="1116">
        <v>4.3581241874315539</v>
      </c>
      <c r="BI31" s="1129" t="s">
        <v>160</v>
      </c>
      <c r="BJ31" s="1117">
        <v>229638.27968414343</v>
      </c>
      <c r="BK31" s="1119"/>
      <c r="BL31" s="1062">
        <f>IF(AR31&lt;20,ROUND(AR31,0),MROUND(AR31,5))</f>
        <v>4</v>
      </c>
      <c r="BM31" s="1063">
        <f>IF(AZ31&lt;20,ROUND(AZ31,0),MROUND(AZ31,5))</f>
        <v>4</v>
      </c>
      <c r="BN31" s="1064">
        <f>IF(BH31&lt;20,ROUND(BH31,0),MROUND(BH31,5))</f>
        <v>4</v>
      </c>
      <c r="BO31" s="692"/>
      <c r="BP31" s="692"/>
      <c r="BQ31" s="692"/>
      <c r="BR31" s="692"/>
      <c r="BS31" s="692"/>
      <c r="BT31" s="692"/>
      <c r="BU31" s="692"/>
    </row>
    <row r="32" spans="1:73" s="3" customFormat="1">
      <c r="A32" s="692"/>
      <c r="B32" s="812"/>
      <c r="C32" s="812"/>
      <c r="D32" s="1130"/>
      <c r="E32" s="817"/>
      <c r="F32" s="812"/>
      <c r="G32" s="812"/>
      <c r="H32" s="812"/>
      <c r="I32" s="812"/>
      <c r="J32" s="1131"/>
      <c r="K32" s="817"/>
      <c r="L32" s="1104"/>
      <c r="M32" s="812"/>
      <c r="N32" s="1105"/>
      <c r="O32" s="812"/>
      <c r="P32" s="1106"/>
      <c r="Q32" s="812"/>
      <c r="R32" s="1107"/>
      <c r="S32" s="692"/>
      <c r="T32" s="1108"/>
      <c r="U32" s="692"/>
      <c r="V32" s="692"/>
      <c r="W32" s="1132"/>
      <c r="X32" s="1132"/>
      <c r="Y32" s="817"/>
      <c r="Z32" s="1133"/>
      <c r="AA32" s="692"/>
      <c r="AB32" s="1026"/>
      <c r="AC32" s="1109"/>
      <c r="AD32" s="1110"/>
      <c r="AE32" s="692"/>
      <c r="AF32" s="1102"/>
      <c r="AG32" s="812"/>
      <c r="AH32" s="1111"/>
      <c r="AI32" s="834"/>
      <c r="AJ32" s="834"/>
      <c r="AK32" s="812"/>
      <c r="AL32" s="1112"/>
      <c r="AM32" s="692"/>
      <c r="AN32" s="1113"/>
      <c r="AO32" s="1114"/>
      <c r="AP32" s="1115"/>
      <c r="AQ32" s="1116"/>
      <c r="AR32" s="1116"/>
      <c r="AS32" s="1114"/>
      <c r="AT32" s="1117"/>
      <c r="AU32" s="692"/>
      <c r="AV32" s="1113"/>
      <c r="AW32" s="1114"/>
      <c r="AX32" s="1115"/>
      <c r="AY32" s="1116"/>
      <c r="AZ32" s="1116"/>
      <c r="BA32" s="1114"/>
      <c r="BB32" s="1117"/>
      <c r="BC32" s="692"/>
      <c r="BD32" s="1113"/>
      <c r="BE32" s="1114"/>
      <c r="BF32" s="1115"/>
      <c r="BG32" s="1116"/>
      <c r="BH32" s="1116"/>
      <c r="BI32" s="1114"/>
      <c r="BJ32" s="1117"/>
      <c r="BK32" s="812"/>
      <c r="BL32" s="1062"/>
      <c r="BM32" s="1063"/>
      <c r="BN32" s="1064"/>
      <c r="BO32" s="692"/>
      <c r="BP32" s="692"/>
      <c r="BQ32" s="692"/>
      <c r="BR32" s="692"/>
      <c r="BS32" s="692"/>
      <c r="BT32" s="692"/>
      <c r="BU32" s="692"/>
    </row>
    <row r="33" spans="1:73" s="3" customFormat="1">
      <c r="A33" s="692"/>
      <c r="B33" s="812" t="s">
        <v>462</v>
      </c>
      <c r="C33" s="812"/>
      <c r="D33" s="1118"/>
      <c r="E33" s="817"/>
      <c r="F33" s="812"/>
      <c r="G33" s="812"/>
      <c r="H33" s="812"/>
      <c r="I33" s="812"/>
      <c r="J33" s="1131"/>
      <c r="K33" s="817"/>
      <c r="L33" s="1104"/>
      <c r="M33" s="812"/>
      <c r="N33" s="1105"/>
      <c r="O33" s="812"/>
      <c r="P33" s="1106"/>
      <c r="Q33" s="812"/>
      <c r="R33" s="1107"/>
      <c r="S33" s="692"/>
      <c r="T33" s="1108"/>
      <c r="U33" s="692"/>
      <c r="V33" s="692"/>
      <c r="W33" s="1132"/>
      <c r="X33" s="1132"/>
      <c r="Y33" s="817"/>
      <c r="Z33" s="1133"/>
      <c r="AA33" s="692"/>
      <c r="AB33" s="1026"/>
      <c r="AC33" s="1109"/>
      <c r="AD33" s="1110"/>
      <c r="AE33" s="692"/>
      <c r="AF33" s="1102"/>
      <c r="AG33" s="812"/>
      <c r="AH33" s="1111"/>
      <c r="AI33" s="834"/>
      <c r="AJ33" s="834"/>
      <c r="AK33" s="812"/>
      <c r="AL33" s="1112"/>
      <c r="AM33" s="692"/>
      <c r="AN33" s="1113"/>
      <c r="AO33" s="1114"/>
      <c r="AP33" s="1115"/>
      <c r="AQ33" s="1116"/>
      <c r="AR33" s="1116"/>
      <c r="AS33" s="1114"/>
      <c r="AT33" s="1117"/>
      <c r="AU33" s="692"/>
      <c r="AV33" s="1113"/>
      <c r="AW33" s="1114"/>
      <c r="AX33" s="1115"/>
      <c r="AY33" s="1116"/>
      <c r="AZ33" s="1116"/>
      <c r="BA33" s="1114"/>
      <c r="BB33" s="1117"/>
      <c r="BC33" s="692"/>
      <c r="BD33" s="1113"/>
      <c r="BE33" s="1114"/>
      <c r="BF33" s="1115"/>
      <c r="BG33" s="1116"/>
      <c r="BH33" s="1116"/>
      <c r="BI33" s="1114"/>
      <c r="BJ33" s="1117"/>
      <c r="BK33" s="812"/>
      <c r="BL33" s="1062"/>
      <c r="BM33" s="1063"/>
      <c r="BN33" s="1064"/>
      <c r="BO33" s="692"/>
      <c r="BP33" s="692"/>
      <c r="BQ33" s="692"/>
      <c r="BR33" s="692"/>
      <c r="BS33" s="692"/>
      <c r="BT33" s="692"/>
      <c r="BU33" s="692"/>
    </row>
    <row r="34" spans="1:73" s="3" customFormat="1">
      <c r="A34" s="692"/>
      <c r="B34" s="818" t="s">
        <v>463</v>
      </c>
      <c r="C34" s="812"/>
      <c r="D34" s="1118">
        <f>'Billing Units'!H12</f>
        <v>11700000</v>
      </c>
      <c r="E34" s="828">
        <f>'Rate Inputs'!H12+IF($D$7,$J$6,0)</f>
        <v>2.6131000000000001E-2</v>
      </c>
      <c r="F34" s="820" t="s">
        <v>157</v>
      </c>
      <c r="G34" s="812"/>
      <c r="H34" s="1119">
        <f>ROUND(E34*D34,0)</f>
        <v>305733</v>
      </c>
      <c r="I34" s="812"/>
      <c r="J34" s="1134">
        <f>'Billing Units'!H50</f>
        <v>11700000</v>
      </c>
      <c r="K34" s="1135">
        <f>IF(W$10,W34,
IF($W$29,(T36-N31-N35)/J34,
IF(W$30,(T36-N31)/J36,
(T36-N31-AD35*J35)/(J34+J35))))</f>
        <v>3.1698788016998949E-2</v>
      </c>
      <c r="L34" s="1136" t="s">
        <v>157</v>
      </c>
      <c r="M34" s="812"/>
      <c r="N34" s="1121">
        <f>ROUND(K34*J34,0)</f>
        <v>370876</v>
      </c>
      <c r="O34" s="812"/>
      <c r="P34" s="1122">
        <f>IF(AND(N34=0,NOT(H34=0)),0,N34-H34)</f>
        <v>65143</v>
      </c>
      <c r="Q34" s="1119"/>
      <c r="R34" s="1048">
        <f>IF(D34=0,0,ROUND((N34-H34)/H34,9))</f>
        <v>0.21307153600000001</v>
      </c>
      <c r="S34" s="692"/>
      <c r="T34" s="1123"/>
      <c r="U34" s="1155"/>
      <c r="V34" s="1155"/>
      <c r="W34" s="1137">
        <f>INDEX($X34:$Z34,MATCH($D$6,$X$8:$Z$8,0))</f>
        <v>0</v>
      </c>
      <c r="X34" s="1076"/>
      <c r="Y34" s="805"/>
      <c r="Z34" s="1077"/>
      <c r="AA34" s="692"/>
      <c r="AB34" s="1026"/>
      <c r="AC34" s="1109"/>
      <c r="AD34" s="1110"/>
      <c r="AE34" s="692"/>
      <c r="AF34" s="1127">
        <f>H34</f>
        <v>305733</v>
      </c>
      <c r="AG34" s="1119"/>
      <c r="AH34" s="1111"/>
      <c r="AI34" s="834">
        <v>6.94E-3</v>
      </c>
      <c r="AJ34" s="834">
        <f t="shared" ref="AJ34:AJ35" si="2">AI34*$AH$36</f>
        <v>8.9883966247979574E-3</v>
      </c>
      <c r="AK34" s="1119" t="s">
        <v>157</v>
      </c>
      <c r="AL34" s="1112">
        <f>AJ34*J34</f>
        <v>105164.24051013611</v>
      </c>
      <c r="AM34" s="692"/>
      <c r="AN34" s="1128">
        <v>86313</v>
      </c>
      <c r="AO34" s="1129"/>
      <c r="AP34" s="1115"/>
      <c r="AQ34" s="1116">
        <v>6.94E-3</v>
      </c>
      <c r="AR34" s="1116">
        <v>1.3866089630788491E-2</v>
      </c>
      <c r="AS34" s="1129" t="s">
        <v>157</v>
      </c>
      <c r="AT34" s="1117">
        <v>172453.00208946201</v>
      </c>
      <c r="AU34" s="692"/>
      <c r="AV34" s="1128">
        <v>81198</v>
      </c>
      <c r="AW34" s="1129"/>
      <c r="AX34" s="1115"/>
      <c r="AY34" s="1116">
        <v>6.94E-3</v>
      </c>
      <c r="AZ34" s="1116">
        <v>1.5303767305443694E-2</v>
      </c>
      <c r="BA34" s="1129" t="s">
        <v>157</v>
      </c>
      <c r="BB34" s="1117">
        <v>179054.07747369123</v>
      </c>
      <c r="BC34" s="692"/>
      <c r="BD34" s="1128">
        <v>76979</v>
      </c>
      <c r="BE34" s="1129"/>
      <c r="BF34" s="1115"/>
      <c r="BG34" s="1116">
        <v>6.94E-3</v>
      </c>
      <c r="BH34" s="1116">
        <v>1.5122690930387492E-2</v>
      </c>
      <c r="BI34" s="1129" t="s">
        <v>157</v>
      </c>
      <c r="BJ34" s="1117">
        <v>167741.33559773516</v>
      </c>
      <c r="BK34" s="1119"/>
      <c r="BL34" s="1062"/>
      <c r="BM34" s="1063"/>
      <c r="BN34" s="1064"/>
      <c r="BO34" s="692"/>
      <c r="BP34" s="692"/>
      <c r="BQ34" s="692"/>
      <c r="BR34" s="692"/>
      <c r="BS34" s="692"/>
      <c r="BT34" s="692"/>
      <c r="BU34" s="692"/>
    </row>
    <row r="35" spans="1:73" s="3" customFormat="1">
      <c r="A35" s="692"/>
      <c r="B35" s="818" t="s">
        <v>464</v>
      </c>
      <c r="C35" s="812"/>
      <c r="D35" s="1118">
        <f>'Billing Units'!I12</f>
        <v>4699999.9999999991</v>
      </c>
      <c r="E35" s="828">
        <f>'Rate Inputs'!I12+IF($D$7,$J$6,0)</f>
        <v>7.4831000000000009E-2</v>
      </c>
      <c r="F35" s="820" t="s">
        <v>157</v>
      </c>
      <c r="G35" s="820"/>
      <c r="H35" s="1119">
        <f>ROUND(E35*D35,0)</f>
        <v>351706</v>
      </c>
      <c r="I35" s="812"/>
      <c r="J35" s="1134">
        <f>'Billing Units'!I50</f>
        <v>4699999.9999999991</v>
      </c>
      <c r="K35" s="1078">
        <f>IF(W$10,W35,
IF($W$29,K17,IF(W$30,K34,
K34+AD35)))</f>
        <v>8.6475341574253559E-2</v>
      </c>
      <c r="L35" s="1136" t="s">
        <v>157</v>
      </c>
      <c r="M35" s="820"/>
      <c r="N35" s="1121">
        <f>ROUND(K35*J35,0)</f>
        <v>406434</v>
      </c>
      <c r="O35" s="1119"/>
      <c r="P35" s="1122">
        <f>IF(AND(N35=0,NOT(H35=0)),0,N35-H35)</f>
        <v>54728</v>
      </c>
      <c r="Q35" s="1119"/>
      <c r="R35" s="1048">
        <f>IF(D35=0,0,ROUND((N35-H35)/H35,9))</f>
        <v>0.15560724000000001</v>
      </c>
      <c r="S35" s="692"/>
      <c r="T35" s="1123"/>
      <c r="U35" s="1155"/>
      <c r="V35" s="1155"/>
      <c r="W35" s="1138">
        <f>INDEX($X35:$Z35,MATCH($D$6,$X$8:$Z$8,0))</f>
        <v>0</v>
      </c>
      <c r="X35" s="1067"/>
      <c r="Y35" s="802"/>
      <c r="Z35" s="1068"/>
      <c r="AA35" s="692"/>
      <c r="AB35" s="1026"/>
      <c r="AC35" s="789">
        <v>8.0172910662824215</v>
      </c>
      <c r="AD35" s="1079">
        <v>4.87E-2</v>
      </c>
      <c r="AE35" s="986"/>
      <c r="AF35" s="1127">
        <f>H35</f>
        <v>351706</v>
      </c>
      <c r="AG35" s="1119"/>
      <c r="AH35" s="1111"/>
      <c r="AI35" s="834">
        <v>5.5640000000000002E-2</v>
      </c>
      <c r="AJ35" s="834">
        <f t="shared" si="2"/>
        <v>7.2062591960195724E-2</v>
      </c>
      <c r="AK35" s="1119" t="s">
        <v>157</v>
      </c>
      <c r="AL35" s="1112">
        <f>AJ35*J35</f>
        <v>338694.18221291981</v>
      </c>
      <c r="AM35" s="692"/>
      <c r="AN35" s="1128">
        <v>275019</v>
      </c>
      <c r="AO35" s="1129"/>
      <c r="AP35" s="1115"/>
      <c r="AQ35" s="1116">
        <v>5.5640000000000002E-2</v>
      </c>
      <c r="AR35" s="1116">
        <v>0.11116847652119188</v>
      </c>
      <c r="AS35" s="1129" t="s">
        <v>157</v>
      </c>
      <c r="AT35" s="1117">
        <v>549486.62809892965</v>
      </c>
      <c r="AU35" s="692"/>
      <c r="AV35" s="1128">
        <v>261508</v>
      </c>
      <c r="AW35" s="1129"/>
      <c r="AX35" s="1115"/>
      <c r="AY35" s="1116">
        <v>5.5640000000000002E-2</v>
      </c>
      <c r="AZ35" s="1116">
        <v>0.12269475689839873</v>
      </c>
      <c r="BA35" s="1129" t="s">
        <v>157</v>
      </c>
      <c r="BB35" s="1117">
        <v>576665.35742247396</v>
      </c>
      <c r="BC35" s="692"/>
      <c r="BD35" s="1128">
        <v>245277</v>
      </c>
      <c r="BE35" s="1129"/>
      <c r="BF35" s="1115"/>
      <c r="BG35" s="1116">
        <v>5.5640000000000002E-2</v>
      </c>
      <c r="BH35" s="1116">
        <v>0.12124301489434583</v>
      </c>
      <c r="BI35" s="1129" t="s">
        <v>157</v>
      </c>
      <c r="BJ35" s="1117">
        <v>534473.85533245374</v>
      </c>
      <c r="BK35" s="1119"/>
      <c r="BL35" s="1062"/>
      <c r="BM35" s="1063"/>
      <c r="BN35" s="1064"/>
      <c r="BO35" s="692"/>
      <c r="BP35" s="692"/>
      <c r="BQ35" s="692"/>
      <c r="BR35" s="692"/>
      <c r="BS35" s="692"/>
      <c r="BT35" s="692"/>
      <c r="BU35" s="692"/>
    </row>
    <row r="36" spans="1:73" s="3" customFormat="1" ht="13.8" thickBot="1">
      <c r="A36" s="692"/>
      <c r="B36" s="821" t="s">
        <v>468</v>
      </c>
      <c r="C36" s="822"/>
      <c r="D36" s="1139">
        <f>SUM(D34:D35)</f>
        <v>16400000</v>
      </c>
      <c r="E36" s="825"/>
      <c r="F36" s="825"/>
      <c r="G36" s="825"/>
      <c r="H36" s="1140">
        <f>SUM(H31,H34,H35)</f>
        <v>762679</v>
      </c>
      <c r="I36" s="822"/>
      <c r="J36" s="1141">
        <f>SUM(J34:J35)</f>
        <v>16400000</v>
      </c>
      <c r="K36" s="824"/>
      <c r="L36" s="1142"/>
      <c r="M36" s="825"/>
      <c r="N36" s="1143">
        <f>SUM(N31,N34,N35)</f>
        <v>987790</v>
      </c>
      <c r="O36" s="1140"/>
      <c r="P36" s="1144">
        <f>IF(AND(N36=0,NOT(H36=0)),0,N36-H36)</f>
        <v>225111</v>
      </c>
      <c r="Q36" s="1140"/>
      <c r="R36" s="1145">
        <f>IF(D36=0,0,ROUND((N36-H36)/H36,9))</f>
        <v>0.29515825099999998</v>
      </c>
      <c r="S36" s="692"/>
      <c r="T36" s="1087">
        <f>INDEX('Revenue Summary'!$R$10:$R$38,MATCH(AB36,'Revenue Summary'!$B$10:$B$38,0))</f>
        <v>987789.81979888771</v>
      </c>
      <c r="U36" s="692"/>
      <c r="V36" s="692"/>
      <c r="W36" s="1146"/>
      <c r="X36" s="1146"/>
      <c r="Y36" s="824"/>
      <c r="Z36" s="1147"/>
      <c r="AA36" s="692"/>
      <c r="AB36" s="1026" t="str" cm="1">
        <f t="array" ref="AB36">INDEX(_xlfn.TEXTSPLIT(B36," "),2)</f>
        <v>RH3</v>
      </c>
      <c r="AC36" s="1109"/>
      <c r="AD36" s="1110"/>
      <c r="AE36" s="692"/>
      <c r="AF36" s="1148">
        <f>H36</f>
        <v>762679</v>
      </c>
      <c r="AG36" s="1140">
        <f>T36</f>
        <v>987789.81979888771</v>
      </c>
      <c r="AH36" s="1149">
        <f>AG36/AF36</f>
        <v>1.2951580151005702</v>
      </c>
      <c r="AI36" s="1150"/>
      <c r="AJ36" s="1150"/>
      <c r="AK36" s="1140"/>
      <c r="AL36" s="1093">
        <f>SUM(AL31:AL35)</f>
        <v>580160.85223223991</v>
      </c>
      <c r="AM36" s="692"/>
      <c r="AN36" s="1151">
        <v>466390</v>
      </c>
      <c r="AO36" s="1154">
        <v>931845.17909271526</v>
      </c>
      <c r="AP36" s="1152">
        <v>1.9979956240329237</v>
      </c>
      <c r="AQ36" s="1153"/>
      <c r="AR36" s="1153"/>
      <c r="AS36" s="1154"/>
      <c r="AT36" s="1098">
        <v>931845.05445804261</v>
      </c>
      <c r="AU36" s="692"/>
      <c r="AV36" s="1151">
        <v>447946</v>
      </c>
      <c r="AW36" s="1154">
        <v>987789.81979888771</v>
      </c>
      <c r="AX36" s="1152">
        <v>2.2051537904097542</v>
      </c>
      <c r="AY36" s="1153"/>
      <c r="AZ36" s="1153"/>
      <c r="BA36" s="1154"/>
      <c r="BB36" s="1098">
        <v>987789.81979888771</v>
      </c>
      <c r="BC36" s="692"/>
      <c r="BD36" s="1151">
        <v>427640</v>
      </c>
      <c r="BE36" s="1154">
        <v>931854.11375661485</v>
      </c>
      <c r="BF36" s="1152">
        <v>2.179062093715777</v>
      </c>
      <c r="BG36" s="1153"/>
      <c r="BH36" s="1153"/>
      <c r="BI36" s="1154"/>
      <c r="BJ36" s="1098">
        <v>931853.47061433236</v>
      </c>
      <c r="BK36" s="1043"/>
      <c r="BL36" s="1062"/>
      <c r="BM36" s="1063"/>
      <c r="BN36" s="1064"/>
      <c r="BO36" s="692"/>
      <c r="BP36" s="692"/>
      <c r="BQ36" s="692"/>
      <c r="BR36" s="692"/>
      <c r="BS36" s="692"/>
      <c r="BT36" s="692"/>
      <c r="BU36" s="692"/>
    </row>
    <row r="37" spans="1:73" s="3" customFormat="1" ht="13.8" thickTop="1">
      <c r="A37" s="692"/>
      <c r="B37" s="812"/>
      <c r="C37" s="812"/>
      <c r="D37" s="1102"/>
      <c r="E37" s="812"/>
      <c r="F37" s="812"/>
      <c r="G37" s="812"/>
      <c r="H37" s="812"/>
      <c r="I37" s="812"/>
      <c r="J37" s="812"/>
      <c r="K37" s="812"/>
      <c r="L37" s="1104"/>
      <c r="M37" s="812"/>
      <c r="N37" s="1105"/>
      <c r="O37" s="812"/>
      <c r="P37" s="1106"/>
      <c r="Q37" s="812"/>
      <c r="R37" s="1107"/>
      <c r="S37" s="692"/>
      <c r="T37" s="1108"/>
      <c r="U37" s="692"/>
      <c r="V37" s="692"/>
      <c r="W37" s="1102"/>
      <c r="X37" s="1102"/>
      <c r="Y37" s="812"/>
      <c r="Z37" s="1104"/>
      <c r="AA37" s="692"/>
      <c r="AB37" s="1026"/>
      <c r="AC37" s="1109"/>
      <c r="AD37" s="1110"/>
      <c r="AE37" s="692"/>
      <c r="AF37" s="1102"/>
      <c r="AG37" s="812"/>
      <c r="AH37" s="1111"/>
      <c r="AI37" s="834"/>
      <c r="AJ37" s="834"/>
      <c r="AK37" s="812"/>
      <c r="AL37" s="1112"/>
      <c r="AM37" s="692"/>
      <c r="AN37" s="1113"/>
      <c r="AO37" s="1114"/>
      <c r="AP37" s="1115"/>
      <c r="AQ37" s="1116"/>
      <c r="AR37" s="1116"/>
      <c r="AS37" s="1114"/>
      <c r="AT37" s="1117"/>
      <c r="AU37" s="692"/>
      <c r="AV37" s="1113"/>
      <c r="AW37" s="1114"/>
      <c r="AX37" s="1115"/>
      <c r="AY37" s="1116"/>
      <c r="AZ37" s="1116"/>
      <c r="BA37" s="1114"/>
      <c r="BB37" s="1117"/>
      <c r="BC37" s="692"/>
      <c r="BD37" s="1113"/>
      <c r="BE37" s="1114"/>
      <c r="BF37" s="1115"/>
      <c r="BG37" s="1116"/>
      <c r="BH37" s="1116"/>
      <c r="BI37" s="1114"/>
      <c r="BJ37" s="1117"/>
      <c r="BK37" s="812"/>
      <c r="BL37" s="1062"/>
      <c r="BM37" s="1063"/>
      <c r="BN37" s="1064"/>
      <c r="BO37" s="692"/>
      <c r="BP37" s="692"/>
      <c r="BQ37" s="692"/>
      <c r="BR37" s="692"/>
      <c r="BS37" s="692"/>
      <c r="BT37" s="692"/>
      <c r="BU37" s="692"/>
    </row>
    <row r="38" spans="1:73" s="3" customFormat="1">
      <c r="A38" s="692"/>
      <c r="B38" s="813" t="s">
        <v>384</v>
      </c>
      <c r="C38" s="813"/>
      <c r="D38" s="1102"/>
      <c r="E38" s="812"/>
      <c r="F38" s="812"/>
      <c r="G38" s="812"/>
      <c r="H38" s="812"/>
      <c r="I38" s="812"/>
      <c r="J38" s="1103"/>
      <c r="K38" s="812"/>
      <c r="L38" s="1104"/>
      <c r="M38" s="812"/>
      <c r="N38" s="1105"/>
      <c r="O38" s="812"/>
      <c r="P38" s="1106"/>
      <c r="Q38" s="812"/>
      <c r="R38" s="1107"/>
      <c r="S38" s="692"/>
      <c r="T38" s="1108"/>
      <c r="U38" s="692"/>
      <c r="V38" s="692"/>
      <c r="W38" s="1102"/>
      <c r="X38" s="1102"/>
      <c r="Y38" s="812"/>
      <c r="Z38" s="1104"/>
      <c r="AA38" s="692"/>
      <c r="AB38" s="1026"/>
      <c r="AC38" s="1109"/>
      <c r="AD38" s="1110"/>
      <c r="AE38" s="692"/>
      <c r="AF38" s="1102"/>
      <c r="AG38" s="812"/>
      <c r="AH38" s="1111"/>
      <c r="AI38" s="834"/>
      <c r="AJ38" s="834"/>
      <c r="AK38" s="812"/>
      <c r="AL38" s="1112"/>
      <c r="AM38" s="692"/>
      <c r="AN38" s="1113"/>
      <c r="AO38" s="1114"/>
      <c r="AP38" s="1115"/>
      <c r="AQ38" s="1116"/>
      <c r="AR38" s="1116"/>
      <c r="AS38" s="1114"/>
      <c r="AT38" s="1117"/>
      <c r="AU38" s="692"/>
      <c r="AV38" s="1113"/>
      <c r="AW38" s="1114"/>
      <c r="AX38" s="1115"/>
      <c r="AY38" s="1116"/>
      <c r="AZ38" s="1116"/>
      <c r="BA38" s="1114"/>
      <c r="BB38" s="1117"/>
      <c r="BC38" s="692"/>
      <c r="BD38" s="1113"/>
      <c r="BE38" s="1114"/>
      <c r="BF38" s="1115"/>
      <c r="BG38" s="1116"/>
      <c r="BH38" s="1116"/>
      <c r="BI38" s="1114"/>
      <c r="BJ38" s="1117"/>
      <c r="BK38" s="812"/>
      <c r="BL38" s="1062"/>
      <c r="BM38" s="1063"/>
      <c r="BN38" s="1064"/>
      <c r="BO38" s="692"/>
      <c r="BP38" s="692"/>
      <c r="BQ38" s="692"/>
      <c r="BR38" s="692"/>
      <c r="BS38" s="692"/>
      <c r="BT38" s="692"/>
      <c r="BU38" s="692"/>
    </row>
    <row r="39" spans="1:73" s="3" customFormat="1">
      <c r="A39" s="692"/>
      <c r="B39" s="812"/>
      <c r="C39" s="812"/>
      <c r="D39" s="1102"/>
      <c r="E39" s="812"/>
      <c r="F39" s="812"/>
      <c r="G39" s="812"/>
      <c r="H39" s="812"/>
      <c r="I39" s="812"/>
      <c r="J39" s="1103"/>
      <c r="K39" s="812"/>
      <c r="L39" s="1104"/>
      <c r="M39" s="812"/>
      <c r="N39" s="1105"/>
      <c r="O39" s="812"/>
      <c r="P39" s="1106"/>
      <c r="Q39" s="812"/>
      <c r="R39" s="1107"/>
      <c r="S39" s="692"/>
      <c r="T39" s="1108"/>
      <c r="U39" s="692"/>
      <c r="V39" s="692"/>
      <c r="W39" s="1102"/>
      <c r="X39" s="1102"/>
      <c r="Y39" s="812"/>
      <c r="Z39" s="1104"/>
      <c r="AA39" s="692"/>
      <c r="AB39" s="1026"/>
      <c r="AC39" s="1109"/>
      <c r="AD39" s="1110"/>
      <c r="AE39" s="692"/>
      <c r="AF39" s="1102"/>
      <c r="AG39" s="812"/>
      <c r="AH39" s="1111"/>
      <c r="AI39" s="834"/>
      <c r="AJ39" s="834"/>
      <c r="AK39" s="812"/>
      <c r="AL39" s="1112"/>
      <c r="AM39" s="692"/>
      <c r="AN39" s="1113"/>
      <c r="AO39" s="1114"/>
      <c r="AP39" s="1115"/>
      <c r="AQ39" s="1116"/>
      <c r="AR39" s="1116"/>
      <c r="AS39" s="1114"/>
      <c r="AT39" s="1117"/>
      <c r="AU39" s="692"/>
      <c r="AV39" s="1113"/>
      <c r="AW39" s="1114"/>
      <c r="AX39" s="1115"/>
      <c r="AY39" s="1116"/>
      <c r="AZ39" s="1116"/>
      <c r="BA39" s="1114"/>
      <c r="BB39" s="1117"/>
      <c r="BC39" s="692"/>
      <c r="BD39" s="1113"/>
      <c r="BE39" s="1114"/>
      <c r="BF39" s="1115"/>
      <c r="BG39" s="1116"/>
      <c r="BH39" s="1116"/>
      <c r="BI39" s="1114"/>
      <c r="BJ39" s="1117"/>
      <c r="BK39" s="812"/>
      <c r="BL39" s="1062"/>
      <c r="BM39" s="1063"/>
      <c r="BN39" s="1064"/>
      <c r="BO39" s="692"/>
      <c r="BP39" s="692"/>
      <c r="BQ39" s="692"/>
      <c r="BR39" s="692"/>
      <c r="BS39" s="692"/>
      <c r="BT39" s="692"/>
      <c r="BU39" s="692"/>
    </row>
    <row r="40" spans="1:73" s="3" customFormat="1">
      <c r="A40" s="692"/>
      <c r="B40" s="812" t="s">
        <v>461</v>
      </c>
      <c r="C40" s="812"/>
      <c r="D40" s="1118"/>
      <c r="E40" s="827"/>
      <c r="F40" s="812"/>
      <c r="G40" s="834"/>
      <c r="H40" s="1119"/>
      <c r="I40" s="812"/>
      <c r="J40" s="1120"/>
      <c r="K40" s="827"/>
      <c r="L40" s="1104"/>
      <c r="M40" s="834"/>
      <c r="N40" s="1121"/>
      <c r="O40" s="1119"/>
      <c r="P40" s="1106"/>
      <c r="Q40" s="812"/>
      <c r="R40" s="1107"/>
      <c r="S40" s="692"/>
      <c r="T40" s="1123"/>
      <c r="U40" s="692"/>
      <c r="V40" s="692"/>
      <c r="W40" s="1156"/>
      <c r="X40" s="1156"/>
      <c r="Y40" s="827"/>
      <c r="Z40" s="1157"/>
      <c r="AA40" s="692"/>
      <c r="AB40" s="1026"/>
      <c r="AC40" s="1109"/>
      <c r="AD40" s="1110"/>
      <c r="AE40" s="692"/>
      <c r="AF40" s="1127"/>
      <c r="AG40" s="1119"/>
      <c r="AH40" s="1111"/>
      <c r="AI40" s="834"/>
      <c r="AJ40" s="834"/>
      <c r="AK40" s="1119"/>
      <c r="AL40" s="1112"/>
      <c r="AM40" s="692"/>
      <c r="AN40" s="1128"/>
      <c r="AO40" s="1129"/>
      <c r="AP40" s="1115"/>
      <c r="AQ40" s="1116"/>
      <c r="AR40" s="1116"/>
      <c r="AS40" s="1129"/>
      <c r="AT40" s="1117"/>
      <c r="AU40" s="692"/>
      <c r="AV40" s="1128"/>
      <c r="AW40" s="1129"/>
      <c r="AX40" s="1115"/>
      <c r="AY40" s="1116"/>
      <c r="AZ40" s="1116"/>
      <c r="BA40" s="1129"/>
      <c r="BB40" s="1117"/>
      <c r="BC40" s="692"/>
      <c r="BD40" s="1128"/>
      <c r="BE40" s="1129"/>
      <c r="BF40" s="1115"/>
      <c r="BG40" s="1116"/>
      <c r="BH40" s="1116"/>
      <c r="BI40" s="1129"/>
      <c r="BJ40" s="1117"/>
      <c r="BK40" s="1119"/>
      <c r="BL40" s="1062"/>
      <c r="BM40" s="1063"/>
      <c r="BN40" s="1064"/>
      <c r="BO40" s="692"/>
      <c r="BP40" s="692"/>
      <c r="BQ40" s="692"/>
      <c r="BR40" s="692"/>
      <c r="BS40" s="692"/>
      <c r="BT40" s="692"/>
      <c r="BU40" s="692"/>
    </row>
    <row r="41" spans="1:73" s="3" customFormat="1">
      <c r="A41" s="692"/>
      <c r="B41" s="818" t="s">
        <v>63</v>
      </c>
      <c r="C41" s="812"/>
      <c r="D41" s="1118">
        <f>'Billing Units'!D14</f>
        <v>7716</v>
      </c>
      <c r="E41" s="827">
        <f>'Rate Inputs'!D14</f>
        <v>30</v>
      </c>
      <c r="F41" s="812" t="s">
        <v>160</v>
      </c>
      <c r="G41" s="834"/>
      <c r="H41" s="1119">
        <f>ROUND(E41*D41*12,0)</f>
        <v>2777760</v>
      </c>
      <c r="I41" s="812"/>
      <c r="J41" s="1120">
        <f>'Billing Units'!D52</f>
        <v>7716</v>
      </c>
      <c r="K41" s="1045">
        <f t="shared" ref="K41:K43" si="3">W41</f>
        <v>30</v>
      </c>
      <c r="L41" s="1104" t="str">
        <f>F41</f>
        <v>per month</v>
      </c>
      <c r="M41" s="834"/>
      <c r="N41" s="1121">
        <f>ROUND(K41*J41*12,0)</f>
        <v>2777760</v>
      </c>
      <c r="O41" s="1119"/>
      <c r="P41" s="1122">
        <f>IF(AND(N41=0,NOT(H41=0)),0,N41-H41)</f>
        <v>0</v>
      </c>
      <c r="Q41" s="1119"/>
      <c r="R41" s="1048">
        <f>IF(D41=0,0,ROUND((N41-H41)/H41,9))</f>
        <v>0</v>
      </c>
      <c r="S41" s="692"/>
      <c r="T41" s="1123"/>
      <c r="U41" s="692"/>
      <c r="V41" s="692"/>
      <c r="W41" s="1124">
        <f>INDEX($X41:$Z41,MATCH($D$6,$X$8:$Z$8,0))</f>
        <v>30</v>
      </c>
      <c r="X41" s="1158">
        <v>30</v>
      </c>
      <c r="Y41" s="1159">
        <v>30</v>
      </c>
      <c r="Z41" s="1160">
        <v>30</v>
      </c>
      <c r="AA41" s="692"/>
      <c r="AB41" s="1026"/>
      <c r="AC41" s="1109"/>
      <c r="AD41" s="1110"/>
      <c r="AE41" s="692"/>
      <c r="AF41" s="1127">
        <f>H41</f>
        <v>2777760</v>
      </c>
      <c r="AG41" s="1119"/>
      <c r="AH41" s="1111"/>
      <c r="AI41" s="834">
        <v>30</v>
      </c>
      <c r="AJ41" s="1161">
        <v>30</v>
      </c>
      <c r="AK41" s="1119" t="s">
        <v>160</v>
      </c>
      <c r="AL41" s="1162"/>
      <c r="AM41" s="692"/>
      <c r="AN41" s="1128">
        <v>2772960</v>
      </c>
      <c r="AO41" s="1129"/>
      <c r="AP41" s="1115"/>
      <c r="AQ41" s="1116">
        <v>30</v>
      </c>
      <c r="AR41" s="1116">
        <v>30</v>
      </c>
      <c r="AS41" s="1129" t="s">
        <v>160</v>
      </c>
      <c r="AT41" s="1117"/>
      <c r="AU41" s="692"/>
      <c r="AV41" s="1128">
        <v>2777760</v>
      </c>
      <c r="AW41" s="1129"/>
      <c r="AX41" s="1115"/>
      <c r="AY41" s="1116">
        <v>30</v>
      </c>
      <c r="AZ41" s="1116">
        <v>30</v>
      </c>
      <c r="BA41" s="1129" t="s">
        <v>160</v>
      </c>
      <c r="BB41" s="1117"/>
      <c r="BC41" s="692"/>
      <c r="BD41" s="1128">
        <v>2781720</v>
      </c>
      <c r="BE41" s="1129"/>
      <c r="BF41" s="1115"/>
      <c r="BG41" s="1116">
        <v>30</v>
      </c>
      <c r="BH41" s="1116">
        <v>30</v>
      </c>
      <c r="BI41" s="1129" t="s">
        <v>160</v>
      </c>
      <c r="BJ41" s="1117"/>
      <c r="BK41" s="1119"/>
      <c r="BL41" s="1062">
        <f t="shared" ref="BL41:BL43" si="4">IF(AR41&lt;20,ROUND(AR41,0),MROUND(AR41,5))</f>
        <v>30</v>
      </c>
      <c r="BM41" s="1063">
        <f t="shared" ref="BM41:BM43" si="5">IF(AZ41&lt;20,ROUND(AZ41,0),MROUND(AZ41,5))</f>
        <v>30</v>
      </c>
      <c r="BN41" s="1064">
        <f t="shared" ref="BN41:BN43" si="6">IF(BH41&lt;20,ROUND(BH41,0),MROUND(BH41,5))</f>
        <v>30</v>
      </c>
      <c r="BO41" s="692"/>
      <c r="BP41" s="692"/>
      <c r="BQ41" s="692"/>
      <c r="BR41" s="692"/>
      <c r="BS41" s="692"/>
      <c r="BT41" s="692"/>
      <c r="BU41" s="692"/>
    </row>
    <row r="42" spans="1:73" s="3" customFormat="1">
      <c r="A42" s="692"/>
      <c r="B42" s="818" t="s">
        <v>64</v>
      </c>
      <c r="C42" s="812"/>
      <c r="D42" s="1118">
        <f>'Billing Units'!E14</f>
        <v>35132</v>
      </c>
      <c r="E42" s="827">
        <f>'Rate Inputs'!E14</f>
        <v>40</v>
      </c>
      <c r="F42" s="812" t="s">
        <v>160</v>
      </c>
      <c r="G42" s="834"/>
      <c r="H42" s="1119">
        <f>ROUND(E42*D42*12,0)</f>
        <v>16863360</v>
      </c>
      <c r="I42" s="812"/>
      <c r="J42" s="1120">
        <f>'Billing Units'!E52</f>
        <v>35132</v>
      </c>
      <c r="K42" s="1045">
        <f t="shared" si="3"/>
        <v>40</v>
      </c>
      <c r="L42" s="1104" t="str">
        <f>F42</f>
        <v>per month</v>
      </c>
      <c r="M42" s="834"/>
      <c r="N42" s="1121">
        <f>ROUND(K42*J42*12,0)</f>
        <v>16863360</v>
      </c>
      <c r="O42" s="1119"/>
      <c r="P42" s="1122">
        <f>IF(AND(N42=0,NOT(H42=0)),0,N42-H42)</f>
        <v>0</v>
      </c>
      <c r="Q42" s="1119"/>
      <c r="R42" s="1048">
        <f>IF(D42=0,0,ROUND((N42-H42)/H42,9))</f>
        <v>0</v>
      </c>
      <c r="S42" s="692"/>
      <c r="T42" s="1123"/>
      <c r="U42" s="692"/>
      <c r="V42" s="692"/>
      <c r="W42" s="1124">
        <f>INDEX($X42:$Z42,MATCH($D$6,$X$8:$Z$8,0))</f>
        <v>40</v>
      </c>
      <c r="X42" s="1158">
        <v>40</v>
      </c>
      <c r="Y42" s="1159">
        <v>40</v>
      </c>
      <c r="Z42" s="1160">
        <v>40</v>
      </c>
      <c r="AA42" s="692"/>
      <c r="AB42" s="1026"/>
      <c r="AC42" s="1109"/>
      <c r="AD42" s="1110"/>
      <c r="AE42" s="692"/>
      <c r="AF42" s="1127">
        <f>H42</f>
        <v>16863360</v>
      </c>
      <c r="AG42" s="1119"/>
      <c r="AH42" s="1111"/>
      <c r="AI42" s="834">
        <v>40</v>
      </c>
      <c r="AJ42" s="1161">
        <v>40</v>
      </c>
      <c r="AK42" s="1119" t="s">
        <v>160</v>
      </c>
      <c r="AL42" s="1162"/>
      <c r="AM42" s="692"/>
      <c r="AN42" s="1128">
        <v>16835280</v>
      </c>
      <c r="AO42" s="1129"/>
      <c r="AP42" s="1115"/>
      <c r="AQ42" s="1116">
        <v>40</v>
      </c>
      <c r="AR42" s="1116">
        <v>40</v>
      </c>
      <c r="AS42" s="1129" t="s">
        <v>160</v>
      </c>
      <c r="AT42" s="1117"/>
      <c r="AU42" s="692"/>
      <c r="AV42" s="1128">
        <v>16863360</v>
      </c>
      <c r="AW42" s="1129"/>
      <c r="AX42" s="1115"/>
      <c r="AY42" s="1116">
        <v>40</v>
      </c>
      <c r="AZ42" s="1116">
        <v>40</v>
      </c>
      <c r="BA42" s="1129" t="s">
        <v>160</v>
      </c>
      <c r="BB42" s="1117"/>
      <c r="BC42" s="692"/>
      <c r="BD42" s="1128">
        <v>16889280</v>
      </c>
      <c r="BE42" s="1129"/>
      <c r="BF42" s="1115"/>
      <c r="BG42" s="1116">
        <v>40</v>
      </c>
      <c r="BH42" s="1116">
        <v>40</v>
      </c>
      <c r="BI42" s="1129" t="s">
        <v>160</v>
      </c>
      <c r="BJ42" s="1117"/>
      <c r="BK42" s="1119"/>
      <c r="BL42" s="1062">
        <f t="shared" si="4"/>
        <v>40</v>
      </c>
      <c r="BM42" s="1063">
        <f t="shared" si="5"/>
        <v>40</v>
      </c>
      <c r="BN42" s="1064">
        <f t="shared" si="6"/>
        <v>40</v>
      </c>
      <c r="BO42" s="692"/>
      <c r="BP42" s="692"/>
      <c r="BQ42" s="692"/>
      <c r="BR42" s="692"/>
      <c r="BS42" s="692"/>
      <c r="BT42" s="692"/>
      <c r="BU42" s="692"/>
    </row>
    <row r="43" spans="1:73" s="3" customFormat="1">
      <c r="A43" s="692"/>
      <c r="B43" s="818" t="s">
        <v>65</v>
      </c>
      <c r="C43" s="812"/>
      <c r="D43" s="1118">
        <f>'Billing Units'!F14</f>
        <v>3773</v>
      </c>
      <c r="E43" s="827">
        <f>'Rate Inputs'!F14</f>
        <v>50</v>
      </c>
      <c r="F43" s="812" t="s">
        <v>160</v>
      </c>
      <c r="G43" s="834"/>
      <c r="H43" s="1119">
        <f>ROUND(E43*D43*12,0)</f>
        <v>2263800</v>
      </c>
      <c r="I43" s="812"/>
      <c r="J43" s="1120">
        <f>'Billing Units'!F52</f>
        <v>3773</v>
      </c>
      <c r="K43" s="1045">
        <f t="shared" si="3"/>
        <v>50</v>
      </c>
      <c r="L43" s="1104" t="str">
        <f>F43</f>
        <v>per month</v>
      </c>
      <c r="M43" s="834"/>
      <c r="N43" s="1121">
        <f>ROUND(K43*J43*12,0)</f>
        <v>2263800</v>
      </c>
      <c r="O43" s="1119"/>
      <c r="P43" s="1122">
        <f>IF(AND(N43=0,NOT(H43=0)),0,N43-H43)</f>
        <v>0</v>
      </c>
      <c r="Q43" s="1119"/>
      <c r="R43" s="1048">
        <f>IF(D43=0,0,ROUND((N43-H43)/H43,9))</f>
        <v>0</v>
      </c>
      <c r="S43" s="692"/>
      <c r="T43" s="1123"/>
      <c r="U43" s="692"/>
      <c r="V43" s="692"/>
      <c r="W43" s="1124">
        <f>INDEX($X43:$Z43,MATCH($D$6,$X$8:$Z$8,0))</f>
        <v>50</v>
      </c>
      <c r="X43" s="1158">
        <v>50</v>
      </c>
      <c r="Y43" s="1159">
        <v>50</v>
      </c>
      <c r="Z43" s="1160">
        <v>50</v>
      </c>
      <c r="AA43" s="692"/>
      <c r="AB43" s="1026"/>
      <c r="AC43" s="1109"/>
      <c r="AD43" s="1110"/>
      <c r="AE43" s="692"/>
      <c r="AF43" s="1127">
        <f>H43</f>
        <v>2263800</v>
      </c>
      <c r="AG43" s="1119"/>
      <c r="AH43" s="1111"/>
      <c r="AI43" s="834">
        <v>50</v>
      </c>
      <c r="AJ43" s="1161">
        <v>50</v>
      </c>
      <c r="AK43" s="1119" t="s">
        <v>160</v>
      </c>
      <c r="AL43" s="1162"/>
      <c r="AM43" s="692"/>
      <c r="AN43" s="1128">
        <v>2259950</v>
      </c>
      <c r="AO43" s="1129"/>
      <c r="AP43" s="1115"/>
      <c r="AQ43" s="1116">
        <v>50</v>
      </c>
      <c r="AR43" s="1116">
        <v>50</v>
      </c>
      <c r="AS43" s="1129" t="s">
        <v>160</v>
      </c>
      <c r="AT43" s="1117"/>
      <c r="AU43" s="692"/>
      <c r="AV43" s="1128">
        <v>2263800</v>
      </c>
      <c r="AW43" s="1129"/>
      <c r="AX43" s="1115"/>
      <c r="AY43" s="1116">
        <v>50</v>
      </c>
      <c r="AZ43" s="1116">
        <v>50</v>
      </c>
      <c r="BA43" s="1129" t="s">
        <v>160</v>
      </c>
      <c r="BB43" s="1117"/>
      <c r="BC43" s="692"/>
      <c r="BD43" s="1128">
        <v>2267400</v>
      </c>
      <c r="BE43" s="1129"/>
      <c r="BF43" s="1115"/>
      <c r="BG43" s="1116">
        <v>50</v>
      </c>
      <c r="BH43" s="1116">
        <v>50</v>
      </c>
      <c r="BI43" s="1129" t="s">
        <v>160</v>
      </c>
      <c r="BJ43" s="1117"/>
      <c r="BK43" s="1119"/>
      <c r="BL43" s="1062">
        <f t="shared" si="4"/>
        <v>50</v>
      </c>
      <c r="BM43" s="1063">
        <f t="shared" si="5"/>
        <v>50</v>
      </c>
      <c r="BN43" s="1064">
        <f t="shared" si="6"/>
        <v>50</v>
      </c>
      <c r="BO43" s="692"/>
      <c r="BP43" s="692"/>
      <c r="BQ43" s="692"/>
      <c r="BR43" s="692"/>
      <c r="BS43" s="692"/>
      <c r="BT43" s="692"/>
      <c r="BU43" s="692"/>
    </row>
    <row r="44" spans="1:73" s="3" customFormat="1">
      <c r="A44" s="692"/>
      <c r="B44" s="812"/>
      <c r="C44" s="812"/>
      <c r="D44" s="1130"/>
      <c r="E44" s="817"/>
      <c r="F44" s="812"/>
      <c r="G44" s="812"/>
      <c r="H44" s="812"/>
      <c r="I44" s="812"/>
      <c r="J44" s="1131"/>
      <c r="K44" s="817"/>
      <c r="L44" s="1104"/>
      <c r="M44" s="812"/>
      <c r="N44" s="1105"/>
      <c r="O44" s="812"/>
      <c r="P44" s="1106"/>
      <c r="Q44" s="812"/>
      <c r="R44" s="1107"/>
      <c r="S44" s="692"/>
      <c r="T44" s="1108"/>
      <c r="U44" s="692"/>
      <c r="V44" s="692"/>
      <c r="W44" s="1132"/>
      <c r="X44" s="1132"/>
      <c r="Y44" s="817"/>
      <c r="Z44" s="1133"/>
      <c r="AA44" s="692"/>
      <c r="AB44" s="1026"/>
      <c r="AC44" s="1109"/>
      <c r="AD44" s="1110"/>
      <c r="AE44" s="692"/>
      <c r="AF44" s="1102"/>
      <c r="AG44" s="812"/>
      <c r="AH44" s="1111"/>
      <c r="AI44" s="834"/>
      <c r="AJ44" s="834"/>
      <c r="AK44" s="812"/>
      <c r="AL44" s="1112"/>
      <c r="AM44" s="692"/>
      <c r="AN44" s="1113"/>
      <c r="AO44" s="1114"/>
      <c r="AP44" s="1115"/>
      <c r="AQ44" s="1116"/>
      <c r="AR44" s="1116"/>
      <c r="AS44" s="1114"/>
      <c r="AT44" s="1117"/>
      <c r="AU44" s="692"/>
      <c r="AV44" s="1113"/>
      <c r="AW44" s="1114"/>
      <c r="AX44" s="1115"/>
      <c r="AY44" s="1116"/>
      <c r="AZ44" s="1116"/>
      <c r="BA44" s="1114"/>
      <c r="BB44" s="1117"/>
      <c r="BC44" s="692"/>
      <c r="BD44" s="1113"/>
      <c r="BE44" s="1114"/>
      <c r="BF44" s="1115"/>
      <c r="BG44" s="1116"/>
      <c r="BH44" s="1116"/>
      <c r="BI44" s="1114"/>
      <c r="BJ44" s="1117"/>
      <c r="BK44" s="812"/>
      <c r="BL44" s="1062"/>
      <c r="BM44" s="1063"/>
      <c r="BN44" s="1064"/>
      <c r="BO44" s="692"/>
      <c r="BP44" s="692"/>
      <c r="BQ44" s="692"/>
      <c r="BR44" s="692"/>
      <c r="BS44" s="692"/>
      <c r="BT44" s="692"/>
      <c r="BU44" s="692"/>
    </row>
    <row r="45" spans="1:73" s="3" customFormat="1">
      <c r="A45" s="692"/>
      <c r="B45" s="812" t="s">
        <v>462</v>
      </c>
      <c r="C45" s="812"/>
      <c r="D45" s="1118"/>
      <c r="E45" s="817"/>
      <c r="F45" s="812"/>
      <c r="G45" s="812"/>
      <c r="H45" s="1119"/>
      <c r="I45" s="812"/>
      <c r="J45" s="1131"/>
      <c r="K45" s="817"/>
      <c r="L45" s="1104"/>
      <c r="M45" s="812"/>
      <c r="N45" s="1105"/>
      <c r="O45" s="812"/>
      <c r="P45" s="1106"/>
      <c r="Q45" s="812"/>
      <c r="R45" s="1107"/>
      <c r="S45" s="692"/>
      <c r="T45" s="1108"/>
      <c r="U45" s="692"/>
      <c r="V45" s="692"/>
      <c r="W45" s="1132"/>
      <c r="X45" s="1132"/>
      <c r="Y45" s="817"/>
      <c r="Z45" s="1133"/>
      <c r="AA45" s="692"/>
      <c r="AB45" s="1026"/>
      <c r="AC45" s="1109"/>
      <c r="AD45" s="1110"/>
      <c r="AE45" s="692"/>
      <c r="AF45" s="1127"/>
      <c r="AG45" s="1119"/>
      <c r="AH45" s="1111"/>
      <c r="AI45" s="834"/>
      <c r="AJ45" s="834"/>
      <c r="AK45" s="1119"/>
      <c r="AL45" s="1112"/>
      <c r="AM45" s="692"/>
      <c r="AN45" s="1128"/>
      <c r="AO45" s="1129"/>
      <c r="AP45" s="1115"/>
      <c r="AQ45" s="1116"/>
      <c r="AR45" s="1116"/>
      <c r="AS45" s="1129"/>
      <c r="AT45" s="1117"/>
      <c r="AU45" s="692"/>
      <c r="AV45" s="1128"/>
      <c r="AW45" s="1129"/>
      <c r="AX45" s="1115"/>
      <c r="AY45" s="1116"/>
      <c r="AZ45" s="1116"/>
      <c r="BA45" s="1129"/>
      <c r="BB45" s="1117"/>
      <c r="BC45" s="692"/>
      <c r="BD45" s="1128"/>
      <c r="BE45" s="1129"/>
      <c r="BF45" s="1115"/>
      <c r="BG45" s="1116"/>
      <c r="BH45" s="1116"/>
      <c r="BI45" s="1129"/>
      <c r="BJ45" s="1117"/>
      <c r="BK45" s="812"/>
      <c r="BL45" s="1062"/>
      <c r="BM45" s="1063"/>
      <c r="BN45" s="1064"/>
      <c r="BO45" s="692"/>
      <c r="BP45" s="692"/>
      <c r="BQ45" s="692"/>
      <c r="BR45" s="692"/>
      <c r="BS45" s="692"/>
      <c r="BT45" s="692"/>
      <c r="BU45" s="692"/>
    </row>
    <row r="46" spans="1:73" s="3" customFormat="1">
      <c r="A46" s="692"/>
      <c r="B46" s="818" t="s">
        <v>469</v>
      </c>
      <c r="C46" s="812"/>
      <c r="D46" s="1118">
        <f>'Billing Units'!H14</f>
        <v>4900000</v>
      </c>
      <c r="E46" s="828">
        <f>'Rate Inputs'!H14+IF($D$7,$J$6,0)</f>
        <v>7.4831000000000009E-2</v>
      </c>
      <c r="F46" s="820" t="s">
        <v>157</v>
      </c>
      <c r="G46" s="812"/>
      <c r="H46" s="1119">
        <f>ROUND(E46*D46,0)</f>
        <v>366672</v>
      </c>
      <c r="I46" s="812"/>
      <c r="J46" s="1134">
        <f>'Billing Units'!H52</f>
        <v>4900000</v>
      </c>
      <c r="K46" s="1168">
        <f>IF(W$10,W46,(T51-SUM(N41:N43))/SUM(J46:J48))</f>
        <v>8.6475373120593682E-2</v>
      </c>
      <c r="L46" s="1136" t="s">
        <v>157</v>
      </c>
      <c r="M46" s="812"/>
      <c r="N46" s="1121">
        <f>ROUND(K46*J46,0)</f>
        <v>423729</v>
      </c>
      <c r="O46" s="812"/>
      <c r="P46" s="1122">
        <f>IF(AND(N46=0,NOT(H46=0)),0,N46-H46)</f>
        <v>57057</v>
      </c>
      <c r="Q46" s="1119"/>
      <c r="R46" s="1048">
        <f>IF(D46=0,0,ROUND((N46-H46)/H46,9))</f>
        <v>0.155607737</v>
      </c>
      <c r="S46" s="692"/>
      <c r="T46" s="1163"/>
      <c r="U46" s="692"/>
      <c r="V46" s="692"/>
      <c r="W46" s="1164">
        <f>INDEX($X46:$Z46,MATCH($D$6,$X$8:$Z$8,0))</f>
        <v>0</v>
      </c>
      <c r="X46" s="1165"/>
      <c r="Y46" s="828"/>
      <c r="Z46" s="1166"/>
      <c r="AA46" s="692"/>
      <c r="AB46" s="1026"/>
      <c r="AC46" s="1109"/>
      <c r="AD46" s="1110"/>
      <c r="AE46" s="692"/>
      <c r="AF46" s="1127">
        <f>H46</f>
        <v>366672</v>
      </c>
      <c r="AG46" s="1119"/>
      <c r="AH46" s="1111"/>
      <c r="AI46" s="834">
        <v>5.5640000000000002E-2</v>
      </c>
      <c r="AJ46" s="833"/>
      <c r="AK46" s="1119" t="s">
        <v>157</v>
      </c>
      <c r="AL46" s="1167"/>
      <c r="AM46" s="692"/>
      <c r="AN46" s="1128">
        <v>290266</v>
      </c>
      <c r="AO46" s="1129"/>
      <c r="AP46" s="1115"/>
      <c r="AQ46" s="1116">
        <v>5.5640000000000002E-2</v>
      </c>
      <c r="AR46" s="1116"/>
      <c r="AS46" s="1129" t="s">
        <v>157</v>
      </c>
      <c r="AT46" s="1117"/>
      <c r="AU46" s="692"/>
      <c r="AV46" s="1128">
        <v>272636</v>
      </c>
      <c r="AW46" s="1129"/>
      <c r="AX46" s="1115"/>
      <c r="AY46" s="1116">
        <v>5.5640000000000002E-2</v>
      </c>
      <c r="AZ46" s="1116"/>
      <c r="BA46" s="1129" t="s">
        <v>157</v>
      </c>
      <c r="BB46" s="1117"/>
      <c r="BC46" s="692"/>
      <c r="BD46" s="1128">
        <v>258876</v>
      </c>
      <c r="BE46" s="1129"/>
      <c r="BF46" s="1115"/>
      <c r="BG46" s="1116">
        <v>5.5640000000000002E-2</v>
      </c>
      <c r="BH46" s="1116"/>
      <c r="BI46" s="1129" t="s">
        <v>157</v>
      </c>
      <c r="BJ46" s="1117"/>
      <c r="BK46" s="692"/>
      <c r="BL46" s="1062"/>
      <c r="BM46" s="1063"/>
      <c r="BN46" s="1064"/>
      <c r="BO46" s="692"/>
      <c r="BP46" s="692"/>
      <c r="BQ46" s="692"/>
      <c r="BR46" s="692"/>
      <c r="BS46" s="692"/>
      <c r="BT46" s="692"/>
      <c r="BU46" s="692"/>
    </row>
    <row r="47" spans="1:73" s="3" customFormat="1">
      <c r="A47" s="692"/>
      <c r="B47" s="818" t="s">
        <v>470</v>
      </c>
      <c r="C47" s="812"/>
      <c r="D47" s="1118">
        <f>'Billing Units'!I14</f>
        <v>84600000</v>
      </c>
      <c r="E47" s="828">
        <f>'Rate Inputs'!I14+IF($D$7,$J$6,0)</f>
        <v>7.4831000000000009E-2</v>
      </c>
      <c r="F47" s="820" t="s">
        <v>157</v>
      </c>
      <c r="G47" s="820"/>
      <c r="H47" s="1119">
        <f>ROUND(E47*D47,0)</f>
        <v>6330703</v>
      </c>
      <c r="I47" s="812"/>
      <c r="J47" s="1134">
        <f>'Billing Units'!I52</f>
        <v>84600000</v>
      </c>
      <c r="K47" s="1168">
        <f>IF(W$10,W47,K46)</f>
        <v>8.6475373120593682E-2</v>
      </c>
      <c r="L47" s="1136" t="s">
        <v>157</v>
      </c>
      <c r="M47" s="820"/>
      <c r="N47" s="1121">
        <f>ROUND(K47*J47,0)</f>
        <v>7315817</v>
      </c>
      <c r="O47" s="1119"/>
      <c r="P47" s="1122">
        <f>IF(AND(N47=0,NOT(H47=0)),0,N47-H47)</f>
        <v>985114</v>
      </c>
      <c r="Q47" s="1119"/>
      <c r="R47" s="1048">
        <f>IF(D47=0,0,ROUND((N47-H47)/H47,9))</f>
        <v>0.155608943</v>
      </c>
      <c r="S47" s="692"/>
      <c r="T47" s="1163"/>
      <c r="U47" s="692"/>
      <c r="V47" s="692"/>
      <c r="W47" s="1164">
        <f>INDEX($X47:$Z47,MATCH($D$6,$X$8:$Z$8,0))</f>
        <v>0</v>
      </c>
      <c r="X47" s="1165"/>
      <c r="Y47" s="828"/>
      <c r="Z47" s="1166"/>
      <c r="AA47" s="692"/>
      <c r="AB47" s="1026"/>
      <c r="AC47" s="1109"/>
      <c r="AD47" s="1110"/>
      <c r="AE47" s="692"/>
      <c r="AF47" s="1127">
        <f>H47</f>
        <v>6330703</v>
      </c>
      <c r="AG47" s="1119"/>
      <c r="AH47" s="1111"/>
      <c r="AI47" s="834">
        <v>5.5640000000000002E-2</v>
      </c>
      <c r="AJ47" s="833"/>
      <c r="AK47" s="1119" t="s">
        <v>157</v>
      </c>
      <c r="AL47" s="1167"/>
      <c r="AM47" s="692"/>
      <c r="AN47" s="1128">
        <v>4995108</v>
      </c>
      <c r="AO47" s="1129"/>
      <c r="AP47" s="1115"/>
      <c r="AQ47" s="1116">
        <v>5.5640000000000002E-2</v>
      </c>
      <c r="AR47" s="1116"/>
      <c r="AS47" s="1129" t="s">
        <v>157</v>
      </c>
      <c r="AT47" s="1117"/>
      <c r="AU47" s="692"/>
      <c r="AV47" s="1128">
        <v>4707144</v>
      </c>
      <c r="AW47" s="1129"/>
      <c r="AX47" s="1115"/>
      <c r="AY47" s="1116">
        <v>5.5640000000000002E-2</v>
      </c>
      <c r="AZ47" s="1116"/>
      <c r="BA47" s="1129" t="s">
        <v>157</v>
      </c>
      <c r="BB47" s="1117"/>
      <c r="BC47" s="692"/>
      <c r="BD47" s="1128">
        <v>4454912</v>
      </c>
      <c r="BE47" s="1129"/>
      <c r="BF47" s="1115"/>
      <c r="BG47" s="1116">
        <v>5.5640000000000002E-2</v>
      </c>
      <c r="BH47" s="1116"/>
      <c r="BI47" s="1129" t="s">
        <v>157</v>
      </c>
      <c r="BJ47" s="1117"/>
      <c r="BK47" s="692"/>
      <c r="BL47" s="1062"/>
      <c r="BM47" s="1063"/>
      <c r="BN47" s="1064"/>
      <c r="BO47" s="692"/>
      <c r="BP47" s="692"/>
      <c r="BQ47" s="692"/>
      <c r="BR47" s="692"/>
      <c r="BS47" s="692"/>
      <c r="BT47" s="692"/>
      <c r="BU47" s="692"/>
    </row>
    <row r="48" spans="1:73" s="3" customFormat="1">
      <c r="A48" s="692"/>
      <c r="B48" s="818" t="s">
        <v>471</v>
      </c>
      <c r="C48" s="812"/>
      <c r="D48" s="1118">
        <f>'Billing Units'!J14</f>
        <v>18300000</v>
      </c>
      <c r="E48" s="828">
        <f>'Rate Inputs'!J14+IF($D$7,$J$6,0)</f>
        <v>7.4831000000000009E-2</v>
      </c>
      <c r="F48" s="820" t="s">
        <v>157</v>
      </c>
      <c r="G48" s="820"/>
      <c r="H48" s="1119">
        <f>ROUND(E48*D48,0)</f>
        <v>1369407</v>
      </c>
      <c r="I48" s="812"/>
      <c r="J48" s="1134">
        <f>'Billing Units'!J52</f>
        <v>18300000</v>
      </c>
      <c r="K48" s="1168">
        <f>IF(W$10,W48,K47)</f>
        <v>8.6475373120593682E-2</v>
      </c>
      <c r="L48" s="1136" t="s">
        <v>157</v>
      </c>
      <c r="M48" s="820"/>
      <c r="N48" s="1121">
        <f>ROUND(K48*J48,0)</f>
        <v>1582499</v>
      </c>
      <c r="O48" s="1119"/>
      <c r="P48" s="1122">
        <f>IF(AND(N48=0,NOT(H48=0)),0,N48-H48)</f>
        <v>213092</v>
      </c>
      <c r="Q48" s="1119"/>
      <c r="R48" s="1048">
        <f>IF(D48=0,0,ROUND((N48-H48)/H48,9))</f>
        <v>0.15560896099999999</v>
      </c>
      <c r="S48" s="692"/>
      <c r="T48" s="1123"/>
      <c r="U48" s="692"/>
      <c r="V48" s="692"/>
      <c r="W48" s="1164">
        <f>INDEX($X48:$Z48,MATCH($D$6,$X$8:$Z$8,0))</f>
        <v>0</v>
      </c>
      <c r="X48" s="1165"/>
      <c r="Y48" s="828"/>
      <c r="Z48" s="1166"/>
      <c r="AA48" s="692"/>
      <c r="AB48" s="1026"/>
      <c r="AC48" s="1109"/>
      <c r="AD48" s="1110"/>
      <c r="AE48" s="692"/>
      <c r="AF48" s="1127">
        <f>H48</f>
        <v>1369407</v>
      </c>
      <c r="AG48" s="1119"/>
      <c r="AH48" s="1111"/>
      <c r="AI48" s="834">
        <v>5.5640000000000002E-2</v>
      </c>
      <c r="AJ48" s="833"/>
      <c r="AK48" s="1119" t="s">
        <v>157</v>
      </c>
      <c r="AL48" s="1167"/>
      <c r="AM48" s="692"/>
      <c r="AN48" s="1128">
        <v>1083259</v>
      </c>
      <c r="AO48" s="1129"/>
      <c r="AP48" s="1115"/>
      <c r="AQ48" s="1116">
        <v>5.5640000000000002E-2</v>
      </c>
      <c r="AR48" s="1116"/>
      <c r="AS48" s="1129" t="s">
        <v>157</v>
      </c>
      <c r="AT48" s="1117"/>
      <c r="AU48" s="692"/>
      <c r="AV48" s="1128">
        <v>1018212</v>
      </c>
      <c r="AW48" s="1129"/>
      <c r="AX48" s="1115"/>
      <c r="AY48" s="1116">
        <v>5.5640000000000002E-2</v>
      </c>
      <c r="AZ48" s="1116"/>
      <c r="BA48" s="1129" t="s">
        <v>157</v>
      </c>
      <c r="BB48" s="1117"/>
      <c r="BC48" s="692"/>
      <c r="BD48" s="1128">
        <v>966110</v>
      </c>
      <c r="BE48" s="1129"/>
      <c r="BF48" s="1115"/>
      <c r="BG48" s="1116">
        <v>5.5640000000000002E-2</v>
      </c>
      <c r="BH48" s="1116"/>
      <c r="BI48" s="1129" t="s">
        <v>157</v>
      </c>
      <c r="BJ48" s="1117"/>
      <c r="BK48" s="1119"/>
      <c r="BL48" s="1062"/>
      <c r="BM48" s="1063"/>
      <c r="BN48" s="1064"/>
      <c r="BO48" s="692"/>
      <c r="BP48" s="692"/>
      <c r="BQ48" s="692"/>
      <c r="BR48" s="692"/>
      <c r="BS48" s="692"/>
      <c r="BT48" s="692"/>
      <c r="BU48" s="692"/>
    </row>
    <row r="49" spans="1:73" s="3" customFormat="1">
      <c r="A49" s="692"/>
      <c r="B49" s="818"/>
      <c r="C49" s="812"/>
      <c r="D49" s="1118"/>
      <c r="E49" s="828"/>
      <c r="F49" s="820"/>
      <c r="G49" s="820"/>
      <c r="H49" s="1119"/>
      <c r="I49" s="812"/>
      <c r="J49" s="1134"/>
      <c r="K49" s="828"/>
      <c r="L49" s="1136"/>
      <c r="M49" s="820"/>
      <c r="N49" s="1121"/>
      <c r="O49" s="1119"/>
      <c r="P49" s="1122"/>
      <c r="Q49" s="1119"/>
      <c r="R49" s="1048"/>
      <c r="S49" s="692"/>
      <c r="T49" s="1123"/>
      <c r="U49" s="692"/>
      <c r="V49" s="692"/>
      <c r="W49" s="1165"/>
      <c r="X49" s="1165"/>
      <c r="Y49" s="828"/>
      <c r="Z49" s="1166"/>
      <c r="AA49" s="692"/>
      <c r="AB49" s="1026"/>
      <c r="AC49" s="1109"/>
      <c r="AD49" s="1110"/>
      <c r="AE49" s="692"/>
      <c r="AF49" s="1127"/>
      <c r="AG49" s="1119"/>
      <c r="AH49" s="1111"/>
      <c r="AI49" s="834"/>
      <c r="AJ49" s="834"/>
      <c r="AK49" s="1119"/>
      <c r="AL49" s="1112"/>
      <c r="AM49" s="692"/>
      <c r="AN49" s="1128"/>
      <c r="AO49" s="1129"/>
      <c r="AP49" s="1115"/>
      <c r="AQ49" s="1116"/>
      <c r="AR49" s="1116"/>
      <c r="AS49" s="1129"/>
      <c r="AT49" s="1117"/>
      <c r="AU49" s="692"/>
      <c r="AV49" s="1128"/>
      <c r="AW49" s="1129"/>
      <c r="AX49" s="1115"/>
      <c r="AY49" s="1116"/>
      <c r="AZ49" s="1116"/>
      <c r="BA49" s="1129"/>
      <c r="BB49" s="1117"/>
      <c r="BC49" s="692"/>
      <c r="BD49" s="1128"/>
      <c r="BE49" s="1129"/>
      <c r="BF49" s="1115"/>
      <c r="BG49" s="1116"/>
      <c r="BH49" s="1116"/>
      <c r="BI49" s="1129"/>
      <c r="BJ49" s="1117"/>
      <c r="BK49" s="1119"/>
      <c r="BL49" s="1062"/>
      <c r="BM49" s="1063"/>
      <c r="BN49" s="1064"/>
      <c r="BO49" s="692"/>
      <c r="BP49" s="692"/>
      <c r="BQ49" s="692"/>
      <c r="BR49" s="692"/>
      <c r="BS49" s="692"/>
      <c r="BT49" s="692"/>
      <c r="BU49" s="692"/>
    </row>
    <row r="50" spans="1:73" s="3" customFormat="1">
      <c r="A50" s="692"/>
      <c r="B50" s="818" t="s">
        <v>472</v>
      </c>
      <c r="C50" s="812"/>
      <c r="D50" s="1118">
        <f>SUM('Billing Determinant Forecast'!G27:G29)*1000000</f>
        <v>154200000.00000003</v>
      </c>
      <c r="E50" s="828">
        <f>IF($D$7,$J$6,0)</f>
        <v>1.9191E-2</v>
      </c>
      <c r="F50" s="820" t="s">
        <v>157</v>
      </c>
      <c r="G50" s="820"/>
      <c r="H50" s="1119">
        <f>ROUND(E50*D50,0)</f>
        <v>2959252</v>
      </c>
      <c r="I50" s="812"/>
      <c r="J50" s="1134"/>
      <c r="K50" s="828"/>
      <c r="L50" s="1136"/>
      <c r="M50" s="820"/>
      <c r="N50" s="1121"/>
      <c r="O50" s="1119"/>
      <c r="P50" s="1122"/>
      <c r="Q50" s="1119"/>
      <c r="R50" s="1048"/>
      <c r="S50" s="692"/>
      <c r="T50" s="1123"/>
      <c r="U50" s="692"/>
      <c r="V50" s="692"/>
      <c r="W50" s="1165"/>
      <c r="X50" s="1165"/>
      <c r="Y50" s="828"/>
      <c r="Z50" s="1166"/>
      <c r="AA50" s="692"/>
      <c r="AB50" s="1026"/>
      <c r="AC50" s="1109"/>
      <c r="AD50" s="1110"/>
      <c r="AE50" s="692"/>
      <c r="AF50" s="1127"/>
      <c r="AG50" s="1119"/>
      <c r="AH50" s="1111"/>
      <c r="AI50" s="834"/>
      <c r="AJ50" s="834"/>
      <c r="AK50" s="1119"/>
      <c r="AL50" s="1112"/>
      <c r="AM50" s="692"/>
      <c r="AN50" s="1128"/>
      <c r="AO50" s="1129"/>
      <c r="AP50" s="1115"/>
      <c r="AQ50" s="1116"/>
      <c r="AR50" s="1116"/>
      <c r="AS50" s="1129"/>
      <c r="AT50" s="1117"/>
      <c r="AU50" s="692"/>
      <c r="AV50" s="1128"/>
      <c r="AW50" s="1129"/>
      <c r="AX50" s="1115"/>
      <c r="AY50" s="1116"/>
      <c r="AZ50" s="1116"/>
      <c r="BA50" s="1129"/>
      <c r="BB50" s="1117"/>
      <c r="BC50" s="692"/>
      <c r="BD50" s="1128"/>
      <c r="BE50" s="1129"/>
      <c r="BF50" s="1115"/>
      <c r="BG50" s="1116"/>
      <c r="BH50" s="1116"/>
      <c r="BI50" s="1129"/>
      <c r="BJ50" s="1117"/>
      <c r="BK50" s="1119"/>
      <c r="BL50" s="1062"/>
      <c r="BM50" s="1063"/>
      <c r="BN50" s="1064"/>
      <c r="BO50" s="692"/>
      <c r="BP50" s="692"/>
      <c r="BQ50" s="692"/>
      <c r="BR50" s="692"/>
      <c r="BS50" s="692"/>
      <c r="BT50" s="692"/>
      <c r="BU50" s="692"/>
    </row>
    <row r="51" spans="1:73" s="3" customFormat="1" ht="13.8" thickBot="1">
      <c r="A51" s="692"/>
      <c r="B51" s="821" t="s">
        <v>473</v>
      </c>
      <c r="C51" s="822"/>
      <c r="D51" s="1139">
        <f>SUM(D46:D50)</f>
        <v>262000000.00000003</v>
      </c>
      <c r="E51" s="825"/>
      <c r="F51" s="825"/>
      <c r="G51" s="825"/>
      <c r="H51" s="1140">
        <f>SUM(H41:H43,H46:H50)</f>
        <v>32930954</v>
      </c>
      <c r="I51" s="822"/>
      <c r="J51" s="1141">
        <f>SUM(J46:J48)</f>
        <v>107800000</v>
      </c>
      <c r="K51" s="824"/>
      <c r="L51" s="1142"/>
      <c r="M51" s="825"/>
      <c r="N51" s="1143">
        <f>SUM(N41:N43,N46:N48)</f>
        <v>31226965</v>
      </c>
      <c r="O51" s="1140"/>
      <c r="P51" s="1144">
        <f>IF(AND(N51=0,NOT(H51=0)),0,N51-H51)</f>
        <v>-1703989</v>
      </c>
      <c r="Q51" s="1140"/>
      <c r="R51" s="1145">
        <f>IF(D51=0,0,ROUND((N51-H51)/H51,9))</f>
        <v>-5.1744295000000003E-2</v>
      </c>
      <c r="S51" s="692"/>
      <c r="T51" s="1087">
        <f>INDEX('Revenue Summary'!$R$10:$R$38,MATCH(AB51,'Revenue Summary'!$B$10:$B$38,0))</f>
        <v>31226965.222399998</v>
      </c>
      <c r="U51" s="692"/>
      <c r="V51" s="692"/>
      <c r="W51" s="1146"/>
      <c r="X51" s="1146"/>
      <c r="Y51" s="824"/>
      <c r="Z51" s="1147"/>
      <c r="AA51" s="692"/>
      <c r="AB51" s="1026" t="str" cm="1">
        <f t="array" ref="AB51">INDEX(_xlfn.TEXTSPLIT(B51," "),2)</f>
        <v>RFR</v>
      </c>
      <c r="AC51" s="1109"/>
      <c r="AD51" s="1110"/>
      <c r="AE51" s="692"/>
      <c r="AF51" s="1148">
        <f>H51</f>
        <v>32930954</v>
      </c>
      <c r="AG51" s="1140">
        <f>T51</f>
        <v>31226965.222399998</v>
      </c>
      <c r="AH51" s="1149">
        <f>AG51/AF51</f>
        <v>0.94825571170516343</v>
      </c>
      <c r="AI51" s="1150"/>
      <c r="AJ51" s="1150"/>
      <c r="AK51" s="1140"/>
      <c r="AL51" s="1169">
        <f>T51</f>
        <v>31226965.222399998</v>
      </c>
      <c r="AM51" s="692"/>
      <c r="AN51" s="1151">
        <v>28236823</v>
      </c>
      <c r="AO51" s="1154">
        <v>31692528.290170506</v>
      </c>
      <c r="AP51" s="1152">
        <v>1.1223829355792083</v>
      </c>
      <c r="AQ51" s="1153"/>
      <c r="AR51" s="1153"/>
      <c r="AS51" s="1154"/>
      <c r="AT51" s="1170">
        <v>31692528.290170506</v>
      </c>
      <c r="AU51" s="692"/>
      <c r="AV51" s="1151">
        <v>27902912</v>
      </c>
      <c r="AW51" s="1154">
        <v>31226965.222399998</v>
      </c>
      <c r="AX51" s="1152">
        <v>1.1191292587096284</v>
      </c>
      <c r="AY51" s="1153"/>
      <c r="AZ51" s="1153"/>
      <c r="BA51" s="1154"/>
      <c r="BB51" s="1170">
        <v>31226965.222399998</v>
      </c>
      <c r="BC51" s="692"/>
      <c r="BD51" s="1151">
        <v>27618298</v>
      </c>
      <c r="BE51" s="1154">
        <v>28344516.227064788</v>
      </c>
      <c r="BF51" s="1152">
        <v>1.0262948218990464</v>
      </c>
      <c r="BG51" s="1153"/>
      <c r="BH51" s="1153"/>
      <c r="BI51" s="1154"/>
      <c r="BJ51" s="1170">
        <v>28344516.227064788</v>
      </c>
      <c r="BK51" s="1043"/>
      <c r="BL51" s="1062"/>
      <c r="BM51" s="1063"/>
      <c r="BN51" s="1064"/>
      <c r="BO51" s="692"/>
      <c r="BP51" s="692"/>
      <c r="BQ51" s="692"/>
      <c r="BR51" s="692"/>
      <c r="BS51" s="692"/>
      <c r="BT51" s="692"/>
      <c r="BU51" s="692"/>
    </row>
    <row r="52" spans="1:73" ht="13.8" thickTop="1">
      <c r="B52" s="829"/>
      <c r="C52" s="795"/>
      <c r="D52" s="1042"/>
      <c r="E52" s="806"/>
      <c r="F52" s="806"/>
      <c r="G52" s="806"/>
      <c r="H52" s="1043"/>
      <c r="I52" s="795"/>
      <c r="J52" s="1073"/>
      <c r="K52" s="802"/>
      <c r="L52" s="1072"/>
      <c r="M52" s="806"/>
      <c r="N52" s="1046"/>
      <c r="O52" s="1043"/>
      <c r="P52" s="1047"/>
      <c r="Q52" s="1043"/>
      <c r="R52" s="1074"/>
      <c r="T52" s="1049"/>
      <c r="W52" s="1067"/>
      <c r="X52" s="1067"/>
      <c r="Y52" s="802"/>
      <c r="Z52" s="1068"/>
      <c r="AB52" s="1026"/>
      <c r="AD52" s="1027"/>
      <c r="AF52" s="1054"/>
      <c r="AG52" s="1043"/>
      <c r="AH52" s="1055"/>
      <c r="AI52" s="832"/>
      <c r="AJ52" s="832"/>
      <c r="AK52" s="1043"/>
      <c r="AL52" s="1056"/>
      <c r="AN52" s="1057"/>
      <c r="AO52" s="1058"/>
      <c r="AP52" s="1059"/>
      <c r="AQ52" s="1060"/>
      <c r="AR52" s="1060"/>
      <c r="AS52" s="1058"/>
      <c r="AT52" s="1061"/>
      <c r="AV52" s="1057"/>
      <c r="AW52" s="1058"/>
      <c r="AX52" s="1059"/>
      <c r="AY52" s="1060"/>
      <c r="AZ52" s="1060"/>
      <c r="BA52" s="1058"/>
      <c r="BB52" s="1061"/>
      <c r="BD52" s="1057"/>
      <c r="BE52" s="1058"/>
      <c r="BF52" s="1059"/>
      <c r="BG52" s="1060"/>
      <c r="BH52" s="1060"/>
      <c r="BI52" s="1058"/>
      <c r="BJ52" s="1061"/>
      <c r="BK52" s="1043"/>
      <c r="BL52" s="1062"/>
      <c r="BM52" s="1063"/>
      <c r="BN52" s="1064"/>
    </row>
    <row r="53" spans="1:73">
      <c r="B53" s="797" t="s">
        <v>392</v>
      </c>
      <c r="C53" s="797"/>
      <c r="D53" s="1036"/>
      <c r="E53" s="795"/>
      <c r="F53" s="795"/>
      <c r="G53" s="795"/>
      <c r="H53" s="795"/>
      <c r="I53" s="795"/>
      <c r="J53" s="1040"/>
      <c r="K53" s="795"/>
      <c r="L53" s="1037"/>
      <c r="M53" s="795"/>
      <c r="N53" s="1099"/>
      <c r="O53" s="795"/>
      <c r="P53" s="1100"/>
      <c r="Q53" s="795"/>
      <c r="R53" s="1101"/>
      <c r="T53" s="1041"/>
      <c r="W53" s="1036"/>
      <c r="X53" s="1036"/>
      <c r="Y53" s="795"/>
      <c r="Z53" s="1037"/>
      <c r="AB53" s="1026"/>
      <c r="AD53" s="1027"/>
      <c r="AF53" s="1036"/>
      <c r="AG53" s="795"/>
      <c r="AH53" s="1055"/>
      <c r="AI53" s="832"/>
      <c r="AJ53" s="832"/>
      <c r="AK53" s="795"/>
      <c r="AL53" s="1056"/>
      <c r="AN53" s="1033"/>
      <c r="AO53" s="1034"/>
      <c r="AP53" s="1059"/>
      <c r="AQ53" s="1060"/>
      <c r="AR53" s="1060"/>
      <c r="AS53" s="1034"/>
      <c r="AT53" s="1061"/>
      <c r="AV53" s="1033"/>
      <c r="AW53" s="1034"/>
      <c r="AX53" s="1059"/>
      <c r="AY53" s="1060"/>
      <c r="AZ53" s="1060"/>
      <c r="BA53" s="1034"/>
      <c r="BB53" s="1061"/>
      <c r="BD53" s="1033"/>
      <c r="BE53" s="1034"/>
      <c r="BF53" s="1059"/>
      <c r="BG53" s="1060"/>
      <c r="BH53" s="1060"/>
      <c r="BI53" s="1034"/>
      <c r="BJ53" s="1061"/>
      <c r="BK53" s="795"/>
      <c r="BL53" s="1062"/>
      <c r="BM53" s="1063"/>
      <c r="BN53" s="1064"/>
    </row>
    <row r="54" spans="1:73">
      <c r="B54" s="795"/>
      <c r="C54" s="795"/>
      <c r="D54" s="1036"/>
      <c r="E54" s="795"/>
      <c r="F54" s="795"/>
      <c r="G54" s="795"/>
      <c r="H54" s="795"/>
      <c r="I54" s="795"/>
      <c r="J54" s="1040"/>
      <c r="K54" s="795"/>
      <c r="L54" s="1037"/>
      <c r="M54" s="795"/>
      <c r="N54" s="1099"/>
      <c r="O54" s="795"/>
      <c r="P54" s="1100"/>
      <c r="Q54" s="795"/>
      <c r="R54" s="1101"/>
      <c r="T54" s="1041"/>
      <c r="W54" s="1036"/>
      <c r="X54" s="1036"/>
      <c r="Y54" s="795"/>
      <c r="Z54" s="1037"/>
      <c r="AB54" s="1026"/>
      <c r="AD54" s="1027"/>
      <c r="AF54" s="1036"/>
      <c r="AG54" s="795"/>
      <c r="AH54" s="1055"/>
      <c r="AI54" s="832"/>
      <c r="AJ54" s="832"/>
      <c r="AK54" s="795"/>
      <c r="AL54" s="1056"/>
      <c r="AN54" s="1033"/>
      <c r="AO54" s="1034"/>
      <c r="AP54" s="1059"/>
      <c r="AQ54" s="1060"/>
      <c r="AR54" s="1060"/>
      <c r="AS54" s="1034"/>
      <c r="AT54" s="1061"/>
      <c r="AV54" s="1033"/>
      <c r="AW54" s="1034"/>
      <c r="AX54" s="1059"/>
      <c r="AY54" s="1060"/>
      <c r="AZ54" s="1060"/>
      <c r="BA54" s="1034"/>
      <c r="BB54" s="1061"/>
      <c r="BD54" s="1033"/>
      <c r="BE54" s="1034"/>
      <c r="BF54" s="1059"/>
      <c r="BG54" s="1060"/>
      <c r="BH54" s="1060"/>
      <c r="BI54" s="1034"/>
      <c r="BJ54" s="1061"/>
      <c r="BK54" s="795"/>
      <c r="BL54" s="1062"/>
      <c r="BM54" s="1063"/>
      <c r="BN54" s="1064"/>
    </row>
    <row r="55" spans="1:73">
      <c r="A55" s="773" t="s">
        <v>10</v>
      </c>
      <c r="B55" s="795" t="s">
        <v>461</v>
      </c>
      <c r="C55" s="795"/>
      <c r="D55" s="1042">
        <f>'Billing Units'!D16</f>
        <v>113488</v>
      </c>
      <c r="E55" s="799">
        <f>'Rate Inputs'!D16</f>
        <v>5</v>
      </c>
      <c r="F55" s="795" t="s">
        <v>160</v>
      </c>
      <c r="G55" s="832"/>
      <c r="H55" s="1043">
        <f>ROUND(E55*D55*12,0)</f>
        <v>6809280</v>
      </c>
      <c r="I55" s="795"/>
      <c r="J55" s="1044">
        <f>'Billing Units'!D54</f>
        <v>113488</v>
      </c>
      <c r="K55" s="1045">
        <f>W55</f>
        <v>25</v>
      </c>
      <c r="L55" s="1037" t="str">
        <f>F55</f>
        <v>per month</v>
      </c>
      <c r="M55" s="832"/>
      <c r="N55" s="1046">
        <f>ROUND(K55*J55*12,0)</f>
        <v>34046400</v>
      </c>
      <c r="O55" s="1043"/>
      <c r="P55" s="1047">
        <f>IF(AND(N55=0,NOT(H55=0)),0,N55-H55)</f>
        <v>27237120</v>
      </c>
      <c r="Q55" s="1043"/>
      <c r="R55" s="1074">
        <f>IF(D55=0,0,ROUND((N55-H55)/H55,9))</f>
        <v>4</v>
      </c>
      <c r="T55" s="1049"/>
      <c r="W55" s="1050">
        <f>INDEX($X55:$Z55,MATCH($D$6,$X$8:$Z$8,0))</f>
        <v>25</v>
      </c>
      <c r="X55" s="1051">
        <f>E55</f>
        <v>5</v>
      </c>
      <c r="Y55" s="1052">
        <v>25</v>
      </c>
      <c r="Z55" s="1053">
        <v>35</v>
      </c>
      <c r="AB55" s="1026"/>
      <c r="AD55" s="1027"/>
      <c r="AF55" s="1054">
        <f>H55</f>
        <v>6809280</v>
      </c>
      <c r="AG55" s="1043"/>
      <c r="AH55" s="1055"/>
      <c r="AI55" s="832">
        <v>5</v>
      </c>
      <c r="AJ55" s="834">
        <f>AI55*$AH$59</f>
        <v>4.7252702040429426</v>
      </c>
      <c r="AK55" s="1043" t="s">
        <v>160</v>
      </c>
      <c r="AL55" s="1112">
        <f>AJ55*J55*12</f>
        <v>6435137.5789971063</v>
      </c>
      <c r="AN55" s="1057">
        <v>6807445</v>
      </c>
      <c r="AO55" s="1058"/>
      <c r="AP55" s="1059"/>
      <c r="AQ55" s="1060">
        <v>5</v>
      </c>
      <c r="AR55" s="1116">
        <v>7.081833269737821</v>
      </c>
      <c r="AS55" s="1058" t="s">
        <v>160</v>
      </c>
      <c r="AT55" s="1117">
        <v>9641838.0965820756</v>
      </c>
      <c r="AV55" s="1057">
        <v>6809280</v>
      </c>
      <c r="AW55" s="1058"/>
      <c r="AX55" s="1059"/>
      <c r="AY55" s="1060">
        <v>5</v>
      </c>
      <c r="AZ55" s="1116">
        <v>6.5673092981931811</v>
      </c>
      <c r="BA55" s="1058" t="s">
        <v>160</v>
      </c>
      <c r="BB55" s="1117">
        <v>8943729.5716001727</v>
      </c>
      <c r="BD55" s="1057">
        <v>6810120</v>
      </c>
      <c r="BE55" s="1058"/>
      <c r="BF55" s="1059"/>
      <c r="BG55" s="1060">
        <v>5</v>
      </c>
      <c r="BH55" s="1116">
        <v>6.1819239389652267</v>
      </c>
      <c r="BI55" s="1058" t="s">
        <v>160</v>
      </c>
      <c r="BJ55" s="1117">
        <v>8419928.7710451744</v>
      </c>
      <c r="BK55" s="1043"/>
      <c r="BL55" s="1062">
        <f>IF(AR55&lt;20,ROUND(AR55,0),MROUND(AR55,5))</f>
        <v>7</v>
      </c>
      <c r="BM55" s="1063">
        <f>IF(AZ55&lt;20,ROUND(AZ55,0),MROUND(AZ55,5))</f>
        <v>7</v>
      </c>
      <c r="BN55" s="1064">
        <f>IF(BH55&lt;20,ROUND(BH55,0),MROUND(BH55,5))</f>
        <v>6</v>
      </c>
    </row>
    <row r="56" spans="1:73">
      <c r="B56" s="795"/>
      <c r="C56" s="795"/>
      <c r="D56" s="1065"/>
      <c r="E56" s="802"/>
      <c r="F56" s="795"/>
      <c r="G56" s="795"/>
      <c r="H56" s="795"/>
      <c r="I56" s="795"/>
      <c r="J56" s="1066"/>
      <c r="K56" s="802"/>
      <c r="L56" s="1037"/>
      <c r="M56" s="795"/>
      <c r="N56" s="1099"/>
      <c r="O56" s="795"/>
      <c r="P56" s="1100"/>
      <c r="Q56" s="795"/>
      <c r="R56" s="1101"/>
      <c r="T56" s="1041"/>
      <c r="W56" s="1067"/>
      <c r="X56" s="1067"/>
      <c r="Y56" s="802"/>
      <c r="Z56" s="1068"/>
      <c r="AB56" s="1026"/>
      <c r="AD56" s="1027"/>
      <c r="AF56" s="1036"/>
      <c r="AG56" s="795"/>
      <c r="AH56" s="1055"/>
      <c r="AI56" s="832"/>
      <c r="AJ56" s="832"/>
      <c r="AK56" s="795"/>
      <c r="AL56" s="1056"/>
      <c r="AN56" s="1033"/>
      <c r="AO56" s="1034"/>
      <c r="AP56" s="1059"/>
      <c r="AQ56" s="1060"/>
      <c r="AR56" s="1060"/>
      <c r="AS56" s="1034"/>
      <c r="AT56" s="1061"/>
      <c r="AV56" s="1033"/>
      <c r="AW56" s="1034"/>
      <c r="AX56" s="1059"/>
      <c r="AY56" s="1060"/>
      <c r="AZ56" s="1060"/>
      <c r="BA56" s="1034"/>
      <c r="BB56" s="1061"/>
      <c r="BD56" s="1033"/>
      <c r="BE56" s="1034"/>
      <c r="BF56" s="1059"/>
      <c r="BG56" s="1060"/>
      <c r="BH56" s="1060"/>
      <c r="BI56" s="1034"/>
      <c r="BJ56" s="1061"/>
      <c r="BK56" s="795"/>
      <c r="BL56" s="1062"/>
      <c r="BM56" s="1063"/>
      <c r="BN56" s="1064"/>
    </row>
    <row r="57" spans="1:73">
      <c r="B57" s="795" t="s">
        <v>462</v>
      </c>
      <c r="C57" s="795"/>
      <c r="D57" s="1042"/>
      <c r="E57" s="802"/>
      <c r="F57" s="795"/>
      <c r="G57" s="795"/>
      <c r="H57" s="795"/>
      <c r="I57" s="795"/>
      <c r="J57" s="1066"/>
      <c r="K57" s="802"/>
      <c r="L57" s="1037"/>
      <c r="M57" s="795"/>
      <c r="N57" s="1099"/>
      <c r="O57" s="795"/>
      <c r="P57" s="1100"/>
      <c r="Q57" s="795"/>
      <c r="R57" s="1101"/>
      <c r="T57" s="1041"/>
      <c r="W57" s="1067"/>
      <c r="X57" s="1067"/>
      <c r="Y57" s="802"/>
      <c r="Z57" s="1068"/>
      <c r="AB57" s="1026"/>
      <c r="AD57" s="1027"/>
      <c r="AF57" s="1036"/>
      <c r="AG57" s="795"/>
      <c r="AH57" s="1055"/>
      <c r="AI57" s="832"/>
      <c r="AJ57" s="832"/>
      <c r="AK57" s="795"/>
      <c r="AL57" s="1056"/>
      <c r="AN57" s="1033"/>
      <c r="AO57" s="1034"/>
      <c r="AP57" s="1059"/>
      <c r="AQ57" s="1060"/>
      <c r="AR57" s="1060"/>
      <c r="AS57" s="1034"/>
      <c r="AT57" s="1061"/>
      <c r="AV57" s="1033"/>
      <c r="AW57" s="1034"/>
      <c r="AX57" s="1059"/>
      <c r="AY57" s="1060"/>
      <c r="AZ57" s="1060"/>
      <c r="BA57" s="1034"/>
      <c r="BB57" s="1061"/>
      <c r="BD57" s="1033"/>
      <c r="BE57" s="1034"/>
      <c r="BF57" s="1059"/>
      <c r="BG57" s="1060"/>
      <c r="BH57" s="1060"/>
      <c r="BI57" s="1034"/>
      <c r="BJ57" s="1061"/>
      <c r="BK57" s="795"/>
      <c r="BL57" s="1062"/>
      <c r="BM57" s="1063"/>
      <c r="BN57" s="1064"/>
    </row>
    <row r="58" spans="1:73">
      <c r="A58" s="773" t="s">
        <v>10</v>
      </c>
      <c r="B58" s="803" t="s">
        <v>474</v>
      </c>
      <c r="C58" s="795"/>
      <c r="D58" s="1042">
        <f>'Billing Units'!H16</f>
        <v>2239100000</v>
      </c>
      <c r="E58" s="805">
        <f>'Rate Inputs'!H16+IF($D$7,$J$7,0)</f>
        <v>0.118612</v>
      </c>
      <c r="F58" s="806" t="s">
        <v>157</v>
      </c>
      <c r="G58" s="795"/>
      <c r="H58" s="1043">
        <f>ROUND(E58*D58,0)</f>
        <v>265584129</v>
      </c>
      <c r="I58" s="795"/>
      <c r="J58" s="1073">
        <f>'Billing Units'!H54</f>
        <v>2239100000</v>
      </c>
      <c r="K58" s="1135">
        <f>IF(W$10,W58,(T59-N55)/J58)</f>
        <v>9.9763338781240926E-2</v>
      </c>
      <c r="L58" s="1072" t="s">
        <v>157</v>
      </c>
      <c r="M58" s="795"/>
      <c r="N58" s="1046">
        <f>ROUND(K58*J58,0)</f>
        <v>223380092</v>
      </c>
      <c r="O58" s="795"/>
      <c r="P58" s="1047">
        <f>IF(AND(N58=0,NOT(H58=0)),0,N58-H58)</f>
        <v>-42204037</v>
      </c>
      <c r="Q58" s="1043"/>
      <c r="R58" s="1074">
        <f>IF(D58=0,0,ROUND((N58-H58)/H58,9))</f>
        <v>-0.15891023700000001</v>
      </c>
      <c r="T58" s="1049"/>
      <c r="W58" s="1075">
        <f>INDEX($X58:$Z58,MATCH($D$6,$X$8:$Z$8,0))</f>
        <v>0</v>
      </c>
      <c r="X58" s="1171"/>
      <c r="Y58" s="836"/>
      <c r="Z58" s="1172"/>
      <c r="AB58" s="1026"/>
      <c r="AD58" s="1027"/>
      <c r="AF58" s="1054">
        <f>H58</f>
        <v>265584129</v>
      </c>
      <c r="AG58" s="1043"/>
      <c r="AH58" s="1055"/>
      <c r="AI58" s="832">
        <v>8.4489999999999996E-2</v>
      </c>
      <c r="AJ58" s="832">
        <f>AI58*$AH$59</f>
        <v>7.9847615907917641E-2</v>
      </c>
      <c r="AK58" s="1043" t="s">
        <v>157</v>
      </c>
      <c r="AL58" s="1056">
        <f>AJ58*J58</f>
        <v>178786796.77941838</v>
      </c>
      <c r="AN58" s="1057">
        <v>189325277</v>
      </c>
      <c r="AO58" s="1058"/>
      <c r="AP58" s="1059"/>
      <c r="AQ58" s="1060">
        <v>8.4489999999999996E-2</v>
      </c>
      <c r="AR58" s="1060">
        <v>0.11966881859202969</v>
      </c>
      <c r="AS58" s="1058" t="s">
        <v>157</v>
      </c>
      <c r="AT58" s="1061">
        <v>268154009.2877126</v>
      </c>
      <c r="AV58" s="1057">
        <v>189181559</v>
      </c>
      <c r="AW58" s="1058"/>
      <c r="AX58" s="1059"/>
      <c r="AY58" s="1060">
        <v>8.4489999999999996E-2</v>
      </c>
      <c r="AZ58" s="1060">
        <v>0.11097439252086837</v>
      </c>
      <c r="BA58" s="1058" t="s">
        <v>157</v>
      </c>
      <c r="BB58" s="1061">
        <v>248482762.29347637</v>
      </c>
      <c r="BD58" s="1057">
        <v>189943135</v>
      </c>
      <c r="BE58" s="1058"/>
      <c r="BF58" s="1059"/>
      <c r="BG58" s="1060">
        <v>8.4489999999999996E-2</v>
      </c>
      <c r="BH58" s="1060">
        <v>0.1044621507206344</v>
      </c>
      <c r="BI58" s="1058" t="s">
        <v>157</v>
      </c>
      <c r="BJ58" s="1061">
        <v>234842802.20849025</v>
      </c>
      <c r="BK58" s="1043"/>
      <c r="BL58" s="1062"/>
      <c r="BM58" s="1063"/>
      <c r="BN58" s="1064"/>
    </row>
    <row r="59" spans="1:73" ht="13.8" thickBot="1">
      <c r="B59" s="807" t="s">
        <v>475</v>
      </c>
      <c r="C59" s="808"/>
      <c r="D59" s="1080">
        <f>D58</f>
        <v>2239100000</v>
      </c>
      <c r="E59" s="811"/>
      <c r="F59" s="811"/>
      <c r="G59" s="811"/>
      <c r="H59" s="1081">
        <f>SUM(H55,H58)</f>
        <v>272393409</v>
      </c>
      <c r="I59" s="808"/>
      <c r="J59" s="1082">
        <f>J58</f>
        <v>2239100000</v>
      </c>
      <c r="K59" s="810"/>
      <c r="L59" s="1083"/>
      <c r="M59" s="811"/>
      <c r="N59" s="1084">
        <f>SUM(N55,N58)</f>
        <v>257426492</v>
      </c>
      <c r="O59" s="1081"/>
      <c r="P59" s="1085">
        <f>IF(AND(N59=0,NOT(H59=0)),0,N59-H59)</f>
        <v>-14966917</v>
      </c>
      <c r="Q59" s="1081"/>
      <c r="R59" s="1086">
        <f>IF(D59=0,0,ROUND((N59-H59)/H59,9))</f>
        <v>-5.4945959000000003E-2</v>
      </c>
      <c r="T59" s="1087">
        <f>INDEX('Revenue Summary'!$R$10:$R$38,MATCH(AB59,'Revenue Summary'!$B$10:$B$38,0))</f>
        <v>257426491.86507657</v>
      </c>
      <c r="W59" s="1088"/>
      <c r="X59" s="1088"/>
      <c r="Y59" s="810"/>
      <c r="Z59" s="1089"/>
      <c r="AB59" s="1026" t="str" cm="1">
        <f t="array" ref="AB59">INDEX(_xlfn.TEXTSPLIT(B59," "),2)</f>
        <v>GSS</v>
      </c>
      <c r="AD59" s="1027"/>
      <c r="AF59" s="1090">
        <f>H59</f>
        <v>272393409</v>
      </c>
      <c r="AG59" s="1081">
        <f>T59</f>
        <v>257426491.86507657</v>
      </c>
      <c r="AH59" s="1149">
        <f>AG59/AF59</f>
        <v>0.94505404080858857</v>
      </c>
      <c r="AI59" s="1092"/>
      <c r="AJ59" s="1092"/>
      <c r="AK59" s="1081"/>
      <c r="AL59" s="1093">
        <f>SUM(AL54:AL58)</f>
        <v>185221934.35841548</v>
      </c>
      <c r="AN59" s="1094">
        <v>196132722</v>
      </c>
      <c r="AO59" s="1095">
        <v>277795847.18876779</v>
      </c>
      <c r="AP59" s="1152">
        <v>1.4163666539475641</v>
      </c>
      <c r="AQ59" s="1097"/>
      <c r="AR59" s="1097"/>
      <c r="AS59" s="1095"/>
      <c r="AT59" s="1098">
        <v>277795847.38429469</v>
      </c>
      <c r="AV59" s="1094">
        <v>195990839</v>
      </c>
      <c r="AW59" s="1095">
        <v>257426491.86507657</v>
      </c>
      <c r="AX59" s="1152">
        <v>1.3134618596386363</v>
      </c>
      <c r="AY59" s="1097"/>
      <c r="AZ59" s="1097"/>
      <c r="BA59" s="1095"/>
      <c r="BB59" s="1098">
        <v>257426491.86507654</v>
      </c>
      <c r="BD59" s="1094">
        <v>196753255</v>
      </c>
      <c r="BE59" s="1095">
        <v>243262731.43076596</v>
      </c>
      <c r="BF59" s="1152">
        <v>1.2363847877930454</v>
      </c>
      <c r="BG59" s="1097"/>
      <c r="BH59" s="1097"/>
      <c r="BI59" s="1095"/>
      <c r="BJ59" s="1098">
        <v>243262730.97953543</v>
      </c>
      <c r="BK59" s="1043"/>
      <c r="BL59" s="1062"/>
      <c r="BM59" s="1063"/>
      <c r="BN59" s="1064"/>
    </row>
    <row r="60" spans="1:73" ht="13.8" thickTop="1">
      <c r="B60" s="829"/>
      <c r="C60" s="795"/>
      <c r="D60" s="1042"/>
      <c r="E60" s="806"/>
      <c r="F60" s="806"/>
      <c r="G60" s="806"/>
      <c r="H60" s="1043"/>
      <c r="I60" s="795"/>
      <c r="J60" s="1073"/>
      <c r="K60" s="802"/>
      <c r="L60" s="1072"/>
      <c r="M60" s="806"/>
      <c r="N60" s="1046"/>
      <c r="O60" s="1043"/>
      <c r="P60" s="1047"/>
      <c r="Q60" s="1043"/>
      <c r="R60" s="1074"/>
      <c r="T60" s="1049"/>
      <c r="W60" s="1067"/>
      <c r="X60" s="1067"/>
      <c r="Y60" s="802"/>
      <c r="Z60" s="1068"/>
      <c r="AB60" s="1026"/>
      <c r="AD60" s="1027"/>
      <c r="AF60" s="1054"/>
      <c r="AG60" s="1043"/>
      <c r="AH60" s="1055"/>
      <c r="AI60" s="832"/>
      <c r="AJ60" s="832"/>
      <c r="AK60" s="1043"/>
      <c r="AL60" s="1056"/>
      <c r="AN60" s="1057"/>
      <c r="AO60" s="1058"/>
      <c r="AP60" s="1059"/>
      <c r="AQ60" s="1060"/>
      <c r="AR60" s="1060"/>
      <c r="AS60" s="1058"/>
      <c r="AT60" s="1061"/>
      <c r="AV60" s="1057"/>
      <c r="AW60" s="1058"/>
      <c r="AX60" s="1059"/>
      <c r="AY60" s="1060"/>
      <c r="AZ60" s="1060"/>
      <c r="BA60" s="1058"/>
      <c r="BB60" s="1061"/>
      <c r="BD60" s="1057"/>
      <c r="BE60" s="1058"/>
      <c r="BF60" s="1059"/>
      <c r="BG60" s="1060"/>
      <c r="BH60" s="1060"/>
      <c r="BI60" s="1058"/>
      <c r="BJ60" s="1061"/>
      <c r="BK60" s="1043"/>
      <c r="BL60" s="1062"/>
      <c r="BM60" s="1063"/>
      <c r="BN60" s="1064"/>
    </row>
    <row r="61" spans="1:73">
      <c r="B61" s="797" t="s">
        <v>393</v>
      </c>
      <c r="C61" s="797"/>
      <c r="D61" s="1036"/>
      <c r="E61" s="795"/>
      <c r="F61" s="795"/>
      <c r="G61" s="795"/>
      <c r="H61" s="795"/>
      <c r="I61" s="795"/>
      <c r="J61" s="1040"/>
      <c r="K61" s="795"/>
      <c r="L61" s="1037"/>
      <c r="M61" s="795"/>
      <c r="N61" s="1099"/>
      <c r="O61" s="795"/>
      <c r="P61" s="1100"/>
      <c r="Q61" s="795"/>
      <c r="R61" s="1101"/>
      <c r="T61" s="1041"/>
      <c r="W61" s="1036"/>
      <c r="X61" s="1036"/>
      <c r="Y61" s="795"/>
      <c r="Z61" s="1037"/>
      <c r="AB61" s="1026"/>
      <c r="AD61" s="1027"/>
      <c r="AF61" s="1036"/>
      <c r="AG61" s="795"/>
      <c r="AH61" s="1055"/>
      <c r="AI61" s="832"/>
      <c r="AJ61" s="832"/>
      <c r="AK61" s="795"/>
      <c r="AL61" s="1056"/>
      <c r="AN61" s="1033"/>
      <c r="AO61" s="1034"/>
      <c r="AP61" s="1059"/>
      <c r="AQ61" s="1060"/>
      <c r="AR61" s="1060"/>
      <c r="AS61" s="1034"/>
      <c r="AT61" s="1061"/>
      <c r="AV61" s="1033"/>
      <c r="AW61" s="1034"/>
      <c r="AX61" s="1059"/>
      <c r="AY61" s="1060"/>
      <c r="AZ61" s="1060"/>
      <c r="BA61" s="1034"/>
      <c r="BB61" s="1061"/>
      <c r="BD61" s="1033"/>
      <c r="BE61" s="1034"/>
      <c r="BF61" s="1059"/>
      <c r="BG61" s="1060"/>
      <c r="BH61" s="1060"/>
      <c r="BI61" s="1034"/>
      <c r="BJ61" s="1061"/>
      <c r="BK61" s="795"/>
      <c r="BL61" s="1062"/>
      <c r="BM61" s="1063"/>
      <c r="BN61" s="1064"/>
    </row>
    <row r="62" spans="1:73">
      <c r="B62" s="795"/>
      <c r="C62" s="795"/>
      <c r="D62" s="1036"/>
      <c r="E62" s="795"/>
      <c r="F62" s="795"/>
      <c r="G62" s="795"/>
      <c r="H62" s="795"/>
      <c r="I62" s="795"/>
      <c r="J62" s="1040"/>
      <c r="K62" s="795"/>
      <c r="L62" s="1037"/>
      <c r="M62" s="795"/>
      <c r="N62" s="1099"/>
      <c r="O62" s="795"/>
      <c r="P62" s="1100"/>
      <c r="Q62" s="795"/>
      <c r="R62" s="1101"/>
      <c r="T62" s="1041"/>
      <c r="W62" s="1036"/>
      <c r="X62" s="1036"/>
      <c r="Y62" s="795"/>
      <c r="Z62" s="1037"/>
      <c r="AB62" s="1026"/>
      <c r="AD62" s="1027"/>
      <c r="AF62" s="1036"/>
      <c r="AG62" s="795"/>
      <c r="AH62" s="1055"/>
      <c r="AI62" s="832"/>
      <c r="AJ62" s="832"/>
      <c r="AK62" s="795"/>
      <c r="AL62" s="1056"/>
      <c r="AN62" s="1033"/>
      <c r="AO62" s="1034"/>
      <c r="AP62" s="1059"/>
      <c r="AQ62" s="1060"/>
      <c r="AR62" s="1060"/>
      <c r="AS62" s="1034"/>
      <c r="AT62" s="1061"/>
      <c r="AV62" s="1033"/>
      <c r="AW62" s="1034"/>
      <c r="AX62" s="1059"/>
      <c r="AY62" s="1060"/>
      <c r="AZ62" s="1060"/>
      <c r="BA62" s="1034"/>
      <c r="BB62" s="1061"/>
      <c r="BD62" s="1033"/>
      <c r="BE62" s="1034"/>
      <c r="BF62" s="1059"/>
      <c r="BG62" s="1060"/>
      <c r="BH62" s="1060"/>
      <c r="BI62" s="1034"/>
      <c r="BJ62" s="1061"/>
      <c r="BK62" s="795"/>
      <c r="BL62" s="1062"/>
      <c r="BM62" s="1063"/>
      <c r="BN62" s="1064"/>
    </row>
    <row r="63" spans="1:73">
      <c r="B63" s="795" t="s">
        <v>461</v>
      </c>
      <c r="C63" s="795"/>
      <c r="D63" s="1042">
        <f>'Billing Units'!D18</f>
        <v>10820</v>
      </c>
      <c r="E63" s="799">
        <f>'Rate Inputs'!D18</f>
        <v>200</v>
      </c>
      <c r="F63" s="795" t="s">
        <v>160</v>
      </c>
      <c r="G63" s="832"/>
      <c r="H63" s="1043">
        <f>ROUND(E63*D63*12,0)</f>
        <v>25968000</v>
      </c>
      <c r="I63" s="795"/>
      <c r="J63" s="1044">
        <f>'Billing Units'!D56</f>
        <v>10820</v>
      </c>
      <c r="K63" s="1045">
        <f>W63</f>
        <v>335</v>
      </c>
      <c r="L63" s="1037" t="str">
        <f>F63</f>
        <v>per month</v>
      </c>
      <c r="M63" s="832"/>
      <c r="N63" s="1046">
        <f>ROUND(K63*J63*12,0)</f>
        <v>43496400</v>
      </c>
      <c r="O63" s="1043"/>
      <c r="P63" s="1047">
        <f>IF(AND(N63=0,NOT(H63=0)),0,N63-H63)</f>
        <v>17528400</v>
      </c>
      <c r="Q63" s="1043"/>
      <c r="R63" s="1074">
        <f>IF(D63=0,0,ROUND((N63-H63)/H63,9))</f>
        <v>0.67500000000000004</v>
      </c>
      <c r="T63" s="1049"/>
      <c r="W63" s="1050">
        <f>INDEX($X63:$Z63,MATCH($D$6,$X$8:$Z$8,0))</f>
        <v>335</v>
      </c>
      <c r="X63" s="1051">
        <f>E63</f>
        <v>200</v>
      </c>
      <c r="Y63" s="1125">
        <f>Z63</f>
        <v>335</v>
      </c>
      <c r="Z63" s="1126">
        <f>BN63</f>
        <v>335</v>
      </c>
      <c r="AB63" s="1026"/>
      <c r="AD63" s="1027"/>
      <c r="AF63" s="1054">
        <f>H63</f>
        <v>25968000</v>
      </c>
      <c r="AG63" s="1043"/>
      <c r="AH63" s="1055"/>
      <c r="AI63" s="832">
        <v>200</v>
      </c>
      <c r="AJ63" s="834">
        <f>AI63*$AH$72</f>
        <v>243.29406411941514</v>
      </c>
      <c r="AK63" s="1043" t="s">
        <v>160</v>
      </c>
      <c r="AL63" s="1112">
        <f>AJ63*J63*12</f>
        <v>31589301.285264857</v>
      </c>
      <c r="AN63" s="1057">
        <v>25964400</v>
      </c>
      <c r="AO63" s="1058"/>
      <c r="AP63" s="1059"/>
      <c r="AQ63" s="1060">
        <v>200</v>
      </c>
      <c r="AR63" s="1116">
        <v>304.47870259773964</v>
      </c>
      <c r="AS63" s="1058" t="s">
        <v>160</v>
      </c>
      <c r="AT63" s="1117">
        <v>39528034.128643751</v>
      </c>
      <c r="AV63" s="1057">
        <v>25968000</v>
      </c>
      <c r="AW63" s="1058"/>
      <c r="AX63" s="1059"/>
      <c r="AY63" s="1060">
        <v>200</v>
      </c>
      <c r="AZ63" s="1116">
        <v>337.35346962177698</v>
      </c>
      <c r="BA63" s="1058" t="s">
        <v>160</v>
      </c>
      <c r="BB63" s="1117">
        <v>43801974.495691523</v>
      </c>
      <c r="BD63" s="1057">
        <v>25970400</v>
      </c>
      <c r="BE63" s="1058"/>
      <c r="BF63" s="1059"/>
      <c r="BG63" s="1060">
        <v>200</v>
      </c>
      <c r="BH63" s="1116">
        <v>332.97795501268877</v>
      </c>
      <c r="BI63" s="1058" t="s">
        <v>160</v>
      </c>
      <c r="BJ63" s="1117">
        <v>43237853.414307661</v>
      </c>
      <c r="BK63" s="1043"/>
      <c r="BL63" s="1062">
        <f>IF(AR63&lt;20,ROUND(AR63,0),MROUND(AR63,5))</f>
        <v>305</v>
      </c>
      <c r="BM63" s="1063">
        <f>IF(AZ63&lt;20,ROUND(AZ63,0),MROUND(AZ63,5))</f>
        <v>335</v>
      </c>
      <c r="BN63" s="1064">
        <f>IF(BH63&lt;20,ROUND(BH63,0),MROUND(BH63,5))</f>
        <v>335</v>
      </c>
    </row>
    <row r="64" spans="1:73">
      <c r="B64" s="795"/>
      <c r="C64" s="795"/>
      <c r="D64" s="1065"/>
      <c r="E64" s="802"/>
      <c r="F64" s="795"/>
      <c r="G64" s="795"/>
      <c r="H64" s="795"/>
      <c r="I64" s="795"/>
      <c r="J64" s="1044"/>
      <c r="K64" s="802"/>
      <c r="L64" s="1037"/>
      <c r="M64" s="795"/>
      <c r="N64" s="1099"/>
      <c r="O64" s="795"/>
      <c r="P64" s="1100"/>
      <c r="Q64" s="795"/>
      <c r="R64" s="1101"/>
      <c r="T64" s="1041"/>
      <c r="W64" s="1067"/>
      <c r="X64" s="1067"/>
      <c r="Y64" s="802"/>
      <c r="Z64" s="1068"/>
      <c r="AB64" s="1026"/>
      <c r="AD64" s="1027"/>
      <c r="AF64" s="1036"/>
      <c r="AG64" s="795"/>
      <c r="AH64" s="1055"/>
      <c r="AI64" s="832"/>
      <c r="AJ64" s="832"/>
      <c r="AK64" s="795"/>
      <c r="AL64" s="1056"/>
      <c r="AN64" s="1033"/>
      <c r="AO64" s="1034"/>
      <c r="AP64" s="1059"/>
      <c r="AQ64" s="1060"/>
      <c r="AR64" s="1060"/>
      <c r="AS64" s="1034"/>
      <c r="AT64" s="1061"/>
      <c r="AV64" s="1033"/>
      <c r="AW64" s="1034"/>
      <c r="AX64" s="1059"/>
      <c r="AY64" s="1060"/>
      <c r="AZ64" s="1060"/>
      <c r="BA64" s="1034"/>
      <c r="BB64" s="1061"/>
      <c r="BD64" s="1033"/>
      <c r="BE64" s="1034"/>
      <c r="BF64" s="1059"/>
      <c r="BG64" s="1060"/>
      <c r="BH64" s="1060"/>
      <c r="BI64" s="1034"/>
      <c r="BJ64" s="1061"/>
      <c r="BK64" s="795"/>
      <c r="BL64" s="1062"/>
      <c r="BM64" s="1063"/>
      <c r="BN64" s="1064"/>
    </row>
    <row r="65" spans="1:73">
      <c r="B65" s="795" t="s">
        <v>476</v>
      </c>
      <c r="C65" s="795"/>
      <c r="D65" s="1065"/>
      <c r="E65" s="802"/>
      <c r="F65" s="795"/>
      <c r="G65" s="795"/>
      <c r="H65" s="795"/>
      <c r="I65" s="795"/>
      <c r="J65" s="1044"/>
      <c r="K65" s="802"/>
      <c r="L65" s="1037"/>
      <c r="M65" s="795"/>
      <c r="N65" s="1099"/>
      <c r="O65" s="795"/>
      <c r="P65" s="1100"/>
      <c r="Q65" s="795"/>
      <c r="R65" s="1101"/>
      <c r="T65" s="1041"/>
      <c r="W65" s="1067"/>
      <c r="X65" s="1067"/>
      <c r="Y65" s="802"/>
      <c r="Z65" s="1068"/>
      <c r="AB65" s="1026"/>
      <c r="AD65" s="1027"/>
      <c r="AF65" s="1036"/>
      <c r="AG65" s="795"/>
      <c r="AH65" s="1055"/>
      <c r="AI65" s="832"/>
      <c r="AJ65" s="832"/>
      <c r="AK65" s="795"/>
      <c r="AL65" s="1056"/>
      <c r="AN65" s="1033"/>
      <c r="AO65" s="1034"/>
      <c r="AP65" s="1059"/>
      <c r="AQ65" s="1060"/>
      <c r="AR65" s="1060"/>
      <c r="AS65" s="1034"/>
      <c r="AT65" s="1061"/>
      <c r="AV65" s="1033"/>
      <c r="AW65" s="1034"/>
      <c r="AX65" s="1059"/>
      <c r="AY65" s="1060"/>
      <c r="AZ65" s="1060"/>
      <c r="BA65" s="1034"/>
      <c r="BB65" s="1061"/>
      <c r="BD65" s="1033"/>
      <c r="BE65" s="1034"/>
      <c r="BF65" s="1059"/>
      <c r="BG65" s="1060"/>
      <c r="BH65" s="1060"/>
      <c r="BI65" s="1034"/>
      <c r="BJ65" s="1061"/>
      <c r="BK65" s="795"/>
      <c r="BL65" s="1062"/>
      <c r="BM65" s="1063"/>
      <c r="BN65" s="1064"/>
    </row>
    <row r="66" spans="1:73">
      <c r="B66" s="803" t="s">
        <v>477</v>
      </c>
      <c r="C66" s="795"/>
      <c r="D66" s="1042">
        <f>'Billing Units'!M18</f>
        <v>14371776</v>
      </c>
      <c r="E66" s="832">
        <f>'Rate Inputs'!M18</f>
        <v>8.1</v>
      </c>
      <c r="F66" s="795" t="s">
        <v>394</v>
      </c>
      <c r="G66" s="832"/>
      <c r="H66" s="1043">
        <f>ROUND(E66*D66,0)</f>
        <v>116411386</v>
      </c>
      <c r="I66" s="795"/>
      <c r="J66" s="1066">
        <f>'Billing Units'!M56</f>
        <v>14371776</v>
      </c>
      <c r="K66" s="1045">
        <f t="shared" ref="K66:K67" si="7">W66</f>
        <v>13.5</v>
      </c>
      <c r="L66" s="1037" t="str">
        <f>F66</f>
        <v>per kVA</v>
      </c>
      <c r="M66" s="832"/>
      <c r="N66" s="1046">
        <f>ROUND(K66*J66,0)</f>
        <v>194018976</v>
      </c>
      <c r="O66" s="1043"/>
      <c r="P66" s="1047">
        <f>IF(AND(N66=0,NOT(H66=0)),0,N66-H66)</f>
        <v>77607590</v>
      </c>
      <c r="Q66" s="1043"/>
      <c r="R66" s="1074">
        <f>IF(D66=0,0,ROUND((N66-H66)/H66,9))</f>
        <v>0.66666666100000005</v>
      </c>
      <c r="T66" s="1049"/>
      <c r="W66" s="1173">
        <f>INDEX($X66:$Z66,MATCH($D$6,$X$8:$Z$8,0))</f>
        <v>13.5</v>
      </c>
      <c r="X66" s="1051">
        <f>E66</f>
        <v>8.1</v>
      </c>
      <c r="Y66" s="1125">
        <f t="shared" ref="Y66:Y67" si="8">Z66</f>
        <v>13.5</v>
      </c>
      <c r="Z66" s="1126">
        <f t="shared" ref="Z66:Z67" si="9">BN66</f>
        <v>13.5</v>
      </c>
      <c r="AB66" s="1026"/>
      <c r="AD66" s="1027"/>
      <c r="AF66" s="1054">
        <f>H66</f>
        <v>116411386</v>
      </c>
      <c r="AG66" s="1043"/>
      <c r="AH66" s="1055"/>
      <c r="AI66" s="832">
        <v>8.1</v>
      </c>
      <c r="AJ66" s="832">
        <f t="shared" ref="AJ66:AJ67" si="10">AI66*$AH$72</f>
        <v>9.8534095968363129</v>
      </c>
      <c r="AK66" s="1043" t="s">
        <v>394</v>
      </c>
      <c r="AL66" s="1056">
        <f>AJ66*J66</f>
        <v>141610995.5619818</v>
      </c>
      <c r="AN66" s="1057">
        <v>116411386</v>
      </c>
      <c r="AO66" s="1058"/>
      <c r="AP66" s="1059"/>
      <c r="AQ66" s="1060">
        <v>8.1</v>
      </c>
      <c r="AR66" s="1060">
        <v>12.331387455208453</v>
      </c>
      <c r="AS66" s="1058" t="s">
        <v>394</v>
      </c>
      <c r="AT66" s="1061">
        <v>177223938.27546594</v>
      </c>
      <c r="AV66" s="1057">
        <v>116411386</v>
      </c>
      <c r="AW66" s="1058"/>
      <c r="AX66" s="1059"/>
      <c r="AY66" s="1060">
        <v>8.1</v>
      </c>
      <c r="AZ66" s="1060">
        <v>13.662815519681967</v>
      </c>
      <c r="BA66" s="1058" t="s">
        <v>394</v>
      </c>
      <c r="BB66" s="1061">
        <v>196358924.17819282</v>
      </c>
      <c r="BD66" s="1057">
        <v>116411386</v>
      </c>
      <c r="BE66" s="1058"/>
      <c r="BF66" s="1059"/>
      <c r="BG66" s="1060">
        <v>8.1</v>
      </c>
      <c r="BH66" s="1060">
        <v>13.485607178013893</v>
      </c>
      <c r="BI66" s="1058" t="s">
        <v>394</v>
      </c>
      <c r="BJ66" s="1061">
        <v>193812125.58640781</v>
      </c>
      <c r="BK66" s="1043"/>
      <c r="BL66" s="1062">
        <f>ROUND(AR66,1)</f>
        <v>12.3</v>
      </c>
      <c r="BM66" s="1063">
        <f>ROUND(AZ66,1)</f>
        <v>13.7</v>
      </c>
      <c r="BN66" s="1064">
        <f>ROUND(BH66,1)</f>
        <v>13.5</v>
      </c>
    </row>
    <row r="67" spans="1:73">
      <c r="B67" s="803" t="s">
        <v>78</v>
      </c>
      <c r="C67" s="795"/>
      <c r="D67" s="1042">
        <f>'Billing Units'!N18</f>
        <v>1440923</v>
      </c>
      <c r="E67" s="832">
        <f>'Rate Inputs'!N18</f>
        <v>10</v>
      </c>
      <c r="F67" s="795" t="s">
        <v>394</v>
      </c>
      <c r="G67" s="832"/>
      <c r="H67" s="1043">
        <f>ROUND(E67*D67,0)</f>
        <v>14409230</v>
      </c>
      <c r="I67" s="795"/>
      <c r="J67" s="1066">
        <f>'Billing Units'!N56</f>
        <v>1440923</v>
      </c>
      <c r="K67" s="1045">
        <f t="shared" si="7"/>
        <v>16.600000000000001</v>
      </c>
      <c r="L67" s="1037" t="str">
        <f>F67</f>
        <v>per kVA</v>
      </c>
      <c r="M67" s="832"/>
      <c r="N67" s="1046">
        <f>ROUND(K67*J67,0)</f>
        <v>23919322</v>
      </c>
      <c r="O67" s="1043"/>
      <c r="P67" s="1047">
        <f>IF(AND(N67=0,NOT(H67=0)),0,N67-H67)</f>
        <v>9510092</v>
      </c>
      <c r="Q67" s="1043"/>
      <c r="R67" s="1074">
        <f>IF(D67=0,0,ROUND((N67-H67)/H67,9))</f>
        <v>0.66000001399999997</v>
      </c>
      <c r="T67" s="1049"/>
      <c r="W67" s="1173">
        <f>INDEX($X67:$Z67,MATCH($D$6,$X$8:$Z$8,0))</f>
        <v>16.600000000000001</v>
      </c>
      <c r="X67" s="1051">
        <f>E67</f>
        <v>10</v>
      </c>
      <c r="Y67" s="1125">
        <f t="shared" si="8"/>
        <v>16.600000000000001</v>
      </c>
      <c r="Z67" s="1126">
        <f t="shared" si="9"/>
        <v>16.600000000000001</v>
      </c>
      <c r="AB67" s="1026"/>
      <c r="AD67" s="1027"/>
      <c r="AF67" s="1054">
        <f>H67</f>
        <v>14409230</v>
      </c>
      <c r="AG67" s="1043"/>
      <c r="AH67" s="1055"/>
      <c r="AI67" s="832">
        <v>10</v>
      </c>
      <c r="AJ67" s="832">
        <f t="shared" si="10"/>
        <v>12.164703205970756</v>
      </c>
      <c r="AK67" s="1043" t="s">
        <v>394</v>
      </c>
      <c r="AL67" s="1056">
        <f>AJ67*J67</f>
        <v>17528400.637657002</v>
      </c>
      <c r="AN67" s="1057">
        <v>14409230</v>
      </c>
      <c r="AO67" s="1058"/>
      <c r="AP67" s="1059"/>
      <c r="AQ67" s="1060">
        <v>10</v>
      </c>
      <c r="AR67" s="1060">
        <v>15.22393512988698</v>
      </c>
      <c r="AS67" s="1058" t="s">
        <v>394</v>
      </c>
      <c r="AT67" s="1061">
        <v>21936518.279162139</v>
      </c>
      <c r="AV67" s="1057">
        <v>14409230</v>
      </c>
      <c r="AW67" s="1058"/>
      <c r="AX67" s="1059"/>
      <c r="AY67" s="1060">
        <v>10</v>
      </c>
      <c r="AZ67" s="1060">
        <v>16.86767348108885</v>
      </c>
      <c r="BA67" s="1058" t="s">
        <v>394</v>
      </c>
      <c r="BB67" s="1061">
        <v>24305018.675390989</v>
      </c>
      <c r="BD67" s="1057">
        <v>0</v>
      </c>
      <c r="BE67" s="1058"/>
      <c r="BF67" s="1059"/>
      <c r="BG67" s="1060">
        <v>10</v>
      </c>
      <c r="BH67" s="1060">
        <v>16.648897750634436</v>
      </c>
      <c r="BI67" s="1058" t="s">
        <v>394</v>
      </c>
      <c r="BJ67" s="1061">
        <v>0</v>
      </c>
      <c r="BK67" s="1043"/>
      <c r="BL67" s="1062">
        <f>ROUND(AR67,1)</f>
        <v>15.2</v>
      </c>
      <c r="BM67" s="1063">
        <f>ROUND(AZ67,1)</f>
        <v>16.899999999999999</v>
      </c>
      <c r="BN67" s="1064">
        <f>ROUND(BH67,1)</f>
        <v>16.600000000000001</v>
      </c>
    </row>
    <row r="68" spans="1:73">
      <c r="B68" s="803"/>
      <c r="C68" s="795"/>
      <c r="D68" s="1042"/>
      <c r="E68" s="832"/>
      <c r="F68" s="795"/>
      <c r="G68" s="832"/>
      <c r="H68" s="1043"/>
      <c r="I68" s="795"/>
      <c r="J68" s="1073"/>
      <c r="K68" s="832"/>
      <c r="L68" s="1037"/>
      <c r="M68" s="832"/>
      <c r="N68" s="1046"/>
      <c r="O68" s="1043"/>
      <c r="P68" s="1100"/>
      <c r="Q68" s="795"/>
      <c r="R68" s="1101"/>
      <c r="T68" s="1049"/>
      <c r="W68" s="1174"/>
      <c r="X68" s="1174"/>
      <c r="Y68" s="832"/>
      <c r="Z68" s="1056"/>
      <c r="AB68" s="1026"/>
      <c r="AD68" s="1027"/>
      <c r="AF68" s="1054"/>
      <c r="AG68" s="1043"/>
      <c r="AH68" s="1055"/>
      <c r="AI68" s="832"/>
      <c r="AJ68" s="832"/>
      <c r="AK68" s="1043"/>
      <c r="AL68" s="1056"/>
      <c r="AN68" s="1057"/>
      <c r="AO68" s="1058"/>
      <c r="AP68" s="1059"/>
      <c r="AQ68" s="1060"/>
      <c r="AR68" s="1060"/>
      <c r="AS68" s="1058"/>
      <c r="AT68" s="1061"/>
      <c r="AV68" s="1057"/>
      <c r="AW68" s="1058"/>
      <c r="AX68" s="1059"/>
      <c r="AY68" s="1060"/>
      <c r="AZ68" s="1060"/>
      <c r="BA68" s="1058"/>
      <c r="BB68" s="1061"/>
      <c r="BD68" s="1057"/>
      <c r="BE68" s="1058"/>
      <c r="BF68" s="1059"/>
      <c r="BG68" s="1060"/>
      <c r="BH68" s="1060"/>
      <c r="BI68" s="1058"/>
      <c r="BJ68" s="1061"/>
      <c r="BK68" s="1043"/>
      <c r="BL68" s="1062"/>
      <c r="BM68" s="1063"/>
      <c r="BN68" s="1064"/>
    </row>
    <row r="69" spans="1:73">
      <c r="B69" s="795" t="s">
        <v>462</v>
      </c>
      <c r="C69" s="795"/>
      <c r="D69" s="1042"/>
      <c r="E69" s="802"/>
      <c r="F69" s="795"/>
      <c r="G69" s="795"/>
      <c r="H69" s="795"/>
      <c r="I69" s="795"/>
      <c r="J69" s="1066"/>
      <c r="K69" s="802"/>
      <c r="L69" s="1037"/>
      <c r="M69" s="795"/>
      <c r="N69" s="1099"/>
      <c r="O69" s="795"/>
      <c r="P69" s="1100"/>
      <c r="Q69" s="795"/>
      <c r="R69" s="1101"/>
      <c r="T69" s="1041"/>
      <c r="W69" s="1067"/>
      <c r="X69" s="1067"/>
      <c r="Y69" s="802"/>
      <c r="Z69" s="1068"/>
      <c r="AB69" s="1026"/>
      <c r="AD69" s="1027"/>
      <c r="AF69" s="1036"/>
      <c r="AG69" s="795"/>
      <c r="AH69" s="1055"/>
      <c r="AI69" s="832"/>
      <c r="AJ69" s="832"/>
      <c r="AK69" s="795"/>
      <c r="AL69" s="1056"/>
      <c r="AN69" s="1033"/>
      <c r="AO69" s="1034"/>
      <c r="AP69" s="1059"/>
      <c r="AQ69" s="1060"/>
      <c r="AR69" s="1060"/>
      <c r="AS69" s="1034"/>
      <c r="AT69" s="1061"/>
      <c r="AV69" s="1033"/>
      <c r="AW69" s="1034"/>
      <c r="AX69" s="1059"/>
      <c r="AY69" s="1060"/>
      <c r="AZ69" s="1060"/>
      <c r="BA69" s="1034"/>
      <c r="BB69" s="1061"/>
      <c r="BD69" s="1033"/>
      <c r="BE69" s="1034"/>
      <c r="BF69" s="1059"/>
      <c r="BG69" s="1060"/>
      <c r="BH69" s="1060"/>
      <c r="BI69" s="1034"/>
      <c r="BJ69" s="1061"/>
      <c r="BK69" s="795"/>
      <c r="BL69" s="1062"/>
      <c r="BM69" s="1063"/>
      <c r="BN69" s="1064"/>
    </row>
    <row r="70" spans="1:73">
      <c r="B70" s="803" t="s">
        <v>478</v>
      </c>
      <c r="C70" s="795"/>
      <c r="D70" s="1042">
        <f>'Billing Units'!H18</f>
        <v>3794500000</v>
      </c>
      <c r="E70" s="805">
        <f>'Rate Inputs'!H18+IF($D$7,$J$7,0)</f>
        <v>8.1061999999999995E-2</v>
      </c>
      <c r="F70" s="806" t="s">
        <v>157</v>
      </c>
      <c r="G70" s="795"/>
      <c r="H70" s="1043">
        <f>ROUND(E70*D70,0)</f>
        <v>307589759</v>
      </c>
      <c r="I70" s="795"/>
      <c r="J70" s="1073">
        <f>'Billing Units'!H56</f>
        <v>3794500000</v>
      </c>
      <c r="K70" s="1135">
        <f>IF(W$10,W70,(T72-SUM(N63:N67)-AD71*J71)/(J70+J71))</f>
        <v>7.9975705024271718E-2</v>
      </c>
      <c r="L70" s="1072" t="s">
        <v>157</v>
      </c>
      <c r="M70" s="795"/>
      <c r="N70" s="1046">
        <f>ROUND(K70*J70,0)</f>
        <v>303467813</v>
      </c>
      <c r="O70" s="795"/>
      <c r="P70" s="1047">
        <f>IF(AND(N70=0,NOT(H70=0)),0,N70-H70)</f>
        <v>-4121946</v>
      </c>
      <c r="Q70" s="1043"/>
      <c r="R70" s="1074">
        <f>IF(D70=0,0,ROUND((N70-H70)/H70,9))</f>
        <v>-1.3400791E-2</v>
      </c>
      <c r="T70" s="1049"/>
      <c r="W70" s="1137">
        <f>INDEX($X70:$Z70,MATCH($D$6,$X$8:$Z$8,0))</f>
        <v>0</v>
      </c>
      <c r="X70" s="1076"/>
      <c r="Y70" s="805"/>
      <c r="Z70" s="1077"/>
      <c r="AB70" s="1026"/>
      <c r="AD70" s="1027"/>
      <c r="AF70" s="1054">
        <f>H70</f>
        <v>307589759</v>
      </c>
      <c r="AG70" s="1043"/>
      <c r="AH70" s="1055"/>
      <c r="AI70" s="802">
        <v>4.6940000000000003E-2</v>
      </c>
      <c r="AJ70" s="802">
        <f t="shared" ref="AJ70:AJ71" si="11">AI70*$AH$72</f>
        <v>5.7101116848826738E-2</v>
      </c>
      <c r="AK70" s="1043" t="s">
        <v>157</v>
      </c>
      <c r="AL70" s="1056">
        <f>AJ70*J70</f>
        <v>216670187.88287306</v>
      </c>
      <c r="AN70" s="1057">
        <v>178405978</v>
      </c>
      <c r="AO70" s="1058"/>
      <c r="AP70" s="1059"/>
      <c r="AQ70" s="1060">
        <v>4.6940000000000003E-2</v>
      </c>
      <c r="AR70" s="1060">
        <v>7.1461151499689485E-2</v>
      </c>
      <c r="AS70" s="1058" t="s">
        <v>157</v>
      </c>
      <c r="AT70" s="1061">
        <v>271604103.76618779</v>
      </c>
      <c r="AV70" s="1057">
        <v>178113830</v>
      </c>
      <c r="AW70" s="1058"/>
      <c r="AX70" s="1059"/>
      <c r="AY70" s="1060">
        <v>4.6940000000000003E-2</v>
      </c>
      <c r="AZ70" s="1060">
        <v>7.9176859320231066E-2</v>
      </c>
      <c r="BA70" s="1058" t="s">
        <v>157</v>
      </c>
      <c r="BB70" s="1061">
        <v>300436592.69061679</v>
      </c>
      <c r="BD70" s="1057">
        <v>178697417</v>
      </c>
      <c r="BE70" s="1058"/>
      <c r="BF70" s="1059"/>
      <c r="BG70" s="1060">
        <v>4.6940000000000003E-2</v>
      </c>
      <c r="BH70" s="1060">
        <v>7.8149926041478052E-2</v>
      </c>
      <c r="BI70" s="1058" t="s">
        <v>157</v>
      </c>
      <c r="BJ70" s="1061">
        <v>297511502.03446311</v>
      </c>
      <c r="BK70" s="1043"/>
      <c r="BL70" s="1062"/>
      <c r="BM70" s="1063"/>
      <c r="BN70" s="1064"/>
    </row>
    <row r="71" spans="1:73">
      <c r="B71" s="803" t="s">
        <v>479</v>
      </c>
      <c r="C71" s="795"/>
      <c r="D71" s="1042">
        <f>'Billing Units'!I18</f>
        <v>0</v>
      </c>
      <c r="E71" s="805">
        <f>'Rate Inputs'!I18+IF($D$7,$J$7,0)</f>
        <v>7.3062000000000002E-2</v>
      </c>
      <c r="F71" s="806" t="s">
        <v>157</v>
      </c>
      <c r="G71" s="806"/>
      <c r="H71" s="1043">
        <f>ROUND(E71*D71,0)</f>
        <v>0</v>
      </c>
      <c r="I71" s="795"/>
      <c r="J71" s="1073">
        <f>'Billing Units'!I56</f>
        <v>0</v>
      </c>
      <c r="K71" s="1175">
        <f>IF(W$10,W71,K70+AD71)</f>
        <v>7.1975705024271724E-2</v>
      </c>
      <c r="L71" s="1072" t="s">
        <v>157</v>
      </c>
      <c r="M71" s="806"/>
      <c r="N71" s="1046">
        <f>ROUND(K71*J71,0)</f>
        <v>0</v>
      </c>
      <c r="O71" s="1043"/>
      <c r="P71" s="1047">
        <f>IF(AND(N71=0,NOT(H71=0)),0,N71-H71)</f>
        <v>0</v>
      </c>
      <c r="Q71" s="1043"/>
      <c r="R71" s="1074">
        <f>IF(D71=0,0,ROUND((N71-H71)/H71,9))</f>
        <v>0</v>
      </c>
      <c r="T71" s="1049"/>
      <c r="W71" s="1138">
        <f>INDEX($X71:$Z71,MATCH($D$6,$X$8:$Z$8,0))</f>
        <v>0</v>
      </c>
      <c r="X71" s="1067"/>
      <c r="Y71" s="802"/>
      <c r="Z71" s="1068"/>
      <c r="AB71" s="1026"/>
      <c r="AC71" s="789">
        <v>0.8295696634000852</v>
      </c>
      <c r="AD71" s="1079">
        <v>-8.0000000000000002E-3</v>
      </c>
      <c r="AF71" s="1054">
        <f>H71</f>
        <v>0</v>
      </c>
      <c r="AG71" s="1043"/>
      <c r="AH71" s="1055"/>
      <c r="AI71" s="802">
        <v>3.8940000000000002E-2</v>
      </c>
      <c r="AJ71" s="802">
        <f t="shared" si="11"/>
        <v>4.7369354284050133E-2</v>
      </c>
      <c r="AK71" s="1043" t="s">
        <v>157</v>
      </c>
      <c r="AL71" s="1056">
        <f>AJ71*J71</f>
        <v>0</v>
      </c>
      <c r="AN71" s="1057">
        <v>123145</v>
      </c>
      <c r="AO71" s="1058"/>
      <c r="AP71" s="1059"/>
      <c r="AQ71" s="1060">
        <v>3.8940000000000002E-2</v>
      </c>
      <c r="AR71" s="1060">
        <v>5.9282003395779909E-2</v>
      </c>
      <c r="AS71" s="1058" t="s">
        <v>157</v>
      </c>
      <c r="AT71" s="1061">
        <v>187475.7799830029</v>
      </c>
      <c r="AV71" s="1057">
        <v>0</v>
      </c>
      <c r="AW71" s="1058"/>
      <c r="AX71" s="1059"/>
      <c r="AY71" s="1060">
        <v>3.8940000000000002E-2</v>
      </c>
      <c r="AZ71" s="1060">
        <v>6.5682720535359979E-2</v>
      </c>
      <c r="BA71" s="1058" t="s">
        <v>157</v>
      </c>
      <c r="BB71" s="1061">
        <v>0</v>
      </c>
      <c r="BD71" s="1057">
        <v>0</v>
      </c>
      <c r="BE71" s="1058"/>
      <c r="BF71" s="1059"/>
      <c r="BG71" s="1060">
        <v>3.8940000000000002E-2</v>
      </c>
      <c r="BH71" s="1060">
        <v>6.4830807840970506E-2</v>
      </c>
      <c r="BI71" s="1058" t="s">
        <v>157</v>
      </c>
      <c r="BJ71" s="1061">
        <v>0</v>
      </c>
      <c r="BK71" s="1043"/>
      <c r="BL71" s="1062"/>
      <c r="BM71" s="1063"/>
      <c r="BN71" s="1064"/>
    </row>
    <row r="72" spans="1:73" ht="13.8" thickBot="1">
      <c r="B72" s="807" t="s">
        <v>480</v>
      </c>
      <c r="C72" s="808"/>
      <c r="D72" s="1080">
        <f>SUM(D70:D71)</f>
        <v>3794500000</v>
      </c>
      <c r="E72" s="811"/>
      <c r="F72" s="811"/>
      <c r="G72" s="811"/>
      <c r="H72" s="1081">
        <f>SUM(H63,H66:H67,H70,H71)</f>
        <v>464378375</v>
      </c>
      <c r="I72" s="808"/>
      <c r="J72" s="1082">
        <f>SUM(J70:J71)</f>
        <v>3794500000</v>
      </c>
      <c r="K72" s="810"/>
      <c r="L72" s="1083"/>
      <c r="M72" s="811"/>
      <c r="N72" s="1084">
        <f>SUM(N63, N66:N67,N70,N71)</f>
        <v>564902511</v>
      </c>
      <c r="O72" s="1081"/>
      <c r="P72" s="1085">
        <f>IF(AND(N72=0,NOT(H72=0)),0,N72-H72)</f>
        <v>100524136</v>
      </c>
      <c r="Q72" s="1081"/>
      <c r="R72" s="1086">
        <f>IF(D72=0,0,ROUND((N72-H72)/H72,9))</f>
        <v>0.21647032099999999</v>
      </c>
      <c r="T72" s="1087">
        <f>INDEX('Revenue Summary'!$R$10:$R$38,MATCH(AB72,'Revenue Summary'!$B$10:$B$38,0))</f>
        <v>564902510.71459901</v>
      </c>
      <c r="W72" s="1088"/>
      <c r="X72" s="1088"/>
      <c r="Y72" s="810"/>
      <c r="Z72" s="1089"/>
      <c r="AB72" s="1026" t="str" cm="1">
        <f t="array" ref="AB72">INDEX(_xlfn.TEXTSPLIT(B72," "),2)</f>
        <v>GSP</v>
      </c>
      <c r="AD72" s="1027"/>
      <c r="AF72" s="1090">
        <f>H72</f>
        <v>464378375</v>
      </c>
      <c r="AG72" s="1081">
        <f>T72</f>
        <v>564902510.71459901</v>
      </c>
      <c r="AH72" s="1149">
        <f>AG72/AF72</f>
        <v>1.2164703205970757</v>
      </c>
      <c r="AI72" s="1092"/>
      <c r="AJ72" s="1092"/>
      <c r="AK72" s="1081"/>
      <c r="AL72" s="1093">
        <f>SUM(AL63:AL71)</f>
        <v>407398885.36777669</v>
      </c>
      <c r="AN72" s="1094">
        <v>335314139</v>
      </c>
      <c r="AO72" s="1095">
        <v>510480070.02699059</v>
      </c>
      <c r="AP72" s="1152">
        <v>1.5223935129886981</v>
      </c>
      <c r="AQ72" s="1097"/>
      <c r="AR72" s="1097"/>
      <c r="AS72" s="1095"/>
      <c r="AT72" s="1098">
        <v>510480070.2294426</v>
      </c>
      <c r="AV72" s="1094">
        <v>334902446</v>
      </c>
      <c r="AW72" s="1095">
        <v>564902510.71459901</v>
      </c>
      <c r="AX72" s="1152">
        <v>1.686767348108885</v>
      </c>
      <c r="AY72" s="1097"/>
      <c r="AZ72" s="1097"/>
      <c r="BA72" s="1095"/>
      <c r="BB72" s="1098">
        <v>564902510.03989208</v>
      </c>
      <c r="BD72" s="1094">
        <v>321079203</v>
      </c>
      <c r="BE72" s="1095">
        <v>534561482.06021976</v>
      </c>
      <c r="BF72" s="1152">
        <v>1.6648897750634437</v>
      </c>
      <c r="BG72" s="1097"/>
      <c r="BH72" s="1097"/>
      <c r="BI72" s="1095"/>
      <c r="BJ72" s="1098">
        <v>534561481.03517854</v>
      </c>
      <c r="BK72" s="1043"/>
      <c r="BL72" s="1062"/>
      <c r="BM72" s="1063"/>
      <c r="BN72" s="1064"/>
    </row>
    <row r="73" spans="1:73" ht="13.8" thickTop="1">
      <c r="B73" s="795"/>
      <c r="C73" s="795"/>
      <c r="D73" s="1036"/>
      <c r="E73" s="795"/>
      <c r="F73" s="795"/>
      <c r="G73" s="795"/>
      <c r="H73" s="795"/>
      <c r="I73" s="795"/>
      <c r="J73" s="795"/>
      <c r="K73" s="795"/>
      <c r="L73" s="1037"/>
      <c r="M73" s="795"/>
      <c r="N73" s="1099"/>
      <c r="O73" s="795"/>
      <c r="P73" s="1100"/>
      <c r="Q73" s="795"/>
      <c r="R73" s="1101"/>
      <c r="T73" s="1041"/>
      <c r="W73" s="1036"/>
      <c r="X73" s="1036"/>
      <c r="Y73" s="795"/>
      <c r="Z73" s="1037"/>
      <c r="AB73" s="1026"/>
      <c r="AD73" s="1027"/>
      <c r="AF73" s="1036"/>
      <c r="AG73" s="795"/>
      <c r="AH73" s="1055"/>
      <c r="AI73" s="832"/>
      <c r="AJ73" s="832"/>
      <c r="AK73" s="795"/>
      <c r="AL73" s="1056"/>
      <c r="AN73" s="1033"/>
      <c r="AO73" s="1034"/>
      <c r="AP73" s="1059"/>
      <c r="AQ73" s="1060"/>
      <c r="AR73" s="1060"/>
      <c r="AS73" s="1034"/>
      <c r="AT73" s="1061"/>
      <c r="AV73" s="1033"/>
      <c r="AW73" s="1034"/>
      <c r="AX73" s="1059"/>
      <c r="AY73" s="1060"/>
      <c r="AZ73" s="1060"/>
      <c r="BA73" s="1034"/>
      <c r="BB73" s="1061"/>
      <c r="BD73" s="1033"/>
      <c r="BE73" s="1034"/>
      <c r="BF73" s="1059"/>
      <c r="BG73" s="1060"/>
      <c r="BH73" s="1060"/>
      <c r="BI73" s="1034"/>
      <c r="BJ73" s="1061"/>
      <c r="BK73" s="795"/>
      <c r="BL73" s="1062"/>
      <c r="BM73" s="1063"/>
      <c r="BN73" s="1064"/>
    </row>
    <row r="74" spans="1:73" s="3" customFormat="1">
      <c r="A74" s="692"/>
      <c r="B74" s="813" t="s">
        <v>396</v>
      </c>
      <c r="C74" s="813"/>
      <c r="D74" s="1102"/>
      <c r="E74" s="812"/>
      <c r="F74" s="812"/>
      <c r="G74" s="812"/>
      <c r="H74" s="812"/>
      <c r="I74" s="812"/>
      <c r="J74" s="1103"/>
      <c r="K74" s="812"/>
      <c r="L74" s="1104"/>
      <c r="M74" s="812"/>
      <c r="N74" s="1105"/>
      <c r="O74" s="812"/>
      <c r="P74" s="1106"/>
      <c r="Q74" s="812"/>
      <c r="R74" s="1107"/>
      <c r="S74" s="692"/>
      <c r="T74" s="1108"/>
      <c r="U74" s="692"/>
      <c r="V74" s="692"/>
      <c r="W74" s="1102"/>
      <c r="X74" s="1102"/>
      <c r="Y74" s="812"/>
      <c r="Z74" s="1104"/>
      <c r="AA74" s="692"/>
      <c r="AB74" s="1026"/>
      <c r="AC74" s="1109"/>
      <c r="AD74" s="1110"/>
      <c r="AE74" s="692"/>
      <c r="AF74" s="1102"/>
      <c r="AG74" s="812"/>
      <c r="AH74" s="1111"/>
      <c r="AI74" s="834"/>
      <c r="AJ74" s="834"/>
      <c r="AK74" s="812"/>
      <c r="AL74" s="1112"/>
      <c r="AM74" s="692"/>
      <c r="AN74" s="1113"/>
      <c r="AO74" s="1114"/>
      <c r="AP74" s="1115"/>
      <c r="AQ74" s="1116"/>
      <c r="AR74" s="1116"/>
      <c r="AS74" s="1114"/>
      <c r="AT74" s="1117"/>
      <c r="AU74" s="692"/>
      <c r="AV74" s="1113"/>
      <c r="AW74" s="1114"/>
      <c r="AX74" s="1115"/>
      <c r="AY74" s="1116"/>
      <c r="AZ74" s="1116"/>
      <c r="BA74" s="1114"/>
      <c r="BB74" s="1117"/>
      <c r="BC74" s="692"/>
      <c r="BD74" s="1113"/>
      <c r="BE74" s="1114"/>
      <c r="BF74" s="1115"/>
      <c r="BG74" s="1116"/>
      <c r="BH74" s="1116"/>
      <c r="BI74" s="1114"/>
      <c r="BJ74" s="1117"/>
      <c r="BK74" s="812"/>
      <c r="BL74" s="1062"/>
      <c r="BM74" s="1063"/>
      <c r="BN74" s="1064"/>
      <c r="BO74" s="692"/>
      <c r="BP74" s="692"/>
      <c r="BQ74" s="692"/>
      <c r="BR74" s="692"/>
      <c r="BS74" s="692"/>
      <c r="BT74" s="692"/>
      <c r="BU74" s="692"/>
    </row>
    <row r="75" spans="1:73" s="3" customFormat="1">
      <c r="A75" s="692"/>
      <c r="B75" s="812"/>
      <c r="C75" s="812"/>
      <c r="D75" s="1102"/>
      <c r="E75" s="812"/>
      <c r="F75" s="812"/>
      <c r="G75" s="812"/>
      <c r="H75" s="812"/>
      <c r="I75" s="812"/>
      <c r="J75" s="1103"/>
      <c r="K75" s="812"/>
      <c r="L75" s="1104"/>
      <c r="M75" s="812"/>
      <c r="N75" s="1105"/>
      <c r="O75" s="812"/>
      <c r="P75" s="1106"/>
      <c r="Q75" s="812"/>
      <c r="R75" s="1107"/>
      <c r="S75" s="692"/>
      <c r="T75" s="1108"/>
      <c r="U75" s="692"/>
      <c r="V75" s="692"/>
      <c r="W75" s="1102"/>
      <c r="X75" s="1102"/>
      <c r="Y75" s="812"/>
      <c r="Z75" s="1104"/>
      <c r="AA75" s="692"/>
      <c r="AB75" s="1026"/>
      <c r="AC75" s="1109"/>
      <c r="AD75" s="1110"/>
      <c r="AE75" s="692"/>
      <c r="AF75" s="1102"/>
      <c r="AG75" s="812"/>
      <c r="AH75" s="1111"/>
      <c r="AI75" s="834"/>
      <c r="AJ75" s="834"/>
      <c r="AK75" s="812"/>
      <c r="AL75" s="1112"/>
      <c r="AM75" s="692"/>
      <c r="AN75" s="1113"/>
      <c r="AO75" s="1114"/>
      <c r="AP75" s="1115"/>
      <c r="AQ75" s="1116"/>
      <c r="AR75" s="1116"/>
      <c r="AS75" s="1114"/>
      <c r="AT75" s="1117"/>
      <c r="AU75" s="692"/>
      <c r="AV75" s="1113"/>
      <c r="AW75" s="1114"/>
      <c r="AX75" s="1115"/>
      <c r="AY75" s="1116"/>
      <c r="AZ75" s="1116"/>
      <c r="BA75" s="1114"/>
      <c r="BB75" s="1117"/>
      <c r="BC75" s="692"/>
      <c r="BD75" s="1113"/>
      <c r="BE75" s="1114"/>
      <c r="BF75" s="1115"/>
      <c r="BG75" s="1116"/>
      <c r="BH75" s="1116"/>
      <c r="BI75" s="1114"/>
      <c r="BJ75" s="1117"/>
      <c r="BK75" s="812"/>
      <c r="BL75" s="1062"/>
      <c r="BM75" s="1063"/>
      <c r="BN75" s="1064"/>
      <c r="BO75" s="692"/>
      <c r="BP75" s="692"/>
      <c r="BQ75" s="692"/>
      <c r="BR75" s="692"/>
      <c r="BS75" s="692"/>
      <c r="BT75" s="692"/>
      <c r="BU75" s="692"/>
    </row>
    <row r="76" spans="1:73" s="3" customFormat="1">
      <c r="A76" s="692"/>
      <c r="B76" s="812" t="s">
        <v>461</v>
      </c>
      <c r="C76" s="812"/>
      <c r="D76" s="1118">
        <f>'Billing Units'!D20</f>
        <v>617</v>
      </c>
      <c r="E76" s="827">
        <f>'Rate Inputs'!D20</f>
        <v>450</v>
      </c>
      <c r="F76" s="812" t="s">
        <v>160</v>
      </c>
      <c r="G76" s="834"/>
      <c r="H76" s="1119">
        <f>ROUND(E76*D76*12,0)</f>
        <v>3331800</v>
      </c>
      <c r="I76" s="812"/>
      <c r="J76" s="1120">
        <f>'Billing Units'!D58</f>
        <v>617</v>
      </c>
      <c r="K76" s="1045">
        <f>W76</f>
        <v>600</v>
      </c>
      <c r="L76" s="1104" t="str">
        <f>F76</f>
        <v>per month</v>
      </c>
      <c r="M76" s="834"/>
      <c r="N76" s="1121">
        <f>ROUND(K76*J76*12,0)</f>
        <v>4442400</v>
      </c>
      <c r="O76" s="1119"/>
      <c r="P76" s="1122">
        <f>IF(AND(N76=0,NOT(H76=0)),0,N76-H76)</f>
        <v>1110600</v>
      </c>
      <c r="Q76" s="1119"/>
      <c r="R76" s="1048">
        <f>IF(D76=0,0,ROUND((N76-H76)/H76,9))</f>
        <v>0.33333333300000001</v>
      </c>
      <c r="S76" s="692"/>
      <c r="T76" s="1123"/>
      <c r="U76" s="692"/>
      <c r="V76" s="692"/>
      <c r="W76" s="1124">
        <f>INDEX($X76:$Z76,MATCH($D$6,$X$8:$Z$8,0))</f>
        <v>600</v>
      </c>
      <c r="X76" s="1051">
        <f>E76</f>
        <v>450</v>
      </c>
      <c r="Y76" s="1125">
        <f>Z76</f>
        <v>600</v>
      </c>
      <c r="Z76" s="1126">
        <f>BN76</f>
        <v>600</v>
      </c>
      <c r="AA76" s="692"/>
      <c r="AB76" s="1026"/>
      <c r="AC76" s="1109"/>
      <c r="AD76" s="1110"/>
      <c r="AE76" s="692"/>
      <c r="AF76" s="1127">
        <f>H76</f>
        <v>3331800</v>
      </c>
      <c r="AG76" s="1119"/>
      <c r="AH76" s="1111"/>
      <c r="AI76" s="834">
        <v>450</v>
      </c>
      <c r="AJ76" s="834">
        <f>AI76*$AH$85</f>
        <v>390.73255945747172</v>
      </c>
      <c r="AK76" s="1119" t="s">
        <v>160</v>
      </c>
      <c r="AL76" s="1112">
        <f>AJ76*J76*12</f>
        <v>2892983.8702231208</v>
      </c>
      <c r="AM76" s="692"/>
      <c r="AN76" s="1128">
        <v>3337650</v>
      </c>
      <c r="AO76" s="1129"/>
      <c r="AP76" s="1115"/>
      <c r="AQ76" s="1116">
        <v>450</v>
      </c>
      <c r="AR76" s="1116">
        <v>549.03162505588318</v>
      </c>
      <c r="AS76" s="1129" t="s">
        <v>160</v>
      </c>
      <c r="AT76" s="1117">
        <v>4072167.5630394854</v>
      </c>
      <c r="AU76" s="692"/>
      <c r="AV76" s="1128">
        <v>3331800</v>
      </c>
      <c r="AW76" s="1129"/>
      <c r="AX76" s="1115"/>
      <c r="AY76" s="1116">
        <v>450</v>
      </c>
      <c r="AZ76" s="1116">
        <v>616.84115770430435</v>
      </c>
      <c r="BA76" s="1129" t="s">
        <v>160</v>
      </c>
      <c r="BB76" s="1117">
        <v>4567091.9316426702</v>
      </c>
      <c r="BC76" s="692"/>
      <c r="BD76" s="1128">
        <v>3331800</v>
      </c>
      <c r="BE76" s="1129"/>
      <c r="BF76" s="1115"/>
      <c r="BG76" s="1116">
        <v>450</v>
      </c>
      <c r="BH76" s="1116">
        <v>598.8039417771771</v>
      </c>
      <c r="BI76" s="1129" t="s">
        <v>160</v>
      </c>
      <c r="BJ76" s="1117">
        <v>4433544.3849182194</v>
      </c>
      <c r="BK76" s="1119"/>
      <c r="BL76" s="1062">
        <f>IF(AR76&lt;20,ROUND(AR76,0),MROUND(AR76,5))</f>
        <v>550</v>
      </c>
      <c r="BM76" s="1063">
        <f>IF(AZ76&lt;20,ROUND(AZ76,0),MROUND(AZ76,5))</f>
        <v>615</v>
      </c>
      <c r="BN76" s="1064">
        <f>IF(BH76&lt;20,ROUND(BH76,0),MROUND(BH76,5))</f>
        <v>600</v>
      </c>
      <c r="BO76" s="692"/>
      <c r="BP76" s="692"/>
      <c r="BQ76" s="692"/>
      <c r="BR76" s="692"/>
      <c r="BS76" s="692"/>
      <c r="BT76" s="692"/>
      <c r="BU76" s="692"/>
    </row>
    <row r="77" spans="1:73" s="3" customFormat="1">
      <c r="A77" s="692"/>
      <c r="B77" s="812"/>
      <c r="C77" s="812"/>
      <c r="D77" s="1130"/>
      <c r="E77" s="817"/>
      <c r="F77" s="812"/>
      <c r="G77" s="812"/>
      <c r="H77" s="812"/>
      <c r="I77" s="812"/>
      <c r="J77" s="1120"/>
      <c r="K77" s="817"/>
      <c r="L77" s="1104"/>
      <c r="M77" s="812"/>
      <c r="N77" s="1105"/>
      <c r="O77" s="812"/>
      <c r="P77" s="1106"/>
      <c r="Q77" s="812"/>
      <c r="R77" s="1107"/>
      <c r="S77" s="692"/>
      <c r="T77" s="1108"/>
      <c r="U77" s="692"/>
      <c r="V77" s="692"/>
      <c r="W77" s="1132"/>
      <c r="X77" s="1132"/>
      <c r="Y77" s="817"/>
      <c r="Z77" s="1133"/>
      <c r="AA77" s="692"/>
      <c r="AB77" s="1026"/>
      <c r="AC77" s="1109"/>
      <c r="AD77" s="1110"/>
      <c r="AE77" s="692"/>
      <c r="AF77" s="1102"/>
      <c r="AG77" s="812"/>
      <c r="AH77" s="1111"/>
      <c r="AI77" s="834"/>
      <c r="AJ77" s="834"/>
      <c r="AK77" s="812"/>
      <c r="AL77" s="1112"/>
      <c r="AM77" s="692"/>
      <c r="AN77" s="1113"/>
      <c r="AO77" s="1114"/>
      <c r="AP77" s="1115"/>
      <c r="AQ77" s="1116"/>
      <c r="AR77" s="1116"/>
      <c r="AS77" s="1114"/>
      <c r="AT77" s="1117"/>
      <c r="AU77" s="692"/>
      <c r="AV77" s="1113"/>
      <c r="AW77" s="1114"/>
      <c r="AX77" s="1115"/>
      <c r="AY77" s="1116"/>
      <c r="AZ77" s="1116"/>
      <c r="BA77" s="1114"/>
      <c r="BB77" s="1117"/>
      <c r="BC77" s="692"/>
      <c r="BD77" s="1113"/>
      <c r="BE77" s="1114"/>
      <c r="BF77" s="1115"/>
      <c r="BG77" s="1116"/>
      <c r="BH77" s="1116"/>
      <c r="BI77" s="1114"/>
      <c r="BJ77" s="1117"/>
      <c r="BK77" s="812"/>
      <c r="BL77" s="1062"/>
      <c r="BM77" s="1063"/>
      <c r="BN77" s="1064"/>
      <c r="BO77" s="692"/>
      <c r="BP77" s="692"/>
      <c r="BQ77" s="692"/>
      <c r="BR77" s="692"/>
      <c r="BS77" s="692"/>
      <c r="BT77" s="692"/>
      <c r="BU77" s="692"/>
    </row>
    <row r="78" spans="1:73" s="3" customFormat="1">
      <c r="A78" s="692"/>
      <c r="B78" s="812" t="s">
        <v>476</v>
      </c>
      <c r="C78" s="812"/>
      <c r="D78" s="1130"/>
      <c r="E78" s="817"/>
      <c r="F78" s="812"/>
      <c r="G78" s="812"/>
      <c r="H78" s="812"/>
      <c r="I78" s="812"/>
      <c r="J78" s="1120"/>
      <c r="K78" s="817"/>
      <c r="L78" s="1104"/>
      <c r="M78" s="812"/>
      <c r="N78" s="1105"/>
      <c r="O78" s="812"/>
      <c r="P78" s="1106"/>
      <c r="Q78" s="812"/>
      <c r="R78" s="1107"/>
      <c r="S78" s="692"/>
      <c r="T78" s="1108"/>
      <c r="U78" s="692"/>
      <c r="V78" s="692"/>
      <c r="W78" s="1132"/>
      <c r="X78" s="1132"/>
      <c r="Y78" s="817"/>
      <c r="Z78" s="1133"/>
      <c r="AA78" s="692"/>
      <c r="AB78" s="1026"/>
      <c r="AC78" s="1109"/>
      <c r="AD78" s="1110"/>
      <c r="AE78" s="692"/>
      <c r="AF78" s="1102"/>
      <c r="AG78" s="812"/>
      <c r="AH78" s="1111"/>
      <c r="AI78" s="834"/>
      <c r="AJ78" s="834"/>
      <c r="AK78" s="812"/>
      <c r="AL78" s="1112"/>
      <c r="AM78" s="692"/>
      <c r="AN78" s="1113"/>
      <c r="AO78" s="1114"/>
      <c r="AP78" s="1115"/>
      <c r="AQ78" s="1116"/>
      <c r="AR78" s="1116"/>
      <c r="AS78" s="1114"/>
      <c r="AT78" s="1117"/>
      <c r="AU78" s="692"/>
      <c r="AV78" s="1113"/>
      <c r="AW78" s="1114"/>
      <c r="AX78" s="1115"/>
      <c r="AY78" s="1116"/>
      <c r="AZ78" s="1116"/>
      <c r="BA78" s="1114"/>
      <c r="BB78" s="1117"/>
      <c r="BC78" s="692"/>
      <c r="BD78" s="1113"/>
      <c r="BE78" s="1114"/>
      <c r="BF78" s="1115"/>
      <c r="BG78" s="1116"/>
      <c r="BH78" s="1116"/>
      <c r="BI78" s="1114"/>
      <c r="BJ78" s="1117"/>
      <c r="BK78" s="812"/>
      <c r="BL78" s="1062"/>
      <c r="BM78" s="1063"/>
      <c r="BN78" s="1064"/>
      <c r="BO78" s="692"/>
      <c r="BP78" s="692"/>
      <c r="BQ78" s="692"/>
      <c r="BR78" s="692"/>
      <c r="BS78" s="692"/>
      <c r="BT78" s="692"/>
      <c r="BU78" s="692"/>
    </row>
    <row r="79" spans="1:73" s="3" customFormat="1">
      <c r="A79" s="692"/>
      <c r="B79" s="818" t="s">
        <v>477</v>
      </c>
      <c r="C79" s="812"/>
      <c r="D79" s="1118">
        <f>'Billing Units'!M20</f>
        <v>7054980</v>
      </c>
      <c r="E79" s="834">
        <f>'Rate Inputs'!M20</f>
        <v>7.7</v>
      </c>
      <c r="F79" s="812" t="s">
        <v>394</v>
      </c>
      <c r="G79" s="834"/>
      <c r="H79" s="1119">
        <f>ROUND(E79*D79,0)</f>
        <v>54323346</v>
      </c>
      <c r="I79" s="812"/>
      <c r="J79" s="1131">
        <f>'Billing Units'!M58</f>
        <v>7054980</v>
      </c>
      <c r="K79" s="1045">
        <f t="shared" ref="K79:K80" si="12">W79</f>
        <v>10.199999999999999</v>
      </c>
      <c r="L79" s="1104" t="str">
        <f>F79</f>
        <v>per kVA</v>
      </c>
      <c r="M79" s="834"/>
      <c r="N79" s="1121">
        <f>ROUND(K79*J79,0)</f>
        <v>71960796</v>
      </c>
      <c r="O79" s="1119"/>
      <c r="P79" s="1122">
        <f>IF(AND(N79=0,NOT(H79=0)),0,N79-H79)</f>
        <v>17637450</v>
      </c>
      <c r="Q79" s="1119"/>
      <c r="R79" s="1048">
        <f>IF(D79=0,0,ROUND((N79-H79)/H79,9))</f>
        <v>0.32467532500000001</v>
      </c>
      <c r="S79" s="692"/>
      <c r="T79" s="1123"/>
      <c r="U79" s="692"/>
      <c r="V79" s="692"/>
      <c r="W79" s="1176">
        <f>INDEX($X79:$Z79,MATCH($D$6,$X$8:$Z$8,0))</f>
        <v>10.199999999999999</v>
      </c>
      <c r="X79" s="1051">
        <f>E79</f>
        <v>7.7</v>
      </c>
      <c r="Y79" s="1125">
        <f t="shared" ref="Y79:Y80" si="13">Z79</f>
        <v>10.199999999999999</v>
      </c>
      <c r="Z79" s="1126">
        <f t="shared" ref="Z79:Z80" si="14">BN79</f>
        <v>10.199999999999999</v>
      </c>
      <c r="AA79" s="692"/>
      <c r="AB79" s="1026"/>
      <c r="AC79" s="1109"/>
      <c r="AD79" s="1110"/>
      <c r="AE79" s="692"/>
      <c r="AF79" s="1127">
        <f>H79</f>
        <v>54323346</v>
      </c>
      <c r="AG79" s="1119"/>
      <c r="AH79" s="1111"/>
      <c r="AI79" s="834">
        <v>7.7</v>
      </c>
      <c r="AJ79" s="834">
        <f t="shared" ref="AJ79:AJ80" si="15">AI79*$AH$85</f>
        <v>6.685868239605627</v>
      </c>
      <c r="AK79" s="1119" t="s">
        <v>394</v>
      </c>
      <c r="AL79" s="1112">
        <f>AJ79*J79</f>
        <v>47168666.713052906</v>
      </c>
      <c r="AM79" s="692"/>
      <c r="AN79" s="1128">
        <v>54323346</v>
      </c>
      <c r="AO79" s="1129"/>
      <c r="AP79" s="1115"/>
      <c r="AQ79" s="1116">
        <v>7.7</v>
      </c>
      <c r="AR79" s="1116">
        <v>9.3945411398451117</v>
      </c>
      <c r="AS79" s="1129" t="s">
        <v>394</v>
      </c>
      <c r="AT79" s="1117">
        <v>66278299.850784466</v>
      </c>
      <c r="AU79" s="692"/>
      <c r="AV79" s="1128">
        <v>54323346</v>
      </c>
      <c r="AW79" s="1129"/>
      <c r="AX79" s="1115"/>
      <c r="AY79" s="1116">
        <v>7.7</v>
      </c>
      <c r="AZ79" s="1116">
        <v>10.554837587384762</v>
      </c>
      <c r="BA79" s="1129" t="s">
        <v>394</v>
      </c>
      <c r="BB79" s="1117">
        <v>74464168.082247749</v>
      </c>
      <c r="BC79" s="692"/>
      <c r="BD79" s="1128">
        <v>54323346</v>
      </c>
      <c r="BE79" s="1129"/>
      <c r="BF79" s="1115"/>
      <c r="BG79" s="1116">
        <v>7.7</v>
      </c>
      <c r="BH79" s="1116">
        <v>10.246200781520585</v>
      </c>
      <c r="BI79" s="1129" t="s">
        <v>394</v>
      </c>
      <c r="BJ79" s="1117">
        <v>72286741.589612097</v>
      </c>
      <c r="BK79" s="1119"/>
      <c r="BL79" s="1062">
        <f>ROUND(AR79,1)</f>
        <v>9.4</v>
      </c>
      <c r="BM79" s="1063">
        <f>ROUND(AZ79,1)</f>
        <v>10.6</v>
      </c>
      <c r="BN79" s="1064">
        <f>ROUND(BH79,1)</f>
        <v>10.199999999999999</v>
      </c>
      <c r="BO79" s="692"/>
      <c r="BP79" s="692"/>
      <c r="BQ79" s="692"/>
      <c r="BR79" s="692"/>
      <c r="BS79" s="692"/>
      <c r="BT79" s="692"/>
      <c r="BU79" s="692"/>
    </row>
    <row r="80" spans="1:73" s="3" customFormat="1">
      <c r="A80" s="692"/>
      <c r="B80" s="818" t="s">
        <v>78</v>
      </c>
      <c r="C80" s="812"/>
      <c r="D80" s="1118">
        <f>'Billing Units'!N20</f>
        <v>347823</v>
      </c>
      <c r="E80" s="834">
        <f>'Rate Inputs'!N20</f>
        <v>9.6</v>
      </c>
      <c r="F80" s="812" t="s">
        <v>394</v>
      </c>
      <c r="G80" s="834"/>
      <c r="H80" s="1119">
        <f>ROUND(E80*D80,0)</f>
        <v>3339101</v>
      </c>
      <c r="I80" s="812"/>
      <c r="J80" s="1131">
        <f>'Billing Units'!N58</f>
        <v>347823</v>
      </c>
      <c r="K80" s="1045">
        <f t="shared" si="12"/>
        <v>12.8</v>
      </c>
      <c r="L80" s="1104" t="str">
        <f>F80</f>
        <v>per kVA</v>
      </c>
      <c r="M80" s="834"/>
      <c r="N80" s="1121">
        <f>ROUND(K80*J80,0)</f>
        <v>4452134</v>
      </c>
      <c r="O80" s="1119"/>
      <c r="P80" s="1122">
        <f>IF(AND(N80=0,NOT(H80=0)),0,N80-H80)</f>
        <v>1113033</v>
      </c>
      <c r="Q80" s="1119"/>
      <c r="R80" s="1048">
        <f>IF(D80=0,0,ROUND((N80-H80)/H80,9))</f>
        <v>0.33333313399999998</v>
      </c>
      <c r="S80" s="692"/>
      <c r="T80" s="1123"/>
      <c r="U80" s="692"/>
      <c r="V80" s="692"/>
      <c r="W80" s="1176">
        <f>INDEX($X80:$Z80,MATCH($D$6,$X$8:$Z$8,0))</f>
        <v>12.8</v>
      </c>
      <c r="X80" s="1051">
        <f>E80</f>
        <v>9.6</v>
      </c>
      <c r="Y80" s="1125">
        <f t="shared" si="13"/>
        <v>12.8</v>
      </c>
      <c r="Z80" s="1126">
        <f t="shared" si="14"/>
        <v>12.8</v>
      </c>
      <c r="AA80" s="692"/>
      <c r="AB80" s="1026"/>
      <c r="AC80" s="1109"/>
      <c r="AD80" s="1110"/>
      <c r="AE80" s="692"/>
      <c r="AF80" s="1127">
        <f>H80</f>
        <v>3339101</v>
      </c>
      <c r="AG80" s="1119"/>
      <c r="AH80" s="1111"/>
      <c r="AI80" s="834">
        <v>9.6</v>
      </c>
      <c r="AJ80" s="834">
        <f t="shared" si="15"/>
        <v>8.3356279350927291</v>
      </c>
      <c r="AK80" s="1119" t="s">
        <v>394</v>
      </c>
      <c r="AL80" s="1112">
        <f>AJ80*J80</f>
        <v>2899323.1152677583</v>
      </c>
      <c r="AM80" s="692"/>
      <c r="AN80" s="1128">
        <v>3339101</v>
      </c>
      <c r="AO80" s="1129"/>
      <c r="AP80" s="1115"/>
      <c r="AQ80" s="1116">
        <v>9.6</v>
      </c>
      <c r="AR80" s="1116">
        <v>11.71267466785884</v>
      </c>
      <c r="AS80" s="1129" t="s">
        <v>394</v>
      </c>
      <c r="AT80" s="1117">
        <v>4073937.6409986652</v>
      </c>
      <c r="AU80" s="692"/>
      <c r="AV80" s="1128">
        <v>3339101</v>
      </c>
      <c r="AW80" s="1129"/>
      <c r="AX80" s="1115"/>
      <c r="AY80" s="1116">
        <v>9.6</v>
      </c>
      <c r="AZ80" s="1116">
        <v>13.159278031025158</v>
      </c>
      <c r="BA80" s="1129" t="s">
        <v>394</v>
      </c>
      <c r="BB80" s="1117">
        <v>4577099.5625852635</v>
      </c>
      <c r="BC80" s="692"/>
      <c r="BD80" s="1128">
        <v>0</v>
      </c>
      <c r="BE80" s="1129"/>
      <c r="BF80" s="1115"/>
      <c r="BG80" s="1116">
        <v>9.6</v>
      </c>
      <c r="BH80" s="1116">
        <v>12.774484091246444</v>
      </c>
      <c r="BI80" s="1129" t="s">
        <v>394</v>
      </c>
      <c r="BJ80" s="1117">
        <v>0</v>
      </c>
      <c r="BK80" s="1119"/>
      <c r="BL80" s="1062">
        <f>ROUND(AR80,1)</f>
        <v>11.7</v>
      </c>
      <c r="BM80" s="1063">
        <f>ROUND(AZ80,1)</f>
        <v>13.2</v>
      </c>
      <c r="BN80" s="1064">
        <f>ROUND(BH80,1)</f>
        <v>12.8</v>
      </c>
      <c r="BO80" s="692"/>
      <c r="BP80" s="692"/>
      <c r="BQ80" s="692"/>
      <c r="BR80" s="692"/>
      <c r="BS80" s="692"/>
      <c r="BT80" s="692"/>
      <c r="BU80" s="692"/>
    </row>
    <row r="81" spans="1:73" s="3" customFormat="1">
      <c r="A81" s="692"/>
      <c r="B81" s="818"/>
      <c r="C81" s="812"/>
      <c r="D81" s="1118"/>
      <c r="E81" s="834"/>
      <c r="F81" s="812"/>
      <c r="G81" s="834"/>
      <c r="H81" s="1119"/>
      <c r="I81" s="812"/>
      <c r="J81" s="1134"/>
      <c r="K81" s="834"/>
      <c r="L81" s="1104"/>
      <c r="M81" s="834"/>
      <c r="N81" s="1121"/>
      <c r="O81" s="1119"/>
      <c r="P81" s="1106"/>
      <c r="Q81" s="812"/>
      <c r="R81" s="1107"/>
      <c r="S81" s="692"/>
      <c r="T81" s="1123"/>
      <c r="U81" s="692"/>
      <c r="V81" s="692"/>
      <c r="W81" s="1177"/>
      <c r="X81" s="1177"/>
      <c r="Y81" s="834"/>
      <c r="Z81" s="1112"/>
      <c r="AA81" s="692"/>
      <c r="AB81" s="1026"/>
      <c r="AC81" s="1109"/>
      <c r="AD81" s="1110"/>
      <c r="AE81" s="692"/>
      <c r="AF81" s="1127"/>
      <c r="AG81" s="1119"/>
      <c r="AH81" s="1111"/>
      <c r="AI81" s="834"/>
      <c r="AJ81" s="834"/>
      <c r="AK81" s="1119"/>
      <c r="AL81" s="1112"/>
      <c r="AM81" s="692"/>
      <c r="AN81" s="1128"/>
      <c r="AO81" s="1129"/>
      <c r="AP81" s="1115"/>
      <c r="AQ81" s="1116"/>
      <c r="AR81" s="1116"/>
      <c r="AS81" s="1129"/>
      <c r="AT81" s="1117"/>
      <c r="AU81" s="692"/>
      <c r="AV81" s="1128"/>
      <c r="AW81" s="1129"/>
      <c r="AX81" s="1115"/>
      <c r="AY81" s="1116"/>
      <c r="AZ81" s="1116"/>
      <c r="BA81" s="1129"/>
      <c r="BB81" s="1117"/>
      <c r="BC81" s="692"/>
      <c r="BD81" s="1128"/>
      <c r="BE81" s="1129"/>
      <c r="BF81" s="1115"/>
      <c r="BG81" s="1116"/>
      <c r="BH81" s="1116"/>
      <c r="BI81" s="1129"/>
      <c r="BJ81" s="1117"/>
      <c r="BK81" s="1119"/>
      <c r="BL81" s="1062"/>
      <c r="BM81" s="1063"/>
      <c r="BN81" s="1064"/>
      <c r="BO81" s="692"/>
      <c r="BP81" s="692"/>
      <c r="BQ81" s="692"/>
      <c r="BR81" s="692"/>
      <c r="BS81" s="692"/>
      <c r="BT81" s="692"/>
      <c r="BU81" s="692"/>
    </row>
    <row r="82" spans="1:73" s="3" customFormat="1">
      <c r="A82" s="692"/>
      <c r="B82" s="812" t="s">
        <v>462</v>
      </c>
      <c r="C82" s="812"/>
      <c r="D82" s="1118"/>
      <c r="E82" s="817"/>
      <c r="F82" s="812"/>
      <c r="G82" s="812"/>
      <c r="H82" s="812"/>
      <c r="I82" s="812"/>
      <c r="J82" s="1131"/>
      <c r="K82" s="817"/>
      <c r="L82" s="1104"/>
      <c r="M82" s="812"/>
      <c r="N82" s="1105"/>
      <c r="O82" s="812"/>
      <c r="P82" s="1106"/>
      <c r="Q82" s="812"/>
      <c r="R82" s="1107"/>
      <c r="S82" s="692"/>
      <c r="T82" s="1108"/>
      <c r="U82" s="692"/>
      <c r="V82" s="692"/>
      <c r="W82" s="1132"/>
      <c r="X82" s="1132"/>
      <c r="Y82" s="817"/>
      <c r="Z82" s="1133"/>
      <c r="AA82" s="692"/>
      <c r="AB82" s="1026"/>
      <c r="AC82" s="1109"/>
      <c r="AD82" s="1110"/>
      <c r="AE82" s="692"/>
      <c r="AF82" s="1102"/>
      <c r="AG82" s="812"/>
      <c r="AH82" s="1111"/>
      <c r="AI82" s="834"/>
      <c r="AJ82" s="834"/>
      <c r="AK82" s="812"/>
      <c r="AL82" s="1112"/>
      <c r="AM82" s="692"/>
      <c r="AN82" s="1113"/>
      <c r="AO82" s="1114"/>
      <c r="AP82" s="1115"/>
      <c r="AQ82" s="1116"/>
      <c r="AR82" s="1116"/>
      <c r="AS82" s="1114"/>
      <c r="AT82" s="1117"/>
      <c r="AU82" s="692"/>
      <c r="AV82" s="1113"/>
      <c r="AW82" s="1114"/>
      <c r="AX82" s="1115"/>
      <c r="AY82" s="1116"/>
      <c r="AZ82" s="1116"/>
      <c r="BA82" s="1114"/>
      <c r="BB82" s="1117"/>
      <c r="BC82" s="692"/>
      <c r="BD82" s="1113"/>
      <c r="BE82" s="1114"/>
      <c r="BF82" s="1115"/>
      <c r="BG82" s="1116"/>
      <c r="BH82" s="1116"/>
      <c r="BI82" s="1114"/>
      <c r="BJ82" s="1117"/>
      <c r="BK82" s="812"/>
      <c r="BL82" s="1062"/>
      <c r="BM82" s="1063"/>
      <c r="BN82" s="1064"/>
      <c r="BO82" s="692"/>
      <c r="BP82" s="692"/>
      <c r="BQ82" s="692"/>
      <c r="BR82" s="692"/>
      <c r="BS82" s="692"/>
      <c r="BT82" s="692"/>
      <c r="BU82" s="692"/>
    </row>
    <row r="83" spans="1:73" s="3" customFormat="1">
      <c r="A83" s="692"/>
      <c r="B83" s="818" t="s">
        <v>478</v>
      </c>
      <c r="C83" s="812"/>
      <c r="D83" s="1118">
        <f>'Billing Units'!H20</f>
        <v>2115984799.9999998</v>
      </c>
      <c r="E83" s="828">
        <f>'Rate Inputs'!H20+IF($D$7,$J$7,0)</f>
        <v>7.062199999999999E-2</v>
      </c>
      <c r="F83" s="820" t="s">
        <v>157</v>
      </c>
      <c r="G83" s="812"/>
      <c r="H83" s="1119">
        <f>ROUND(E83*D83,0)</f>
        <v>149435079</v>
      </c>
      <c r="I83" s="812"/>
      <c r="J83" s="1134">
        <f>'Billing Units'!H58</f>
        <v>2115984799.9999998</v>
      </c>
      <c r="K83" s="1135">
        <f>IF(W$10,W83,(T85-SUM(N76:N80)-AD84*J84)/(J83+J84))</f>
        <v>5.0794302258334721E-2</v>
      </c>
      <c r="L83" s="1136" t="s">
        <v>157</v>
      </c>
      <c r="M83" s="812"/>
      <c r="N83" s="1121">
        <f>ROUND(K83*J83,0)</f>
        <v>107479972</v>
      </c>
      <c r="O83" s="812"/>
      <c r="P83" s="1122">
        <f>IF(AND(N83=0,NOT(H83=0)),0,N83-H83)</f>
        <v>-41955107</v>
      </c>
      <c r="Q83" s="1119"/>
      <c r="R83" s="1048">
        <f>IF(D83=0,0,ROUND((N83-H83)/H83,9))</f>
        <v>-0.28075808800000002</v>
      </c>
      <c r="S83" s="692"/>
      <c r="T83" s="1123"/>
      <c r="U83" s="692"/>
      <c r="V83" s="692"/>
      <c r="W83" s="1137">
        <f>INDEX($X83:$Z83,MATCH($D$6,$X$8:$Z$8,0))</f>
        <v>0</v>
      </c>
      <c r="X83" s="1076"/>
      <c r="Y83" s="805"/>
      <c r="Z83" s="1077"/>
      <c r="AA83" s="692"/>
      <c r="AB83" s="1026"/>
      <c r="AC83" s="1109"/>
      <c r="AD83" s="1110"/>
      <c r="AE83" s="692"/>
      <c r="AF83" s="1127">
        <f>H83</f>
        <v>149435079</v>
      </c>
      <c r="AG83" s="1119"/>
      <c r="AH83" s="1111"/>
      <c r="AI83" s="817">
        <v>3.6499999999999998E-2</v>
      </c>
      <c r="AJ83" s="817">
        <f t="shared" ref="AJ83:AJ84" si="16">AI83*$AH$85</f>
        <v>3.1692752044883817E-2</v>
      </c>
      <c r="AK83" s="1119" t="s">
        <v>157</v>
      </c>
      <c r="AL83" s="1112">
        <f>AJ83*J83</f>
        <v>67061381.597143069</v>
      </c>
      <c r="AM83" s="692"/>
      <c r="AN83" s="1128">
        <v>80306161</v>
      </c>
      <c r="AO83" s="1129"/>
      <c r="AP83" s="1115"/>
      <c r="AQ83" s="1116">
        <v>3.6499999999999998E-2</v>
      </c>
      <c r="AR83" s="1116">
        <v>4.4532565143421632E-2</v>
      </c>
      <c r="AS83" s="1129" t="s">
        <v>157</v>
      </c>
      <c r="AT83" s="1117">
        <v>97979160.412523776</v>
      </c>
      <c r="AU83" s="692"/>
      <c r="AV83" s="1128">
        <v>77233445</v>
      </c>
      <c r="AW83" s="1129"/>
      <c r="AX83" s="1115"/>
      <c r="AY83" s="1116">
        <v>3.6499999999999998E-2</v>
      </c>
      <c r="AZ83" s="1116">
        <v>5.0032671680460238E-2</v>
      </c>
      <c r="BA83" s="1129" t="s">
        <v>157</v>
      </c>
      <c r="BB83" s="1117">
        <v>105868372.7792443</v>
      </c>
      <c r="BC83" s="692"/>
      <c r="BD83" s="1128">
        <v>77233766</v>
      </c>
      <c r="BE83" s="1129"/>
      <c r="BF83" s="1115"/>
      <c r="BG83" s="1116">
        <v>3.6499999999999998E-2</v>
      </c>
      <c r="BH83" s="1116">
        <v>4.8569653055259912E-2</v>
      </c>
      <c r="BI83" s="1129" t="s">
        <v>157</v>
      </c>
      <c r="BJ83" s="1117">
        <v>102773075.01915041</v>
      </c>
      <c r="BK83" s="1119"/>
      <c r="BL83" s="1062"/>
      <c r="BM83" s="1063"/>
      <c r="BN83" s="1064"/>
      <c r="BO83" s="692"/>
      <c r="BP83" s="692"/>
      <c r="BQ83" s="692"/>
      <c r="BR83" s="692"/>
      <c r="BS83" s="692"/>
      <c r="BT83" s="692"/>
      <c r="BU83" s="692"/>
    </row>
    <row r="84" spans="1:73" s="3" customFormat="1">
      <c r="A84" s="692"/>
      <c r="B84" s="818" t="s">
        <v>479</v>
      </c>
      <c r="C84" s="812"/>
      <c r="D84" s="1118">
        <f>'Billing Units'!I20</f>
        <v>508508798.19999993</v>
      </c>
      <c r="E84" s="828">
        <f>'Rate Inputs'!I20+IF($D$7,$J$7,0)</f>
        <v>6.6622000000000001E-2</v>
      </c>
      <c r="F84" s="820" t="s">
        <v>157</v>
      </c>
      <c r="G84" s="820"/>
      <c r="H84" s="1119">
        <f>ROUND(E84*D84,0)</f>
        <v>33877873</v>
      </c>
      <c r="I84" s="812"/>
      <c r="J84" s="1134">
        <f>'Billing Units'!I58</f>
        <v>508508798.19999993</v>
      </c>
      <c r="K84" s="1175">
        <f>IF(W$10,W84,K83+AD84)</f>
        <v>4.6794302258334725E-2</v>
      </c>
      <c r="L84" s="1136" t="s">
        <v>157</v>
      </c>
      <c r="M84" s="820"/>
      <c r="N84" s="1121">
        <f>ROUND(K84*J84,0)</f>
        <v>23795314</v>
      </c>
      <c r="O84" s="1119"/>
      <c r="P84" s="1122">
        <f>IF(AND(N84=0,NOT(H84=0)),0,N84-H84)</f>
        <v>-10082559</v>
      </c>
      <c r="Q84" s="1119"/>
      <c r="R84" s="1048">
        <f>IF(D84=0,0,ROUND((N84-H84)/H84,9))</f>
        <v>-0.297614877</v>
      </c>
      <c r="S84" s="692"/>
      <c r="T84" s="1123"/>
      <c r="U84" s="692"/>
      <c r="V84" s="692"/>
      <c r="W84" s="1138">
        <f>INDEX($X84:$Z84,MATCH($D$6,$X$8:$Z$8,0))</f>
        <v>0</v>
      </c>
      <c r="X84" s="1067"/>
      <c r="Y84" s="802"/>
      <c r="Z84" s="1068"/>
      <c r="AA84" s="692"/>
      <c r="AB84" s="1026"/>
      <c r="AC84" s="789">
        <v>0.89041095890410971</v>
      </c>
      <c r="AD84" s="1079">
        <v>-3.9999999999999966E-3</v>
      </c>
      <c r="AE84" s="692"/>
      <c r="AF84" s="1127">
        <f>H84</f>
        <v>33877873</v>
      </c>
      <c r="AG84" s="1119"/>
      <c r="AH84" s="1111"/>
      <c r="AI84" s="817">
        <v>3.2500000000000001E-2</v>
      </c>
      <c r="AJ84" s="817">
        <f t="shared" si="16"/>
        <v>2.8219573738595179E-2</v>
      </c>
      <c r="AK84" s="1119" t="s">
        <v>157</v>
      </c>
      <c r="AL84" s="1112">
        <f>AJ84*J84</f>
        <v>14349901.527529314</v>
      </c>
      <c r="AM84" s="692"/>
      <c r="AN84" s="1128">
        <v>15810964</v>
      </c>
      <c r="AO84" s="1129"/>
      <c r="AP84" s="1115"/>
      <c r="AQ84" s="1116">
        <v>3.2500000000000001E-2</v>
      </c>
      <c r="AR84" s="1116">
        <v>3.9652284031813784E-2</v>
      </c>
      <c r="AS84" s="1129" t="s">
        <v>157</v>
      </c>
      <c r="AT84" s="1117">
        <v>19290487.344478115</v>
      </c>
      <c r="AU84" s="692"/>
      <c r="AV84" s="1128">
        <v>16526536</v>
      </c>
      <c r="AW84" s="1129"/>
      <c r="AX84" s="1115"/>
      <c r="AY84" s="1116">
        <v>3.2500000000000001E-2</v>
      </c>
      <c r="AZ84" s="1116">
        <v>4.4549639167533087E-2</v>
      </c>
      <c r="BA84" s="1129" t="s">
        <v>157</v>
      </c>
      <c r="BB84" s="1117">
        <v>22653883.473325897</v>
      </c>
      <c r="BC84" s="692"/>
      <c r="BD84" s="1128">
        <v>15964582</v>
      </c>
      <c r="BE84" s="1129"/>
      <c r="BF84" s="1115"/>
      <c r="BG84" s="1116">
        <v>3.2500000000000001E-2</v>
      </c>
      <c r="BH84" s="1116">
        <v>4.3246951350573902E-2</v>
      </c>
      <c r="BI84" s="1129" t="s">
        <v>157</v>
      </c>
      <c r="BJ84" s="1117">
        <v>21243677.17706158</v>
      </c>
      <c r="BK84" s="1119"/>
      <c r="BL84" s="1062"/>
      <c r="BM84" s="1063"/>
      <c r="BN84" s="1064"/>
      <c r="BO84" s="692"/>
      <c r="BP84" s="692"/>
      <c r="BQ84" s="692"/>
      <c r="BR84" s="692"/>
      <c r="BS84" s="692"/>
      <c r="BT84" s="692"/>
      <c r="BU84" s="692"/>
    </row>
    <row r="85" spans="1:73" s="3" customFormat="1" ht="13.8" thickBot="1">
      <c r="A85" s="692"/>
      <c r="B85" s="821" t="s">
        <v>481</v>
      </c>
      <c r="C85" s="822"/>
      <c r="D85" s="1139">
        <f>SUM(D83:D84)</f>
        <v>2624493598.1999998</v>
      </c>
      <c r="E85" s="825"/>
      <c r="F85" s="825"/>
      <c r="G85" s="825"/>
      <c r="H85" s="1140">
        <f>SUM(H76,H79:H80,H83,H84)</f>
        <v>244307199</v>
      </c>
      <c r="I85" s="822"/>
      <c r="J85" s="1141">
        <f>SUM(J83:J84)</f>
        <v>2624493598.1999998</v>
      </c>
      <c r="K85" s="824"/>
      <c r="L85" s="1142"/>
      <c r="M85" s="825"/>
      <c r="N85" s="1143">
        <f>SUM(N76, N79:N80,N83,N84)</f>
        <v>212130616</v>
      </c>
      <c r="O85" s="1140"/>
      <c r="P85" s="1144">
        <f>IF(AND(N85=0,NOT(H85=0)),0,N85-H85)</f>
        <v>-32176583</v>
      </c>
      <c r="Q85" s="1140"/>
      <c r="R85" s="1145">
        <f>IF(D85=0,0,ROUND((N85-H85)/H85,9))</f>
        <v>-0.13170542299999999</v>
      </c>
      <c r="S85" s="692"/>
      <c r="T85" s="1087">
        <f>INDEX('Revenue Summary'!$R$10:$R$38,MATCH(AB85,'Revenue Summary'!$B$10:$B$38,0))</f>
        <v>212130615.90923527</v>
      </c>
      <c r="U85" s="692"/>
      <c r="V85" s="692"/>
      <c r="W85" s="1146"/>
      <c r="X85" s="1146"/>
      <c r="Y85" s="824"/>
      <c r="Z85" s="1147"/>
      <c r="AA85" s="692"/>
      <c r="AB85" s="1026" t="str" cm="1">
        <f t="array" ref="AB85">INDEX(_xlfn.TEXTSPLIT(B85," "),2)</f>
        <v>GST</v>
      </c>
      <c r="AC85" s="1109"/>
      <c r="AD85" s="1110"/>
      <c r="AE85" s="692"/>
      <c r="AF85" s="1148">
        <f>H85</f>
        <v>244307199</v>
      </c>
      <c r="AG85" s="1140">
        <f>T85</f>
        <v>212130615.90923527</v>
      </c>
      <c r="AH85" s="1149">
        <f>AG85/AF85</f>
        <v>0.86829457657215936</v>
      </c>
      <c r="AI85" s="1150"/>
      <c r="AJ85" s="1150"/>
      <c r="AK85" s="1140"/>
      <c r="AL85" s="1093">
        <f>SUM(AL76:AL84)</f>
        <v>134372256.82321617</v>
      </c>
      <c r="AM85" s="692"/>
      <c r="AN85" s="1151">
        <v>157117222</v>
      </c>
      <c r="AO85" s="1154">
        <v>191694052.70872435</v>
      </c>
      <c r="AP85" s="1152">
        <v>1.2200702779019625</v>
      </c>
      <c r="AQ85" s="1153"/>
      <c r="AR85" s="1153"/>
      <c r="AS85" s="1154"/>
      <c r="AT85" s="1098">
        <v>191694052.8118245</v>
      </c>
      <c r="AU85" s="692"/>
      <c r="AV85" s="1151">
        <v>154754228</v>
      </c>
      <c r="AW85" s="1154">
        <v>212130615.90923527</v>
      </c>
      <c r="AX85" s="1152">
        <v>1.3707581282317873</v>
      </c>
      <c r="AY85" s="1153"/>
      <c r="AZ85" s="1153"/>
      <c r="BA85" s="1154"/>
      <c r="BB85" s="1098">
        <v>212130615.82904589</v>
      </c>
      <c r="BC85" s="692"/>
      <c r="BD85" s="1151">
        <v>150853494</v>
      </c>
      <c r="BE85" s="1154">
        <v>200737037.41791052</v>
      </c>
      <c r="BF85" s="1152">
        <v>1.3306754261715046</v>
      </c>
      <c r="BG85" s="1153"/>
      <c r="BH85" s="1153"/>
      <c r="BI85" s="1154"/>
      <c r="BJ85" s="1098">
        <v>200737038.1707423</v>
      </c>
      <c r="BK85" s="1043"/>
      <c r="BL85" s="1062"/>
      <c r="BM85" s="1063"/>
      <c r="BN85" s="1064"/>
      <c r="BO85" s="692"/>
      <c r="BP85" s="692"/>
      <c r="BQ85" s="692"/>
      <c r="BR85" s="692"/>
      <c r="BS85" s="692"/>
      <c r="BT85" s="692"/>
      <c r="BU85" s="692"/>
    </row>
    <row r="86" spans="1:73" ht="13.8" thickTop="1">
      <c r="B86" s="795"/>
      <c r="C86" s="795"/>
      <c r="D86" s="1036"/>
      <c r="E86" s="795"/>
      <c r="F86" s="795"/>
      <c r="G86" s="795"/>
      <c r="H86" s="795"/>
      <c r="I86" s="795"/>
      <c r="J86" s="795"/>
      <c r="K86" s="795"/>
      <c r="L86" s="1037"/>
      <c r="M86" s="795"/>
      <c r="N86" s="1099"/>
      <c r="O86" s="795"/>
      <c r="P86" s="1100"/>
      <c r="Q86" s="795"/>
      <c r="R86" s="1101"/>
      <c r="T86" s="1041"/>
      <c r="W86" s="1036"/>
      <c r="X86" s="1036"/>
      <c r="Y86" s="795"/>
      <c r="Z86" s="1037"/>
      <c r="AB86" s="1026"/>
      <c r="AD86" s="1027"/>
      <c r="AF86" s="1036"/>
      <c r="AG86" s="795"/>
      <c r="AH86" s="1055"/>
      <c r="AI86" s="832"/>
      <c r="AJ86" s="832"/>
      <c r="AK86" s="795"/>
      <c r="AL86" s="1056"/>
      <c r="AN86" s="1033"/>
      <c r="AO86" s="1034"/>
      <c r="AP86" s="1059"/>
      <c r="AQ86" s="1060"/>
      <c r="AR86" s="1060"/>
      <c r="AS86" s="1034"/>
      <c r="AT86" s="1061"/>
      <c r="AV86" s="1033"/>
      <c r="AW86" s="1034"/>
      <c r="AX86" s="1059"/>
      <c r="AY86" s="1060"/>
      <c r="AZ86" s="1060"/>
      <c r="BA86" s="1034"/>
      <c r="BB86" s="1061"/>
      <c r="BD86" s="1033"/>
      <c r="BE86" s="1034"/>
      <c r="BF86" s="1059"/>
      <c r="BG86" s="1060"/>
      <c r="BH86" s="1060"/>
      <c r="BI86" s="1034"/>
      <c r="BJ86" s="1061"/>
      <c r="BK86" s="795"/>
      <c r="BL86" s="1062"/>
      <c r="BM86" s="1063"/>
      <c r="BN86" s="1064"/>
    </row>
    <row r="87" spans="1:73">
      <c r="B87" s="797" t="s">
        <v>397</v>
      </c>
      <c r="C87" s="797"/>
      <c r="D87" s="1036"/>
      <c r="E87" s="795"/>
      <c r="F87" s="795"/>
      <c r="G87" s="795"/>
      <c r="H87" s="795"/>
      <c r="I87" s="795"/>
      <c r="J87" s="1040"/>
      <c r="K87" s="795"/>
      <c r="L87" s="1037"/>
      <c r="M87" s="795"/>
      <c r="N87" s="1099"/>
      <c r="O87" s="795"/>
      <c r="P87" s="1100"/>
      <c r="Q87" s="795"/>
      <c r="R87" s="1101"/>
      <c r="T87" s="1041"/>
      <c r="W87" s="1036"/>
      <c r="X87" s="1036"/>
      <c r="Y87" s="795"/>
      <c r="Z87" s="1037"/>
      <c r="AB87" s="1026"/>
      <c r="AD87" s="1027"/>
      <c r="AF87" s="1036"/>
      <c r="AG87" s="795"/>
      <c r="AH87" s="1055"/>
      <c r="AI87" s="832"/>
      <c r="AJ87" s="832"/>
      <c r="AK87" s="795"/>
      <c r="AL87" s="1056"/>
      <c r="AN87" s="1033"/>
      <c r="AO87" s="1034"/>
      <c r="AP87" s="1059"/>
      <c r="AQ87" s="1060"/>
      <c r="AR87" s="1060"/>
      <c r="AS87" s="1034"/>
      <c r="AT87" s="1061"/>
      <c r="AV87" s="1033"/>
      <c r="AW87" s="1034"/>
      <c r="AX87" s="1059"/>
      <c r="AY87" s="1060"/>
      <c r="AZ87" s="1060"/>
      <c r="BA87" s="1034"/>
      <c r="BB87" s="1061"/>
      <c r="BD87" s="1033"/>
      <c r="BE87" s="1034"/>
      <c r="BF87" s="1059"/>
      <c r="BG87" s="1060"/>
      <c r="BH87" s="1060"/>
      <c r="BI87" s="1034"/>
      <c r="BJ87" s="1061"/>
      <c r="BK87" s="795"/>
      <c r="BL87" s="1062"/>
      <c r="BM87" s="1063"/>
      <c r="BN87" s="1064"/>
    </row>
    <row r="88" spans="1:73">
      <c r="B88" s="795"/>
      <c r="C88" s="795"/>
      <c r="D88" s="1036"/>
      <c r="E88" s="795"/>
      <c r="F88" s="795"/>
      <c r="G88" s="795"/>
      <c r="H88" s="795"/>
      <c r="I88" s="795"/>
      <c r="J88" s="1040"/>
      <c r="K88" s="795"/>
      <c r="L88" s="1037"/>
      <c r="M88" s="795"/>
      <c r="N88" s="1099"/>
      <c r="O88" s="795"/>
      <c r="P88" s="1100"/>
      <c r="Q88" s="795"/>
      <c r="R88" s="1101"/>
      <c r="T88" s="1041"/>
      <c r="W88" s="1036"/>
      <c r="X88" s="1036"/>
      <c r="Y88" s="795"/>
      <c r="Z88" s="1037"/>
      <c r="AB88" s="1026"/>
      <c r="AD88" s="1027"/>
      <c r="AF88" s="1036"/>
      <c r="AG88" s="795"/>
      <c r="AH88" s="1055"/>
      <c r="AI88" s="832"/>
      <c r="AJ88" s="832"/>
      <c r="AK88" s="795"/>
      <c r="AL88" s="1056"/>
      <c r="AN88" s="1033"/>
      <c r="AO88" s="1034"/>
      <c r="AP88" s="1059"/>
      <c r="AQ88" s="1060"/>
      <c r="AR88" s="1060"/>
      <c r="AS88" s="1034"/>
      <c r="AT88" s="1061"/>
      <c r="AV88" s="1033"/>
      <c r="AW88" s="1034"/>
      <c r="AX88" s="1059"/>
      <c r="AY88" s="1060"/>
      <c r="AZ88" s="1060"/>
      <c r="BA88" s="1034"/>
      <c r="BB88" s="1061"/>
      <c r="BD88" s="1033"/>
      <c r="BE88" s="1034"/>
      <c r="BF88" s="1059"/>
      <c r="BG88" s="1060"/>
      <c r="BH88" s="1060"/>
      <c r="BI88" s="1034"/>
      <c r="BJ88" s="1061"/>
      <c r="BK88" s="795"/>
      <c r="BL88" s="1062"/>
      <c r="BM88" s="1063"/>
      <c r="BN88" s="1064"/>
    </row>
    <row r="89" spans="1:73">
      <c r="B89" s="795" t="s">
        <v>461</v>
      </c>
      <c r="C89" s="795"/>
      <c r="D89" s="1042">
        <f>'Billing Units'!D22</f>
        <v>1</v>
      </c>
      <c r="E89" s="799">
        <f>'Rate Inputs'!D22</f>
        <v>200</v>
      </c>
      <c r="F89" s="795" t="s">
        <v>160</v>
      </c>
      <c r="G89" s="832"/>
      <c r="H89" s="1043">
        <f>ROUND(E89*D89*12,0)</f>
        <v>2400</v>
      </c>
      <c r="I89" s="795"/>
      <c r="J89" s="1044">
        <f>'Billing Units'!D60</f>
        <v>1</v>
      </c>
      <c r="K89" s="1045">
        <f>W89</f>
        <v>340</v>
      </c>
      <c r="L89" s="1037" t="str">
        <f>F89</f>
        <v>per month</v>
      </c>
      <c r="M89" s="832"/>
      <c r="N89" s="1046">
        <f>ROUND(K89*J89*12,0)</f>
        <v>4080</v>
      </c>
      <c r="O89" s="1043"/>
      <c r="P89" s="1047">
        <f>IF(AND(N89=0,NOT(H89=0)),0,N89-H89)</f>
        <v>1680</v>
      </c>
      <c r="Q89" s="1043"/>
      <c r="R89" s="1074">
        <f>IF(D89=0,0,ROUND((N89-H89)/H89,9))</f>
        <v>0.7</v>
      </c>
      <c r="T89" s="1049"/>
      <c r="W89" s="1050">
        <f>INDEX($X89:$Z89,MATCH($D$6,$X$8:$Z$8,0))</f>
        <v>340</v>
      </c>
      <c r="X89" s="1051">
        <f>E89</f>
        <v>200</v>
      </c>
      <c r="Y89" s="1125">
        <f>Z89</f>
        <v>340</v>
      </c>
      <c r="Z89" s="1126">
        <f>BN89</f>
        <v>340</v>
      </c>
      <c r="AB89" s="1026"/>
      <c r="AD89" s="1027"/>
      <c r="AF89" s="1054">
        <f>H89</f>
        <v>2400</v>
      </c>
      <c r="AG89" s="1043"/>
      <c r="AH89" s="1055"/>
      <c r="AI89" s="832">
        <v>200</v>
      </c>
      <c r="AJ89" s="834">
        <f>AI89*$AH$98</f>
        <v>238.21952610626232</v>
      </c>
      <c r="AK89" s="1043" t="s">
        <v>160</v>
      </c>
      <c r="AL89" s="1112">
        <f>AJ89*J89*12</f>
        <v>2858.6343132751481</v>
      </c>
      <c r="AN89" s="1057">
        <v>2400</v>
      </c>
      <c r="AO89" s="1058"/>
      <c r="AP89" s="1059"/>
      <c r="AQ89" s="1060">
        <v>200</v>
      </c>
      <c r="AR89" s="1116">
        <v>325.77042577841826</v>
      </c>
      <c r="AS89" s="1058" t="s">
        <v>160</v>
      </c>
      <c r="AT89" s="1117">
        <v>3909.2451093410191</v>
      </c>
      <c r="AV89" s="1057">
        <v>2400</v>
      </c>
      <c r="AW89" s="1058"/>
      <c r="AX89" s="1059"/>
      <c r="AY89" s="1060">
        <v>200</v>
      </c>
      <c r="AZ89" s="1116">
        <v>359.84214349693991</v>
      </c>
      <c r="BA89" s="1058" t="s">
        <v>160</v>
      </c>
      <c r="BB89" s="1117">
        <v>4318.1057219632785</v>
      </c>
      <c r="BD89" s="1057">
        <v>2400</v>
      </c>
      <c r="BE89" s="1058"/>
      <c r="BF89" s="1059"/>
      <c r="BG89" s="1060">
        <v>200</v>
      </c>
      <c r="BH89" s="1116">
        <v>340.50158565027425</v>
      </c>
      <c r="BI89" s="1058" t="s">
        <v>160</v>
      </c>
      <c r="BJ89" s="1117">
        <v>4086.019027803291</v>
      </c>
      <c r="BK89" s="1043"/>
      <c r="BL89" s="1062">
        <f>IF(AR89&lt;20,ROUND(AR89,0),MROUND(AR89,5))</f>
        <v>325</v>
      </c>
      <c r="BM89" s="1063">
        <f>IF(AZ89&lt;20,ROUND(AZ89,0),MROUND(AZ89,5))</f>
        <v>360</v>
      </c>
      <c r="BN89" s="1064">
        <f>IF(BH89&lt;20,ROUND(BH89,0),MROUND(BH89,5))</f>
        <v>340</v>
      </c>
    </row>
    <row r="90" spans="1:73">
      <c r="B90" s="795"/>
      <c r="C90" s="795"/>
      <c r="D90" s="1065"/>
      <c r="E90" s="802"/>
      <c r="F90" s="795"/>
      <c r="G90" s="795"/>
      <c r="H90" s="795"/>
      <c r="I90" s="795"/>
      <c r="J90" s="1044"/>
      <c r="K90" s="802"/>
      <c r="L90" s="1037"/>
      <c r="M90" s="795"/>
      <c r="N90" s="1099"/>
      <c r="O90" s="795"/>
      <c r="P90" s="1100"/>
      <c r="Q90" s="795"/>
      <c r="R90" s="1101"/>
      <c r="T90" s="1041"/>
      <c r="W90" s="1067"/>
      <c r="X90" s="1067"/>
      <c r="Y90" s="802"/>
      <c r="Z90" s="1068"/>
      <c r="AB90" s="1026"/>
      <c r="AD90" s="1027"/>
      <c r="AF90" s="1036"/>
      <c r="AG90" s="795"/>
      <c r="AH90" s="1055"/>
      <c r="AI90" s="832"/>
      <c r="AJ90" s="832"/>
      <c r="AK90" s="795"/>
      <c r="AL90" s="1056"/>
      <c r="AN90" s="1033"/>
      <c r="AO90" s="1034"/>
      <c r="AP90" s="1059"/>
      <c r="AQ90" s="1060"/>
      <c r="AR90" s="1060"/>
      <c r="AS90" s="1034"/>
      <c r="AT90" s="1061"/>
      <c r="AV90" s="1033"/>
      <c r="AW90" s="1034"/>
      <c r="AX90" s="1059"/>
      <c r="AY90" s="1060"/>
      <c r="AZ90" s="1060"/>
      <c r="BA90" s="1034"/>
      <c r="BB90" s="1061"/>
      <c r="BD90" s="1033"/>
      <c r="BE90" s="1034"/>
      <c r="BF90" s="1059"/>
      <c r="BG90" s="1060"/>
      <c r="BH90" s="1060"/>
      <c r="BI90" s="1034"/>
      <c r="BJ90" s="1061"/>
      <c r="BK90" s="795"/>
      <c r="BL90" s="1062"/>
      <c r="BM90" s="1063"/>
      <c r="BN90" s="1064"/>
    </row>
    <row r="91" spans="1:73">
      <c r="B91" s="795" t="s">
        <v>476</v>
      </c>
      <c r="C91" s="795"/>
      <c r="D91" s="1065"/>
      <c r="E91" s="802"/>
      <c r="F91" s="795"/>
      <c r="G91" s="795"/>
      <c r="H91" s="795"/>
      <c r="I91" s="795"/>
      <c r="J91" s="1044"/>
      <c r="K91" s="802"/>
      <c r="L91" s="1037"/>
      <c r="M91" s="795"/>
      <c r="N91" s="1099"/>
      <c r="O91" s="795"/>
      <c r="P91" s="1100"/>
      <c r="Q91" s="795"/>
      <c r="R91" s="1101"/>
      <c r="T91" s="1041"/>
      <c r="W91" s="1067"/>
      <c r="X91" s="1067"/>
      <c r="Y91" s="802"/>
      <c r="Z91" s="1068"/>
      <c r="AB91" s="1026"/>
      <c r="AD91" s="1027"/>
      <c r="AF91" s="1036"/>
      <c r="AG91" s="795"/>
      <c r="AH91" s="1055"/>
      <c r="AI91" s="832"/>
      <c r="AJ91" s="832"/>
      <c r="AK91" s="795"/>
      <c r="AL91" s="1056"/>
      <c r="AN91" s="1033"/>
      <c r="AO91" s="1034"/>
      <c r="AP91" s="1059"/>
      <c r="AQ91" s="1060"/>
      <c r="AR91" s="1060"/>
      <c r="AS91" s="1034"/>
      <c r="AT91" s="1061"/>
      <c r="AV91" s="1033"/>
      <c r="AW91" s="1034"/>
      <c r="AX91" s="1059"/>
      <c r="AY91" s="1060"/>
      <c r="AZ91" s="1060"/>
      <c r="BA91" s="1034"/>
      <c r="BB91" s="1061"/>
      <c r="BD91" s="1033"/>
      <c r="BE91" s="1034"/>
      <c r="BF91" s="1059"/>
      <c r="BG91" s="1060"/>
      <c r="BH91" s="1060"/>
      <c r="BI91" s="1034"/>
      <c r="BJ91" s="1061"/>
      <c r="BK91" s="795"/>
      <c r="BL91" s="1062"/>
      <c r="BM91" s="1063"/>
      <c r="BN91" s="1064"/>
    </row>
    <row r="92" spans="1:73">
      <c r="B92" s="803" t="s">
        <v>482</v>
      </c>
      <c r="C92" s="795"/>
      <c r="D92" s="1042">
        <f>'Billing Units'!M22</f>
        <v>19824</v>
      </c>
      <c r="E92" s="832">
        <f>'Rate Inputs'!M22</f>
        <v>8.1</v>
      </c>
      <c r="F92" s="795" t="s">
        <v>394</v>
      </c>
      <c r="G92" s="832"/>
      <c r="H92" s="1043">
        <f>ROUND(E92*D92,0)</f>
        <v>160574</v>
      </c>
      <c r="I92" s="795"/>
      <c r="J92" s="1066">
        <f>'Billing Units'!M60</f>
        <v>19824</v>
      </c>
      <c r="K92" s="1045">
        <f t="shared" ref="K92:K93" si="17">W92</f>
        <v>13.8</v>
      </c>
      <c r="L92" s="1037" t="str">
        <f>F92</f>
        <v>per kVA</v>
      </c>
      <c r="M92" s="832"/>
      <c r="N92" s="1046">
        <f>ROUND(K92*J92,0)</f>
        <v>273571</v>
      </c>
      <c r="O92" s="1043"/>
      <c r="P92" s="1047">
        <f>IF(AND(N92=0,NOT(H92=0)),0,N92-H92)</f>
        <v>112997</v>
      </c>
      <c r="Q92" s="1043"/>
      <c r="R92" s="1074">
        <f>IF(D92=0,0,ROUND((N92-H92)/H92,9))</f>
        <v>0.70370670199999996</v>
      </c>
      <c r="T92" s="1049"/>
      <c r="W92" s="1173">
        <f>INDEX($X92:$Z92,MATCH($D$6,$X$8:$Z$8,0))</f>
        <v>13.8</v>
      </c>
      <c r="X92" s="1051">
        <f>E92</f>
        <v>8.1</v>
      </c>
      <c r="Y92" s="1125">
        <f t="shared" ref="Y92:Y93" si="18">Z92</f>
        <v>13.8</v>
      </c>
      <c r="Z92" s="1126">
        <f t="shared" ref="Z92:Z93" si="19">BN92</f>
        <v>13.8</v>
      </c>
      <c r="AB92" s="1026"/>
      <c r="AD92" s="1027"/>
      <c r="AF92" s="1054">
        <f>H92</f>
        <v>160574</v>
      </c>
      <c r="AG92" s="1043"/>
      <c r="AH92" s="1055"/>
      <c r="AI92" s="832">
        <v>8.1</v>
      </c>
      <c r="AJ92" s="832">
        <f t="shared" ref="AJ92:AJ93" si="20">AI92*$AH$98</f>
        <v>9.6478908073036234</v>
      </c>
      <c r="AK92" s="1043" t="s">
        <v>394</v>
      </c>
      <c r="AL92" s="1056">
        <f>AJ92*J92</f>
        <v>191259.78736398704</v>
      </c>
      <c r="AN92" s="1057">
        <v>160574</v>
      </c>
      <c r="AO92" s="1058"/>
      <c r="AP92" s="1059"/>
      <c r="AQ92" s="1060">
        <v>8.1</v>
      </c>
      <c r="AR92" s="1060">
        <v>13.193702244025939</v>
      </c>
      <c r="AS92" s="1058" t="s">
        <v>394</v>
      </c>
      <c r="AT92" s="1061">
        <v>261551.95328557023</v>
      </c>
      <c r="AV92" s="1057">
        <v>160574</v>
      </c>
      <c r="AW92" s="1058"/>
      <c r="AX92" s="1059"/>
      <c r="AY92" s="1060">
        <v>8.1</v>
      </c>
      <c r="AZ92" s="1060">
        <v>14.573606811626066</v>
      </c>
      <c r="BA92" s="1058" t="s">
        <v>394</v>
      </c>
      <c r="BB92" s="1061">
        <v>288907.18143367511</v>
      </c>
      <c r="BD92" s="1057">
        <v>160574</v>
      </c>
      <c r="BE92" s="1058"/>
      <c r="BF92" s="1059"/>
      <c r="BG92" s="1060">
        <v>8.1</v>
      </c>
      <c r="BH92" s="1060">
        <v>13.790314218836107</v>
      </c>
      <c r="BI92" s="1058" t="s">
        <v>394</v>
      </c>
      <c r="BJ92" s="1061">
        <v>273379.18907420698</v>
      </c>
      <c r="BK92" s="1043"/>
      <c r="BL92" s="1062">
        <f>ROUND(AR92,1)</f>
        <v>13.2</v>
      </c>
      <c r="BM92" s="1063">
        <f>ROUND(AZ92,1)</f>
        <v>14.6</v>
      </c>
      <c r="BN92" s="1064">
        <f>ROUND(BH92,1)</f>
        <v>13.8</v>
      </c>
    </row>
    <row r="93" spans="1:73">
      <c r="B93" s="803" t="s">
        <v>483</v>
      </c>
      <c r="C93" s="795"/>
      <c r="D93" s="1042">
        <f>'Billing Units'!N22</f>
        <v>18996</v>
      </c>
      <c r="E93" s="832">
        <f>'Rate Inputs'!N22</f>
        <v>1.1000000000000001</v>
      </c>
      <c r="F93" s="795" t="s">
        <v>394</v>
      </c>
      <c r="G93" s="832"/>
      <c r="H93" s="1043">
        <f>ROUND(E93*D93,0)</f>
        <v>20896</v>
      </c>
      <c r="I93" s="795"/>
      <c r="J93" s="1066">
        <f>'Billing Units'!N60</f>
        <v>18996</v>
      </c>
      <c r="K93" s="1045">
        <f t="shared" si="17"/>
        <v>1.9</v>
      </c>
      <c r="L93" s="1037" t="str">
        <f>F93</f>
        <v>per kVA</v>
      </c>
      <c r="M93" s="832"/>
      <c r="N93" s="1046">
        <f>ROUND(K93*J93,0)</f>
        <v>36092</v>
      </c>
      <c r="O93" s="1043"/>
      <c r="P93" s="1047">
        <f>IF(AND(N93=0,NOT(H93=0)),0,N93-H93)</f>
        <v>15196</v>
      </c>
      <c r="Q93" s="1043"/>
      <c r="R93" s="1074">
        <f>IF(D93=0,0,ROUND((N93-H93)/H93,9))</f>
        <v>0.72722052100000001</v>
      </c>
      <c r="T93" s="1049"/>
      <c r="W93" s="1173">
        <f>INDEX($X93:$Z93,MATCH($D$6,$X$8:$Z$8,0))</f>
        <v>1.9</v>
      </c>
      <c r="X93" s="1051">
        <f>E93</f>
        <v>1.1000000000000001</v>
      </c>
      <c r="Y93" s="1125">
        <f t="shared" si="18"/>
        <v>1.9</v>
      </c>
      <c r="Z93" s="1126">
        <f t="shared" si="19"/>
        <v>1.9</v>
      </c>
      <c r="AB93" s="1026"/>
      <c r="AD93" s="1027"/>
      <c r="AF93" s="1054">
        <f>H93</f>
        <v>20896</v>
      </c>
      <c r="AG93" s="1043"/>
      <c r="AH93" s="1055"/>
      <c r="AI93" s="832">
        <v>1.1000000000000001</v>
      </c>
      <c r="AJ93" s="832">
        <f t="shared" si="20"/>
        <v>1.3102073935844429</v>
      </c>
      <c r="AK93" s="1043" t="s">
        <v>394</v>
      </c>
      <c r="AL93" s="1056">
        <f>AJ93*J93</f>
        <v>24888.699648530077</v>
      </c>
      <c r="AN93" s="1057">
        <v>20896</v>
      </c>
      <c r="AO93" s="1058"/>
      <c r="AP93" s="1059"/>
      <c r="AQ93" s="1060">
        <v>1.1000000000000001</v>
      </c>
      <c r="AR93" s="1060">
        <v>1.7917373417813007</v>
      </c>
      <c r="AS93" s="1058" t="s">
        <v>394</v>
      </c>
      <c r="AT93" s="1061">
        <v>34035.842544477586</v>
      </c>
      <c r="AV93" s="1057">
        <v>20896</v>
      </c>
      <c r="AW93" s="1058"/>
      <c r="AX93" s="1059"/>
      <c r="AY93" s="1060">
        <v>1.1000000000000001</v>
      </c>
      <c r="AZ93" s="1060">
        <v>1.9791317892331697</v>
      </c>
      <c r="BA93" s="1058" t="s">
        <v>394</v>
      </c>
      <c r="BB93" s="1061">
        <v>37595.58746827329</v>
      </c>
      <c r="BD93" s="1057">
        <v>20896</v>
      </c>
      <c r="BE93" s="1058"/>
      <c r="BF93" s="1059"/>
      <c r="BG93" s="1060">
        <v>1.1000000000000001</v>
      </c>
      <c r="BH93" s="1060">
        <v>1.8727587210765086</v>
      </c>
      <c r="BI93" s="1058" t="s">
        <v>394</v>
      </c>
      <c r="BJ93" s="1061">
        <v>35574.924665569357</v>
      </c>
      <c r="BK93" s="1043"/>
      <c r="BL93" s="1062">
        <f>ROUND(AR93,1)</f>
        <v>1.8</v>
      </c>
      <c r="BM93" s="1063">
        <f>ROUND(AZ93,1)</f>
        <v>2</v>
      </c>
      <c r="BN93" s="1064">
        <f>ROUND(BH93,1)</f>
        <v>1.9</v>
      </c>
    </row>
    <row r="94" spans="1:73">
      <c r="B94" s="803"/>
      <c r="C94" s="795"/>
      <c r="D94" s="1042"/>
      <c r="E94" s="832"/>
      <c r="F94" s="795"/>
      <c r="G94" s="832"/>
      <c r="H94" s="1043"/>
      <c r="I94" s="795"/>
      <c r="J94" s="1073"/>
      <c r="K94" s="832"/>
      <c r="L94" s="1037"/>
      <c r="M94" s="832"/>
      <c r="N94" s="1046"/>
      <c r="O94" s="1043"/>
      <c r="P94" s="1100"/>
      <c r="Q94" s="795"/>
      <c r="R94" s="1101"/>
      <c r="T94" s="1049"/>
      <c r="W94" s="1174"/>
      <c r="X94" s="1174"/>
      <c r="Y94" s="832"/>
      <c r="Z94" s="1056"/>
      <c r="AB94" s="1026"/>
      <c r="AD94" s="1027"/>
      <c r="AF94" s="1054"/>
      <c r="AG94" s="1043"/>
      <c r="AH94" s="1055"/>
      <c r="AI94" s="832"/>
      <c r="AJ94" s="832"/>
      <c r="AK94" s="1043"/>
      <c r="AL94" s="1056"/>
      <c r="AN94" s="1057"/>
      <c r="AO94" s="1058"/>
      <c r="AP94" s="1059"/>
      <c r="AQ94" s="1060"/>
      <c r="AR94" s="1060"/>
      <c r="AS94" s="1058"/>
      <c r="AT94" s="1061"/>
      <c r="AV94" s="1057"/>
      <c r="AW94" s="1058"/>
      <c r="AX94" s="1059"/>
      <c r="AY94" s="1060"/>
      <c r="AZ94" s="1060"/>
      <c r="BA94" s="1058"/>
      <c r="BB94" s="1061"/>
      <c r="BD94" s="1057"/>
      <c r="BE94" s="1058"/>
      <c r="BF94" s="1059"/>
      <c r="BG94" s="1060"/>
      <c r="BH94" s="1060"/>
      <c r="BI94" s="1058"/>
      <c r="BJ94" s="1061"/>
      <c r="BK94" s="1043"/>
      <c r="BL94" s="1062"/>
      <c r="BM94" s="1063"/>
      <c r="BN94" s="1064"/>
    </row>
    <row r="95" spans="1:73">
      <c r="B95" s="795" t="s">
        <v>462</v>
      </c>
      <c r="C95" s="795"/>
      <c r="D95" s="1042"/>
      <c r="E95" s="802"/>
      <c r="F95" s="795"/>
      <c r="G95" s="795"/>
      <c r="H95" s="795"/>
      <c r="I95" s="795"/>
      <c r="J95" s="1066"/>
      <c r="K95" s="802"/>
      <c r="L95" s="1037"/>
      <c r="M95" s="795"/>
      <c r="N95" s="1099"/>
      <c r="O95" s="795"/>
      <c r="P95" s="1100"/>
      <c r="Q95" s="795"/>
      <c r="R95" s="1101"/>
      <c r="T95" s="1041"/>
      <c r="W95" s="1067"/>
      <c r="X95" s="1067"/>
      <c r="Y95" s="802"/>
      <c r="Z95" s="1068"/>
      <c r="AB95" s="1026"/>
      <c r="AD95" s="1027"/>
      <c r="AF95" s="1036"/>
      <c r="AG95" s="795"/>
      <c r="AH95" s="1055"/>
      <c r="AI95" s="832"/>
      <c r="AJ95" s="832"/>
      <c r="AK95" s="795"/>
      <c r="AL95" s="1056"/>
      <c r="AN95" s="1033"/>
      <c r="AO95" s="1034"/>
      <c r="AP95" s="1059"/>
      <c r="AQ95" s="1060"/>
      <c r="AR95" s="1060"/>
      <c r="AS95" s="1034"/>
      <c r="AT95" s="1061"/>
      <c r="AV95" s="1033"/>
      <c r="AW95" s="1034"/>
      <c r="AX95" s="1059"/>
      <c r="AY95" s="1060"/>
      <c r="AZ95" s="1060"/>
      <c r="BA95" s="1034"/>
      <c r="BB95" s="1061"/>
      <c r="BD95" s="1033"/>
      <c r="BE95" s="1034"/>
      <c r="BF95" s="1059"/>
      <c r="BG95" s="1060"/>
      <c r="BH95" s="1060"/>
      <c r="BI95" s="1034"/>
      <c r="BJ95" s="1061"/>
      <c r="BK95" s="795"/>
      <c r="BL95" s="1062"/>
      <c r="BM95" s="1063"/>
      <c r="BN95" s="1064"/>
    </row>
    <row r="96" spans="1:73">
      <c r="B96" s="803" t="s">
        <v>484</v>
      </c>
      <c r="C96" s="795"/>
      <c r="D96" s="1042">
        <f>'Billing Units'!H22</f>
        <v>2800000</v>
      </c>
      <c r="E96" s="805">
        <f>'Rate Inputs'!H22+IF($D$7,$J$7,0)</f>
        <v>9.1911999999999994E-2</v>
      </c>
      <c r="F96" s="806" t="s">
        <v>157</v>
      </c>
      <c r="G96" s="795"/>
      <c r="H96" s="1043">
        <f>ROUND(E96*D96,0)</f>
        <v>257354</v>
      </c>
      <c r="I96" s="795"/>
      <c r="J96" s="1073">
        <f>'Billing Units'!H60</f>
        <v>2800000</v>
      </c>
      <c r="K96" s="1135">
        <f>IF(W$10,W96,(T98-SUM(N89:N93)-AD97*J97)/(J96+J97))</f>
        <v>8.9914002983708149E-2</v>
      </c>
      <c r="L96" s="1072" t="s">
        <v>157</v>
      </c>
      <c r="M96" s="795"/>
      <c r="N96" s="1046">
        <f>ROUND(K96*J96,0)</f>
        <v>251759</v>
      </c>
      <c r="O96" s="795"/>
      <c r="P96" s="1047">
        <f>IF(AND(N96=0,NOT(H96=0)),0,N96-H96)</f>
        <v>-5595</v>
      </c>
      <c r="Q96" s="1043"/>
      <c r="R96" s="1074">
        <f>IF(D96=0,0,ROUND((N96-H96)/H96,9))</f>
        <v>-2.1740481999999998E-2</v>
      </c>
      <c r="T96" s="1049"/>
      <c r="W96" s="1137">
        <f>INDEX($X96:$Z96,MATCH($D$6,$X$8:$Z$8,0))</f>
        <v>0</v>
      </c>
      <c r="X96" s="1076"/>
      <c r="Y96" s="805"/>
      <c r="Z96" s="1077"/>
      <c r="AB96" s="1026"/>
      <c r="AD96" s="1027"/>
      <c r="AF96" s="1054">
        <f>H96</f>
        <v>257354</v>
      </c>
      <c r="AG96" s="1043"/>
      <c r="AH96" s="1055"/>
      <c r="AI96" s="832">
        <v>5.7790000000000001E-2</v>
      </c>
      <c r="AJ96" s="832">
        <f t="shared" ref="AJ96:AJ97" si="21">AI96*$AH$98</f>
        <v>6.8833532068404507E-2</v>
      </c>
      <c r="AK96" s="1043" t="s">
        <v>157</v>
      </c>
      <c r="AL96" s="1056">
        <f>AJ96*J96</f>
        <v>192733.88979153262</v>
      </c>
      <c r="AN96" s="1057">
        <v>161858</v>
      </c>
      <c r="AO96" s="1058"/>
      <c r="AP96" s="1059"/>
      <c r="AQ96" s="1060">
        <v>5.7790000000000001E-2</v>
      </c>
      <c r="AR96" s="1060">
        <v>9.4131364528673961E-2</v>
      </c>
      <c r="AS96" s="1058" t="s">
        <v>157</v>
      </c>
      <c r="AT96" s="1061">
        <v>263642.43985584198</v>
      </c>
      <c r="AV96" s="1057">
        <v>161812</v>
      </c>
      <c r="AW96" s="1058"/>
      <c r="AX96" s="1059"/>
      <c r="AY96" s="1060">
        <v>5.7790000000000001E-2</v>
      </c>
      <c r="AZ96" s="1060">
        <v>0.10397638736344079</v>
      </c>
      <c r="BA96" s="1058" t="s">
        <v>157</v>
      </c>
      <c r="BB96" s="1061">
        <v>291133.88461763423</v>
      </c>
      <c r="BD96" s="1057">
        <v>162410</v>
      </c>
      <c r="BE96" s="1058"/>
      <c r="BF96" s="1059"/>
      <c r="BG96" s="1060">
        <v>5.7790000000000001E-2</v>
      </c>
      <c r="BH96" s="1060">
        <v>9.8387933173646747E-2</v>
      </c>
      <c r="BI96" s="1058" t="s">
        <v>157</v>
      </c>
      <c r="BJ96" s="1061">
        <v>276504.28702829871</v>
      </c>
      <c r="BK96" s="1043"/>
      <c r="BL96" s="1062"/>
      <c r="BM96" s="1063"/>
      <c r="BN96" s="1064"/>
    </row>
    <row r="97" spans="2:66">
      <c r="B97" s="803" t="s">
        <v>485</v>
      </c>
      <c r="C97" s="795"/>
      <c r="D97" s="1042">
        <f>'Billing Units'!I22</f>
        <v>3300000</v>
      </c>
      <c r="E97" s="805">
        <f>'Rate Inputs'!I22+IF($D$7,$J$7,0)</f>
        <v>5.2912000000000001E-2</v>
      </c>
      <c r="F97" s="806" t="s">
        <v>157</v>
      </c>
      <c r="G97" s="806"/>
      <c r="H97" s="1043">
        <f>ROUND(E97*D97,0)</f>
        <v>174610</v>
      </c>
      <c r="I97" s="795"/>
      <c r="J97" s="1073">
        <f>'Billing Units'!I60</f>
        <v>3300000</v>
      </c>
      <c r="K97" s="1175">
        <f>IF(W$10,W97,K96+AD97)</f>
        <v>5.091400298370815E-2</v>
      </c>
      <c r="L97" s="1072" t="s">
        <v>157</v>
      </c>
      <c r="M97" s="806"/>
      <c r="N97" s="1046">
        <f>ROUND(K97*J97,0)</f>
        <v>168016</v>
      </c>
      <c r="O97" s="1043"/>
      <c r="P97" s="1047">
        <f>IF(AND(N97=0,NOT(H97=0)),0,N97-H97)</f>
        <v>-6594</v>
      </c>
      <c r="Q97" s="1043"/>
      <c r="R97" s="1074">
        <f>IF(D97=0,0,ROUND((N97-H97)/H97,9))</f>
        <v>-3.7764159999999998E-2</v>
      </c>
      <c r="T97" s="1049"/>
      <c r="W97" s="1138">
        <f>INDEX($X97:$Z97,MATCH($D$6,$X$8:$Z$8,0))</f>
        <v>0</v>
      </c>
      <c r="X97" s="1067"/>
      <c r="Y97" s="802"/>
      <c r="Z97" s="1068"/>
      <c r="AB97" s="1026"/>
      <c r="AC97" s="789">
        <v>0.32514275826267519</v>
      </c>
      <c r="AD97" s="1079">
        <v>-3.9E-2</v>
      </c>
      <c r="AF97" s="1054">
        <f>H97</f>
        <v>174610</v>
      </c>
      <c r="AG97" s="1043"/>
      <c r="AH97" s="1055"/>
      <c r="AI97" s="832">
        <v>1.8790000000000001E-2</v>
      </c>
      <c r="AJ97" s="832">
        <f t="shared" si="21"/>
        <v>2.2380724477683349E-2</v>
      </c>
      <c r="AK97" s="1043" t="s">
        <v>157</v>
      </c>
      <c r="AL97" s="1056">
        <f>AJ97*J97</f>
        <v>73856.390776355052</v>
      </c>
      <c r="AN97" s="1057">
        <v>61216</v>
      </c>
      <c r="AO97" s="1058"/>
      <c r="AP97" s="1059"/>
      <c r="AQ97" s="1060">
        <v>1.8790000000000001E-2</v>
      </c>
      <c r="AR97" s="1060">
        <v>3.0606131501882398E-2</v>
      </c>
      <c r="AS97" s="1058" t="s">
        <v>157</v>
      </c>
      <c r="AT97" s="1061">
        <v>99711.606851887816</v>
      </c>
      <c r="AV97" s="1057">
        <v>62007</v>
      </c>
      <c r="AW97" s="1058"/>
      <c r="AX97" s="1059"/>
      <c r="AY97" s="1060">
        <v>1.8790000000000001E-2</v>
      </c>
      <c r="AZ97" s="1060">
        <v>3.3807169381537508E-2</v>
      </c>
      <c r="BA97" s="1058" t="s">
        <v>157</v>
      </c>
      <c r="BB97" s="1061">
        <v>111563.65895907377</v>
      </c>
      <c r="BD97" s="1057">
        <v>61425</v>
      </c>
      <c r="BE97" s="1058"/>
      <c r="BF97" s="1059"/>
      <c r="BG97" s="1060">
        <v>1.8790000000000001E-2</v>
      </c>
      <c r="BH97" s="1060">
        <v>3.1990123971843268E-2</v>
      </c>
      <c r="BI97" s="1058" t="s">
        <v>157</v>
      </c>
      <c r="BJ97" s="1061">
        <v>104576.05678396368</v>
      </c>
      <c r="BK97" s="1043"/>
      <c r="BL97" s="1062"/>
      <c r="BM97" s="1063"/>
      <c r="BN97" s="1064"/>
    </row>
    <row r="98" spans="2:66" ht="13.8" thickBot="1">
      <c r="B98" s="807" t="s">
        <v>486</v>
      </c>
      <c r="C98" s="808"/>
      <c r="D98" s="1080">
        <f>SUM(D96:D97)</f>
        <v>6100000</v>
      </c>
      <c r="E98" s="811"/>
      <c r="F98" s="811"/>
      <c r="G98" s="811"/>
      <c r="H98" s="1081">
        <f>SUM(H89,H92:H93,H96,H97)</f>
        <v>615834</v>
      </c>
      <c r="I98" s="808"/>
      <c r="J98" s="1082">
        <f>SUM(J96:J97)</f>
        <v>6100000</v>
      </c>
      <c r="K98" s="810"/>
      <c r="L98" s="1083"/>
      <c r="M98" s="811"/>
      <c r="N98" s="1084">
        <f>SUM(N89, N92:N93,N96,N97)</f>
        <v>733518</v>
      </c>
      <c r="O98" s="1081"/>
      <c r="P98" s="1085">
        <f>IF(AND(N98=0,NOT(H98=0)),0,N98-H98)</f>
        <v>117684</v>
      </c>
      <c r="Q98" s="1081"/>
      <c r="R98" s="1086">
        <f>IF(D98=0,0,ROUND((N98-H98)/H98,9))</f>
        <v>0.19109695099999999</v>
      </c>
      <c r="T98" s="1087">
        <f>INDEX('Revenue Summary'!$R$10:$R$38,MATCH(AB98,'Revenue Summary'!$B$10:$B$38,0))</f>
        <v>733518.41820061975</v>
      </c>
      <c r="W98" s="1088"/>
      <c r="X98" s="1088"/>
      <c r="Y98" s="810"/>
      <c r="Z98" s="1089"/>
      <c r="AB98" s="1026" t="str" cm="1">
        <f t="array" ref="AB98">INDEX(_xlfn.TEXTSPLIT(B98," "),2)</f>
        <v>TOU-P</v>
      </c>
      <c r="AD98" s="1027"/>
      <c r="AF98" s="1090">
        <f>H98</f>
        <v>615834</v>
      </c>
      <c r="AG98" s="1081">
        <f>T98</f>
        <v>733518.41820061975</v>
      </c>
      <c r="AH98" s="1149">
        <f>AG98/AF98</f>
        <v>1.1910976305313117</v>
      </c>
      <c r="AI98" s="1092"/>
      <c r="AJ98" s="1092"/>
      <c r="AK98" s="1081"/>
      <c r="AL98" s="1093">
        <f>SUM(AL89:AL97)</f>
        <v>485597.40189367993</v>
      </c>
      <c r="AN98" s="1094">
        <v>406944</v>
      </c>
      <c r="AO98" s="1095">
        <v>662851.60073986324</v>
      </c>
      <c r="AP98" s="1152">
        <v>1.6288521288920914</v>
      </c>
      <c r="AQ98" s="1097"/>
      <c r="AR98" s="1097"/>
      <c r="AS98" s="1095"/>
      <c r="AT98" s="1098">
        <v>662851.08764711861</v>
      </c>
      <c r="AV98" s="1094">
        <v>407689</v>
      </c>
      <c r="AW98" s="1095">
        <v>733518.41820061975</v>
      </c>
      <c r="AX98" s="1152">
        <v>1.7992107174846996</v>
      </c>
      <c r="AY98" s="1097"/>
      <c r="AZ98" s="1097"/>
      <c r="BA98" s="1095"/>
      <c r="BB98" s="1098">
        <v>733518.41820061975</v>
      </c>
      <c r="BD98" s="1094">
        <v>407705</v>
      </c>
      <c r="BE98" s="1095">
        <v>694120.99488772533</v>
      </c>
      <c r="BF98" s="1152">
        <v>1.7025079282513713</v>
      </c>
      <c r="BG98" s="1097"/>
      <c r="BH98" s="1097"/>
      <c r="BI98" s="1095"/>
      <c r="BJ98" s="1098">
        <v>694120.47657984204</v>
      </c>
      <c r="BK98" s="1043"/>
      <c r="BL98" s="1062"/>
      <c r="BM98" s="1063"/>
      <c r="BN98" s="1064"/>
    </row>
    <row r="99" spans="2:66" ht="13.8" thickTop="1">
      <c r="B99" s="795"/>
      <c r="C99" s="795"/>
      <c r="D99" s="1036"/>
      <c r="E99" s="795"/>
      <c r="F99" s="795"/>
      <c r="G99" s="795"/>
      <c r="H99" s="795"/>
      <c r="I99" s="795"/>
      <c r="J99" s="795"/>
      <c r="K99" s="795"/>
      <c r="L99" s="1037"/>
      <c r="M99" s="795"/>
      <c r="N99" s="1099"/>
      <c r="O99" s="795"/>
      <c r="P99" s="1100"/>
      <c r="Q99" s="795"/>
      <c r="R99" s="1101"/>
      <c r="T99" s="1041"/>
      <c r="W99" s="1036"/>
      <c r="X99" s="1036"/>
      <c r="Y99" s="795"/>
      <c r="Z99" s="1037"/>
      <c r="AB99" s="1026"/>
      <c r="AD99" s="1027"/>
      <c r="AF99" s="1036"/>
      <c r="AG99" s="795"/>
      <c r="AH99" s="1055"/>
      <c r="AI99" s="832"/>
      <c r="AJ99" s="832"/>
      <c r="AK99" s="795"/>
      <c r="AL99" s="1056"/>
      <c r="AN99" s="1033"/>
      <c r="AO99" s="1034"/>
      <c r="AP99" s="1059"/>
      <c r="AQ99" s="1060"/>
      <c r="AR99" s="1060"/>
      <c r="AS99" s="1034"/>
      <c r="AT99" s="1061"/>
      <c r="AV99" s="1033"/>
      <c r="AW99" s="1034"/>
      <c r="AX99" s="1059"/>
      <c r="AY99" s="1060"/>
      <c r="AZ99" s="1060"/>
      <c r="BA99" s="1034"/>
      <c r="BB99" s="1061"/>
      <c r="BD99" s="1033"/>
      <c r="BE99" s="1034"/>
      <c r="BF99" s="1059"/>
      <c r="BG99" s="1060"/>
      <c r="BH99" s="1060"/>
      <c r="BI99" s="1034"/>
      <c r="BJ99" s="1061"/>
      <c r="BK99" s="795"/>
      <c r="BL99" s="1062"/>
      <c r="BM99" s="1063"/>
      <c r="BN99" s="1064"/>
    </row>
    <row r="100" spans="2:66">
      <c r="B100" s="797" t="s">
        <v>409</v>
      </c>
      <c r="C100" s="797"/>
      <c r="D100" s="1036"/>
      <c r="E100" s="795"/>
      <c r="F100" s="795"/>
      <c r="G100" s="795"/>
      <c r="H100" s="795"/>
      <c r="I100" s="795"/>
      <c r="J100" s="1040"/>
      <c r="K100" s="795"/>
      <c r="L100" s="1037"/>
      <c r="M100" s="795"/>
      <c r="N100" s="1099"/>
      <c r="O100" s="795"/>
      <c r="P100" s="1100"/>
      <c r="Q100" s="795"/>
      <c r="R100" s="1101"/>
      <c r="T100" s="1041"/>
      <c r="W100" s="1036"/>
      <c r="X100" s="1036"/>
      <c r="Y100" s="795"/>
      <c r="Z100" s="1037"/>
      <c r="AB100" s="1026"/>
      <c r="AD100" s="1027"/>
      <c r="AF100" s="1036"/>
      <c r="AG100" s="795"/>
      <c r="AH100" s="1055"/>
      <c r="AI100" s="832"/>
      <c r="AJ100" s="832"/>
      <c r="AK100" s="795"/>
      <c r="AL100" s="1056"/>
      <c r="AN100" s="1033"/>
      <c r="AO100" s="1034"/>
      <c r="AP100" s="1059"/>
      <c r="AQ100" s="1060"/>
      <c r="AR100" s="1060"/>
      <c r="AS100" s="1034"/>
      <c r="AT100" s="1061"/>
      <c r="AV100" s="1033"/>
      <c r="AW100" s="1034"/>
      <c r="AX100" s="1059"/>
      <c r="AY100" s="1060"/>
      <c r="AZ100" s="1060"/>
      <c r="BA100" s="1034"/>
      <c r="BB100" s="1061"/>
      <c r="BD100" s="1033"/>
      <c r="BE100" s="1034"/>
      <c r="BF100" s="1059"/>
      <c r="BG100" s="1060"/>
      <c r="BH100" s="1060"/>
      <c r="BI100" s="1034"/>
      <c r="BJ100" s="1061"/>
      <c r="BK100" s="795"/>
      <c r="BL100" s="1062"/>
      <c r="BM100" s="1063"/>
      <c r="BN100" s="1064"/>
    </row>
    <row r="101" spans="2:66">
      <c r="B101" s="795"/>
      <c r="C101" s="795"/>
      <c r="D101" s="1036"/>
      <c r="E101" s="795"/>
      <c r="F101" s="795"/>
      <c r="G101" s="795"/>
      <c r="H101" s="795"/>
      <c r="I101" s="795"/>
      <c r="J101" s="1040"/>
      <c r="K101" s="795"/>
      <c r="L101" s="1037"/>
      <c r="M101" s="795"/>
      <c r="N101" s="1099"/>
      <c r="O101" s="795"/>
      <c r="P101" s="1100"/>
      <c r="Q101" s="795"/>
      <c r="R101" s="1101"/>
      <c r="T101" s="1041"/>
      <c r="W101" s="1036"/>
      <c r="X101" s="1036"/>
      <c r="Y101" s="795"/>
      <c r="Z101" s="1037"/>
      <c r="AB101" s="1026"/>
      <c r="AD101" s="1027"/>
      <c r="AF101" s="1036"/>
      <c r="AG101" s="795"/>
      <c r="AH101" s="1055"/>
      <c r="AI101" s="832"/>
      <c r="AJ101" s="832"/>
      <c r="AK101" s="795"/>
      <c r="AL101" s="1056"/>
      <c r="AN101" s="1033"/>
      <c r="AO101" s="1034"/>
      <c r="AP101" s="1059"/>
      <c r="AQ101" s="1060"/>
      <c r="AR101" s="1060"/>
      <c r="AS101" s="1034"/>
      <c r="AT101" s="1061"/>
      <c r="AV101" s="1033"/>
      <c r="AW101" s="1034"/>
      <c r="AX101" s="1059"/>
      <c r="AY101" s="1060"/>
      <c r="AZ101" s="1060"/>
      <c r="BA101" s="1034"/>
      <c r="BB101" s="1061"/>
      <c r="BD101" s="1033"/>
      <c r="BE101" s="1034"/>
      <c r="BF101" s="1059"/>
      <c r="BG101" s="1060"/>
      <c r="BH101" s="1060"/>
      <c r="BI101" s="1034"/>
      <c r="BJ101" s="1061"/>
      <c r="BK101" s="795"/>
      <c r="BL101" s="1062"/>
      <c r="BM101" s="1063"/>
      <c r="BN101" s="1064"/>
    </row>
    <row r="102" spans="2:66">
      <c r="B102" s="795" t="s">
        <v>461</v>
      </c>
      <c r="C102" s="795"/>
      <c r="D102" s="1042">
        <f>'Billing Units'!D24</f>
        <v>16</v>
      </c>
      <c r="E102" s="799">
        <f>'Rate Inputs'!D24</f>
        <v>450</v>
      </c>
      <c r="F102" s="795" t="s">
        <v>160</v>
      </c>
      <c r="G102" s="832"/>
      <c r="H102" s="1043">
        <f>ROUND(E102*D102*12,0)</f>
        <v>86400</v>
      </c>
      <c r="I102" s="795"/>
      <c r="J102" s="1044">
        <f>'Billing Units'!D62</f>
        <v>16</v>
      </c>
      <c r="K102" s="1045">
        <f>W102</f>
        <v>615</v>
      </c>
      <c r="L102" s="1037" t="str">
        <f>F102</f>
        <v>per month</v>
      </c>
      <c r="M102" s="832"/>
      <c r="N102" s="1046">
        <f>ROUND(K102*J102*12,0)</f>
        <v>118080</v>
      </c>
      <c r="O102" s="1043"/>
      <c r="P102" s="1047">
        <f>IF(AND(N102=0,NOT(H102=0)),0,N102-H102)</f>
        <v>31680</v>
      </c>
      <c r="Q102" s="1043"/>
      <c r="R102" s="1074">
        <f>IF(D102=0,0,ROUND((N102-H102)/H102,9))</f>
        <v>0.366666667</v>
      </c>
      <c r="T102" s="1049"/>
      <c r="W102" s="1050">
        <f>INDEX($X102:$Z102,MATCH($D$6,$X$8:$Z$8,0))</f>
        <v>615</v>
      </c>
      <c r="X102" s="1051">
        <f>E102</f>
        <v>450</v>
      </c>
      <c r="Y102" s="1125">
        <f>Z102</f>
        <v>615</v>
      </c>
      <c r="Z102" s="1126">
        <f>BN102</f>
        <v>615</v>
      </c>
      <c r="AB102" s="1026"/>
      <c r="AD102" s="1027"/>
      <c r="AF102" s="1054">
        <f>H102</f>
        <v>86400</v>
      </c>
      <c r="AG102" s="1043"/>
      <c r="AH102" s="1055"/>
      <c r="AI102" s="832">
        <v>450</v>
      </c>
      <c r="AJ102" s="834">
        <f>AI102*$AH$111</f>
        <v>404.59591091987096</v>
      </c>
      <c r="AK102" s="1043" t="s">
        <v>160</v>
      </c>
      <c r="AL102" s="1112">
        <f>AJ102*J102*12</f>
        <v>77682.414896615228</v>
      </c>
      <c r="AN102" s="1057">
        <v>86400</v>
      </c>
      <c r="AO102" s="1058"/>
      <c r="AP102" s="1059"/>
      <c r="AQ102" s="1060">
        <v>450</v>
      </c>
      <c r="AR102" s="1116">
        <v>562.42635056136612</v>
      </c>
      <c r="AS102" s="1058" t="s">
        <v>160</v>
      </c>
      <c r="AT102" s="1117">
        <v>107985.85930778229</v>
      </c>
      <c r="AV102" s="1057">
        <v>86400</v>
      </c>
      <c r="AW102" s="1058"/>
      <c r="AX102" s="1059"/>
      <c r="AY102" s="1060">
        <v>450</v>
      </c>
      <c r="AZ102" s="1116">
        <v>643.25051871830749</v>
      </c>
      <c r="BA102" s="1058" t="s">
        <v>160</v>
      </c>
      <c r="BB102" s="1117">
        <v>123504.09959391505</v>
      </c>
      <c r="BD102" s="1057">
        <v>86400</v>
      </c>
      <c r="BE102" s="1058"/>
      <c r="BF102" s="1059"/>
      <c r="BG102" s="1060">
        <v>450</v>
      </c>
      <c r="BH102" s="1116">
        <v>616.85199250950666</v>
      </c>
      <c r="BI102" s="1058" t="s">
        <v>160</v>
      </c>
      <c r="BJ102" s="1117">
        <v>118435.58256182529</v>
      </c>
      <c r="BK102" s="1043"/>
      <c r="BL102" s="1062">
        <f>IF(AR102&lt;20,ROUND(AR102,0),MROUND(AR102,5))</f>
        <v>560</v>
      </c>
      <c r="BM102" s="1063">
        <f>IF(AZ102&lt;20,ROUND(AZ102,0),MROUND(AZ102,5))</f>
        <v>645</v>
      </c>
      <c r="BN102" s="1064">
        <f>IF(BH102&lt;20,ROUND(BH102,0),MROUND(BH102,5))</f>
        <v>615</v>
      </c>
    </row>
    <row r="103" spans="2:66">
      <c r="B103" s="795"/>
      <c r="C103" s="795"/>
      <c r="D103" s="1065"/>
      <c r="E103" s="802"/>
      <c r="F103" s="795"/>
      <c r="G103" s="795"/>
      <c r="H103" s="795"/>
      <c r="I103" s="795"/>
      <c r="J103" s="1044"/>
      <c r="K103" s="802"/>
      <c r="L103" s="1037"/>
      <c r="M103" s="795"/>
      <c r="N103" s="1099"/>
      <c r="O103" s="795"/>
      <c r="P103" s="1100"/>
      <c r="Q103" s="795"/>
      <c r="R103" s="1101"/>
      <c r="T103" s="1041"/>
      <c r="W103" s="1067"/>
      <c r="X103" s="1067"/>
      <c r="Y103" s="802"/>
      <c r="Z103" s="1068"/>
      <c r="AB103" s="1026"/>
      <c r="AD103" s="1027"/>
      <c r="AF103" s="1036"/>
      <c r="AG103" s="795"/>
      <c r="AH103" s="1055"/>
      <c r="AI103" s="832"/>
      <c r="AJ103" s="832"/>
      <c r="AK103" s="795"/>
      <c r="AL103" s="1056"/>
      <c r="AN103" s="1033"/>
      <c r="AO103" s="1034"/>
      <c r="AP103" s="1059"/>
      <c r="AQ103" s="1060"/>
      <c r="AR103" s="1060"/>
      <c r="AS103" s="1034"/>
      <c r="AT103" s="1061"/>
      <c r="AV103" s="1033"/>
      <c r="AW103" s="1034"/>
      <c r="AX103" s="1059"/>
      <c r="AY103" s="1060"/>
      <c r="AZ103" s="1060"/>
      <c r="BA103" s="1034"/>
      <c r="BB103" s="1061"/>
      <c r="BD103" s="1033"/>
      <c r="BE103" s="1034"/>
      <c r="BF103" s="1059"/>
      <c r="BG103" s="1060"/>
      <c r="BH103" s="1060"/>
      <c r="BI103" s="1034"/>
      <c r="BJ103" s="1061"/>
      <c r="BK103" s="795"/>
      <c r="BL103" s="1062"/>
      <c r="BM103" s="1063"/>
      <c r="BN103" s="1064"/>
    </row>
    <row r="104" spans="2:66">
      <c r="B104" s="795" t="s">
        <v>476</v>
      </c>
      <c r="C104" s="795"/>
      <c r="D104" s="1065"/>
      <c r="E104" s="802"/>
      <c r="F104" s="795"/>
      <c r="G104" s="795"/>
      <c r="H104" s="795"/>
      <c r="I104" s="795"/>
      <c r="J104" s="1044"/>
      <c r="K104" s="802"/>
      <c r="L104" s="1037"/>
      <c r="M104" s="795"/>
      <c r="N104" s="1099"/>
      <c r="O104" s="795"/>
      <c r="P104" s="1100"/>
      <c r="Q104" s="795"/>
      <c r="R104" s="1101"/>
      <c r="T104" s="1041"/>
      <c r="W104" s="1067"/>
      <c r="X104" s="1067"/>
      <c r="Y104" s="802"/>
      <c r="Z104" s="1068"/>
      <c r="AB104" s="1026"/>
      <c r="AD104" s="1027"/>
      <c r="AF104" s="1036"/>
      <c r="AG104" s="795"/>
      <c r="AH104" s="1055"/>
      <c r="AI104" s="832"/>
      <c r="AJ104" s="832"/>
      <c r="AK104" s="795"/>
      <c r="AL104" s="1056"/>
      <c r="AN104" s="1033"/>
      <c r="AO104" s="1034"/>
      <c r="AP104" s="1059"/>
      <c r="AQ104" s="1060"/>
      <c r="AR104" s="1060"/>
      <c r="AS104" s="1034"/>
      <c r="AT104" s="1061"/>
      <c r="AV104" s="1033"/>
      <c r="AW104" s="1034"/>
      <c r="AX104" s="1059"/>
      <c r="AY104" s="1060"/>
      <c r="AZ104" s="1060"/>
      <c r="BA104" s="1034"/>
      <c r="BB104" s="1061"/>
      <c r="BD104" s="1033"/>
      <c r="BE104" s="1034"/>
      <c r="BF104" s="1059"/>
      <c r="BG104" s="1060"/>
      <c r="BH104" s="1060"/>
      <c r="BI104" s="1034"/>
      <c r="BJ104" s="1061"/>
      <c r="BK104" s="795"/>
      <c r="BL104" s="1062"/>
      <c r="BM104" s="1063"/>
      <c r="BN104" s="1064"/>
    </row>
    <row r="105" spans="2:66">
      <c r="B105" s="803" t="s">
        <v>482</v>
      </c>
      <c r="C105" s="795"/>
      <c r="D105" s="1042">
        <f>'Billing Units'!M24</f>
        <v>956520</v>
      </c>
      <c r="E105" s="832">
        <f>'Rate Inputs'!M24</f>
        <v>7.7</v>
      </c>
      <c r="F105" s="795" t="s">
        <v>394</v>
      </c>
      <c r="G105" s="832"/>
      <c r="H105" s="1043">
        <f>ROUND(E105*D105,0)</f>
        <v>7365204</v>
      </c>
      <c r="I105" s="795"/>
      <c r="J105" s="1066">
        <f>'Billing Units'!M62</f>
        <v>956520</v>
      </c>
      <c r="K105" s="1045">
        <f t="shared" ref="K105:K106" si="22">W105</f>
        <v>10.6</v>
      </c>
      <c r="L105" s="1037" t="str">
        <f>F105</f>
        <v>per kVA</v>
      </c>
      <c r="M105" s="832"/>
      <c r="N105" s="1046">
        <f>ROUND(K105*J105,0)</f>
        <v>10139112</v>
      </c>
      <c r="O105" s="1043"/>
      <c r="P105" s="1047">
        <f>IF(AND(N105=0,NOT(H105=0)),0,N105-H105)</f>
        <v>2773908</v>
      </c>
      <c r="Q105" s="1043"/>
      <c r="R105" s="1074">
        <f>IF(D105=0,0,ROUND((N105-H105)/H105,9))</f>
        <v>0.37662337699999998</v>
      </c>
      <c r="T105" s="1049"/>
      <c r="W105" s="1173">
        <f>INDEX($X105:$Z105,MATCH($D$6,$X$8:$Z$8,0))</f>
        <v>10.6</v>
      </c>
      <c r="X105" s="1051">
        <f>E105</f>
        <v>7.7</v>
      </c>
      <c r="Y105" s="1125">
        <f t="shared" ref="Y105:Y106" si="23">Z105</f>
        <v>10.6</v>
      </c>
      <c r="Z105" s="1126">
        <f t="shared" ref="Z105:Z106" si="24">BN105</f>
        <v>10.6</v>
      </c>
      <c r="AB105" s="1026"/>
      <c r="AD105" s="1027"/>
      <c r="AF105" s="1054">
        <f>H105</f>
        <v>7365204</v>
      </c>
      <c r="AG105" s="1043"/>
      <c r="AH105" s="1055"/>
      <c r="AI105" s="832">
        <v>7.7</v>
      </c>
      <c r="AJ105" s="832">
        <f t="shared" ref="AJ105:AJ106" si="25">AI105*$AH$111</f>
        <v>6.9230855868511254</v>
      </c>
      <c r="AK105" s="1043" t="s">
        <v>394</v>
      </c>
      <c r="AL105" s="1056">
        <f>AJ105*J105</f>
        <v>6622069.8255348383</v>
      </c>
      <c r="AN105" s="1057">
        <v>7365204</v>
      </c>
      <c r="AO105" s="1058"/>
      <c r="AP105" s="1059"/>
      <c r="AQ105" s="1060">
        <v>7.7</v>
      </c>
      <c r="AR105" s="1060">
        <v>9.6237397762722647</v>
      </c>
      <c r="AS105" s="1058" t="s">
        <v>394</v>
      </c>
      <c r="AT105" s="1061">
        <v>9205299.5707999468</v>
      </c>
      <c r="AV105" s="1057">
        <v>7365204</v>
      </c>
      <c r="AW105" s="1058"/>
      <c r="AX105" s="1059"/>
      <c r="AY105" s="1060">
        <v>7.7</v>
      </c>
      <c r="AZ105" s="1060">
        <v>11.006731098068817</v>
      </c>
      <c r="BA105" s="1058" t="s">
        <v>394</v>
      </c>
      <c r="BB105" s="1061">
        <v>10528158.429924784</v>
      </c>
      <c r="BD105" s="1057">
        <v>7365204</v>
      </c>
      <c r="BE105" s="1058"/>
      <c r="BF105" s="1059"/>
      <c r="BG105" s="1060">
        <v>7.7</v>
      </c>
      <c r="BH105" s="1060">
        <v>10.555022982940446</v>
      </c>
      <c r="BI105" s="1058" t="s">
        <v>394</v>
      </c>
      <c r="BJ105" s="1061">
        <v>10096090.583642196</v>
      </c>
      <c r="BK105" s="1043"/>
      <c r="BL105" s="1062">
        <f>ROUND(AR105,1)</f>
        <v>9.6</v>
      </c>
      <c r="BM105" s="1063">
        <f>ROUND(AZ105,1)</f>
        <v>11</v>
      </c>
      <c r="BN105" s="1064">
        <f>ROUND(BH105,1)</f>
        <v>10.6</v>
      </c>
    </row>
    <row r="106" spans="2:66">
      <c r="B106" s="803" t="s">
        <v>483</v>
      </c>
      <c r="C106" s="795"/>
      <c r="D106" s="1042">
        <f>'Billing Units'!N24</f>
        <v>954684</v>
      </c>
      <c r="E106" s="832">
        <f>'Rate Inputs'!N24</f>
        <v>1</v>
      </c>
      <c r="F106" s="795" t="s">
        <v>394</v>
      </c>
      <c r="G106" s="832"/>
      <c r="H106" s="1043">
        <f>ROUND(E106*D106,0)</f>
        <v>954684</v>
      </c>
      <c r="I106" s="795"/>
      <c r="J106" s="1066">
        <f>'Billing Units'!N62</f>
        <v>954684</v>
      </c>
      <c r="K106" s="1045">
        <f t="shared" si="22"/>
        <v>1.4</v>
      </c>
      <c r="L106" s="1037" t="str">
        <f>F106</f>
        <v>per kVA</v>
      </c>
      <c r="M106" s="832"/>
      <c r="N106" s="1046">
        <f>ROUND(K106*J106,0)</f>
        <v>1336558</v>
      </c>
      <c r="O106" s="1043"/>
      <c r="P106" s="1047">
        <f>IF(AND(N106=0,NOT(H106=0)),0,N106-H106)</f>
        <v>381874</v>
      </c>
      <c r="Q106" s="1043"/>
      <c r="R106" s="1074">
        <f>IF(D106=0,0,ROUND((N106-H106)/H106,9))</f>
        <v>0.400000419</v>
      </c>
      <c r="T106" s="1049"/>
      <c r="W106" s="1173">
        <f>INDEX($X106:$Z106,MATCH($D$6,$X$8:$Z$8,0))</f>
        <v>1.4</v>
      </c>
      <c r="X106" s="1051">
        <f>E106</f>
        <v>1</v>
      </c>
      <c r="Y106" s="1125">
        <f t="shared" si="23"/>
        <v>1.4</v>
      </c>
      <c r="Z106" s="1126">
        <f t="shared" si="24"/>
        <v>1.4</v>
      </c>
      <c r="AB106" s="1026"/>
      <c r="AD106" s="1027"/>
      <c r="AF106" s="1054">
        <f>H106</f>
        <v>954684</v>
      </c>
      <c r="AG106" s="1043"/>
      <c r="AH106" s="1055"/>
      <c r="AI106" s="832">
        <v>1</v>
      </c>
      <c r="AJ106" s="832">
        <f t="shared" si="25"/>
        <v>0.89910202426637986</v>
      </c>
      <c r="AK106" s="1043" t="s">
        <v>394</v>
      </c>
      <c r="AL106" s="1056">
        <f>AJ106*J106</f>
        <v>858358.31693472457</v>
      </c>
      <c r="AN106" s="1057">
        <v>954684</v>
      </c>
      <c r="AO106" s="1058"/>
      <c r="AP106" s="1059"/>
      <c r="AQ106" s="1060">
        <v>1</v>
      </c>
      <c r="AR106" s="1060">
        <v>1.2498363345808137</v>
      </c>
      <c r="AS106" s="1058" t="s">
        <v>394</v>
      </c>
      <c r="AT106" s="1061">
        <v>1193198.7512429496</v>
      </c>
      <c r="AV106" s="1057">
        <v>954684</v>
      </c>
      <c r="AW106" s="1058"/>
      <c r="AX106" s="1059"/>
      <c r="AY106" s="1060">
        <v>1</v>
      </c>
      <c r="AZ106" s="1060">
        <v>1.4294455971517945</v>
      </c>
      <c r="BA106" s="1058" t="s">
        <v>394</v>
      </c>
      <c r="BB106" s="1061">
        <v>1364668.8404712637</v>
      </c>
      <c r="BD106" s="1057">
        <v>954684</v>
      </c>
      <c r="BE106" s="1058"/>
      <c r="BF106" s="1059"/>
      <c r="BG106" s="1060">
        <v>1</v>
      </c>
      <c r="BH106" s="1060">
        <v>1.3707822055766814</v>
      </c>
      <c r="BI106" s="1058" t="s">
        <v>394</v>
      </c>
      <c r="BJ106" s="1061">
        <v>1308663.8391487685</v>
      </c>
      <c r="BK106" s="1043"/>
      <c r="BL106" s="1062">
        <f>ROUND(AR106,1)</f>
        <v>1.2</v>
      </c>
      <c r="BM106" s="1063">
        <f>ROUND(AZ106,1)</f>
        <v>1.4</v>
      </c>
      <c r="BN106" s="1064">
        <f>ROUND(BH106,1)</f>
        <v>1.4</v>
      </c>
    </row>
    <row r="107" spans="2:66">
      <c r="B107" s="803"/>
      <c r="C107" s="795"/>
      <c r="D107" s="1042"/>
      <c r="E107" s="832"/>
      <c r="F107" s="795"/>
      <c r="G107" s="832"/>
      <c r="H107" s="1043"/>
      <c r="I107" s="795"/>
      <c r="J107" s="1073"/>
      <c r="K107" s="832"/>
      <c r="L107" s="1037"/>
      <c r="M107" s="832"/>
      <c r="N107" s="1046"/>
      <c r="O107" s="1043"/>
      <c r="P107" s="1100"/>
      <c r="Q107" s="795"/>
      <c r="R107" s="1101"/>
      <c r="T107" s="1049"/>
      <c r="W107" s="1174"/>
      <c r="X107" s="1174"/>
      <c r="Y107" s="832"/>
      <c r="Z107" s="1056"/>
      <c r="AB107" s="1026"/>
      <c r="AD107" s="1027"/>
      <c r="AF107" s="1054">
        <f>H107</f>
        <v>0</v>
      </c>
      <c r="AG107" s="1043"/>
      <c r="AH107" s="1055"/>
      <c r="AI107" s="832"/>
      <c r="AJ107" s="832"/>
      <c r="AK107" s="1043"/>
      <c r="AL107" s="1056"/>
      <c r="AN107" s="1057">
        <v>0</v>
      </c>
      <c r="AO107" s="1058"/>
      <c r="AP107" s="1059"/>
      <c r="AQ107" s="1060"/>
      <c r="AR107" s="1060"/>
      <c r="AS107" s="1058"/>
      <c r="AT107" s="1061"/>
      <c r="AV107" s="1057">
        <v>0</v>
      </c>
      <c r="AW107" s="1058"/>
      <c r="AX107" s="1059"/>
      <c r="AY107" s="1060"/>
      <c r="AZ107" s="1060"/>
      <c r="BA107" s="1058"/>
      <c r="BB107" s="1061"/>
      <c r="BD107" s="1057">
        <v>0</v>
      </c>
      <c r="BE107" s="1058"/>
      <c r="BF107" s="1059"/>
      <c r="BG107" s="1060"/>
      <c r="BH107" s="1060"/>
      <c r="BI107" s="1058"/>
      <c r="BJ107" s="1061"/>
      <c r="BK107" s="1043"/>
      <c r="BL107" s="1062"/>
      <c r="BM107" s="1063"/>
      <c r="BN107" s="1064"/>
    </row>
    <row r="108" spans="2:66">
      <c r="B108" s="795" t="s">
        <v>462</v>
      </c>
      <c r="C108" s="795"/>
      <c r="D108" s="1042"/>
      <c r="E108" s="802"/>
      <c r="F108" s="795"/>
      <c r="G108" s="795"/>
      <c r="H108" s="795"/>
      <c r="I108" s="795"/>
      <c r="J108" s="1066"/>
      <c r="K108" s="802"/>
      <c r="L108" s="1037"/>
      <c r="M108" s="795"/>
      <c r="N108" s="1099"/>
      <c r="O108" s="795"/>
      <c r="P108" s="1100"/>
      <c r="Q108" s="795"/>
      <c r="R108" s="1101"/>
      <c r="T108" s="1041"/>
      <c r="W108" s="1067"/>
      <c r="X108" s="1067"/>
      <c r="Y108" s="802"/>
      <c r="Z108" s="1068"/>
      <c r="AB108" s="1026"/>
      <c r="AD108" s="1027"/>
      <c r="AF108" s="1036"/>
      <c r="AG108" s="795"/>
      <c r="AH108" s="1055"/>
      <c r="AI108" s="832"/>
      <c r="AJ108" s="832"/>
      <c r="AK108" s="795"/>
      <c r="AL108" s="1056"/>
      <c r="AN108" s="1033"/>
      <c r="AO108" s="1034"/>
      <c r="AP108" s="1059"/>
      <c r="AQ108" s="1060"/>
      <c r="AR108" s="1060"/>
      <c r="AS108" s="1034"/>
      <c r="AT108" s="1061"/>
      <c r="AV108" s="1033"/>
      <c r="AW108" s="1034"/>
      <c r="AX108" s="1059"/>
      <c r="AY108" s="1060"/>
      <c r="AZ108" s="1060"/>
      <c r="BA108" s="1034"/>
      <c r="BB108" s="1061"/>
      <c r="BD108" s="1033"/>
      <c r="BE108" s="1034"/>
      <c r="BF108" s="1059"/>
      <c r="BG108" s="1060"/>
      <c r="BH108" s="1060"/>
      <c r="BI108" s="1034"/>
      <c r="BJ108" s="1061"/>
      <c r="BK108" s="795"/>
      <c r="BL108" s="1062"/>
      <c r="BM108" s="1063"/>
      <c r="BN108" s="1064"/>
    </row>
    <row r="109" spans="2:66">
      <c r="B109" s="803" t="s">
        <v>484</v>
      </c>
      <c r="C109" s="795"/>
      <c r="D109" s="1042">
        <f>'Billing Units'!H24</f>
        <v>109600000</v>
      </c>
      <c r="E109" s="805">
        <f>'Rate Inputs'!H24+IF($D$7,$J$7,0)</f>
        <v>8.0911999999999998E-2</v>
      </c>
      <c r="F109" s="806" t="s">
        <v>157</v>
      </c>
      <c r="G109" s="795"/>
      <c r="H109" s="1043">
        <f>ROUND(E109*D109,0)</f>
        <v>8867955</v>
      </c>
      <c r="I109" s="795"/>
      <c r="J109" s="1073">
        <f>'Billing Units'!H62</f>
        <v>109600000</v>
      </c>
      <c r="K109" s="1135">
        <f>IF(W$10,W109,(T111-SUM(N102:N106)-AD110*J110)/(J109+J110))</f>
        <v>6.0610788957484049E-2</v>
      </c>
      <c r="L109" s="1072" t="s">
        <v>157</v>
      </c>
      <c r="M109" s="795"/>
      <c r="N109" s="1046">
        <f>ROUND(K109*J109,0)</f>
        <v>6642942</v>
      </c>
      <c r="O109" s="795"/>
      <c r="P109" s="1047">
        <f>IF(AND(N109=0,NOT(H109=0)),0,N109-H109)</f>
        <v>-2225013</v>
      </c>
      <c r="Q109" s="1043"/>
      <c r="R109" s="1074">
        <f>IF(D109=0,0,ROUND((N109-H109)/H109,9))</f>
        <v>-0.25090485899999998</v>
      </c>
      <c r="T109" s="1049"/>
      <c r="W109" s="1137">
        <f>INDEX($X109:$Z109,MATCH($D$6,$X$8:$Z$8,0))</f>
        <v>0</v>
      </c>
      <c r="X109" s="1076"/>
      <c r="Y109" s="805"/>
      <c r="Z109" s="1077"/>
      <c r="AB109" s="1026"/>
      <c r="AD109" s="1027"/>
      <c r="AF109" s="1054">
        <f>H109</f>
        <v>8867955</v>
      </c>
      <c r="AG109" s="1043"/>
      <c r="AH109" s="1055"/>
      <c r="AI109" s="832">
        <v>4.6789999999999998E-2</v>
      </c>
      <c r="AJ109" s="832">
        <f t="shared" ref="AJ109:AJ110" si="26">AI109*$AH$111</f>
        <v>4.2068983715423912E-2</v>
      </c>
      <c r="AK109" s="1043" t="s">
        <v>157</v>
      </c>
      <c r="AL109" s="1056">
        <f>AJ109*J109</f>
        <v>4610760.6152104605</v>
      </c>
      <c r="AN109" s="1057">
        <v>5474164</v>
      </c>
      <c r="AO109" s="1058"/>
      <c r="AP109" s="1059"/>
      <c r="AQ109" s="1060">
        <v>4.6789999999999998E-2</v>
      </c>
      <c r="AR109" s="1060">
        <v>5.8479842095036268E-2</v>
      </c>
      <c r="AS109" s="1058" t="s">
        <v>157</v>
      </c>
      <c r="AT109" s="1061">
        <v>6841809.010110884</v>
      </c>
      <c r="AV109" s="1057">
        <v>5128184</v>
      </c>
      <c r="AW109" s="1058"/>
      <c r="AX109" s="1059"/>
      <c r="AY109" s="1060">
        <v>4.6789999999999998E-2</v>
      </c>
      <c r="AZ109" s="1060">
        <v>6.688375949073247E-2</v>
      </c>
      <c r="BA109" s="1058" t="s">
        <v>157</v>
      </c>
      <c r="BB109" s="1061">
        <v>7330460.040184279</v>
      </c>
      <c r="BD109" s="1057">
        <v>4992399</v>
      </c>
      <c r="BE109" s="1058"/>
      <c r="BF109" s="1059"/>
      <c r="BG109" s="1060">
        <v>4.6789999999999998E-2</v>
      </c>
      <c r="BH109" s="1060">
        <v>6.4138899398932914E-2</v>
      </c>
      <c r="BI109" s="1058" t="s">
        <v>157</v>
      </c>
      <c r="BJ109" s="1061">
        <v>6843491.7773205023</v>
      </c>
      <c r="BK109" s="1043"/>
      <c r="BL109" s="1062"/>
      <c r="BM109" s="1063"/>
      <c r="BN109" s="1064"/>
    </row>
    <row r="110" spans="2:66">
      <c r="B110" s="803" t="s">
        <v>485</v>
      </c>
      <c r="C110" s="795"/>
      <c r="D110" s="1042">
        <f>'Billing Units'!I24</f>
        <v>179600000</v>
      </c>
      <c r="E110" s="805">
        <f>'Rate Inputs'!I24+IF($D$7,$J$7,0)</f>
        <v>5.1912E-2</v>
      </c>
      <c r="F110" s="806" t="s">
        <v>157</v>
      </c>
      <c r="G110" s="806"/>
      <c r="H110" s="1043">
        <f>ROUND(E110*D110,0)</f>
        <v>9323395</v>
      </c>
      <c r="I110" s="795"/>
      <c r="J110" s="1073">
        <f>'Billing Units'!I62</f>
        <v>179600000</v>
      </c>
      <c r="K110" s="1175">
        <f>IF(W$10,W110,K109+AD110)</f>
        <v>3.1610788957484051E-2</v>
      </c>
      <c r="L110" s="1072" t="s">
        <v>157</v>
      </c>
      <c r="M110" s="806"/>
      <c r="N110" s="1046">
        <f>ROUND(K110*J110,0)</f>
        <v>5677298</v>
      </c>
      <c r="O110" s="1043"/>
      <c r="P110" s="1047">
        <f>IF(AND(N110=0,NOT(H110=0)),0,N110-H110)</f>
        <v>-3646097</v>
      </c>
      <c r="Q110" s="1043"/>
      <c r="R110" s="1074">
        <f>IF(D110=0,0,ROUND((N110-H110)/H110,9))</f>
        <v>-0.39106966900000001</v>
      </c>
      <c r="T110" s="1049"/>
      <c r="W110" s="1138">
        <f>INDEX($X110:$Z110,MATCH($D$6,$X$8:$Z$8,0))</f>
        <v>0</v>
      </c>
      <c r="X110" s="1067"/>
      <c r="Y110" s="802"/>
      <c r="Z110" s="1068"/>
      <c r="AB110" s="1026"/>
      <c r="AC110" s="789">
        <v>0.38020944646291943</v>
      </c>
      <c r="AD110" s="1079">
        <v>-2.8999999999999998E-2</v>
      </c>
      <c r="AF110" s="1054">
        <f>H110</f>
        <v>9323395</v>
      </c>
      <c r="AG110" s="1043"/>
      <c r="AH110" s="1055"/>
      <c r="AI110" s="832">
        <v>1.779E-2</v>
      </c>
      <c r="AJ110" s="832">
        <f t="shared" si="26"/>
        <v>1.5995025011698898E-2</v>
      </c>
      <c r="AK110" s="1043" t="s">
        <v>157</v>
      </c>
      <c r="AL110" s="1056">
        <f>AJ110*J110</f>
        <v>2872706.4921011222</v>
      </c>
      <c r="AN110" s="1057">
        <v>3409914</v>
      </c>
      <c r="AO110" s="1058"/>
      <c r="AP110" s="1059"/>
      <c r="AQ110" s="1060">
        <v>1.779E-2</v>
      </c>
      <c r="AR110" s="1060">
        <v>2.2234588392192674E-2</v>
      </c>
      <c r="AS110" s="1058" t="s">
        <v>157</v>
      </c>
      <c r="AT110" s="1061">
        <v>4261834.8165562665</v>
      </c>
      <c r="AV110" s="1057">
        <v>3195084</v>
      </c>
      <c r="AW110" s="1058"/>
      <c r="AX110" s="1059"/>
      <c r="AY110" s="1060">
        <v>1.779E-2</v>
      </c>
      <c r="AZ110" s="1060">
        <v>2.5429837173330427E-2</v>
      </c>
      <c r="BA110" s="1058" t="s">
        <v>157</v>
      </c>
      <c r="BB110" s="1061">
        <v>4567198.7563301446</v>
      </c>
      <c r="BD110" s="1057">
        <v>3109818</v>
      </c>
      <c r="BE110" s="1058"/>
      <c r="BF110" s="1059"/>
      <c r="BG110" s="1060">
        <v>1.779E-2</v>
      </c>
      <c r="BH110" s="1060">
        <v>2.4386215437209164E-2</v>
      </c>
      <c r="BI110" s="1058" t="s">
        <v>157</v>
      </c>
      <c r="BJ110" s="1061">
        <v>4262883.0299558975</v>
      </c>
      <c r="BK110" s="1043"/>
      <c r="BL110" s="1062"/>
      <c r="BM110" s="1063"/>
      <c r="BN110" s="1064"/>
    </row>
    <row r="111" spans="2:66" ht="13.8" thickBot="1">
      <c r="B111" s="807" t="s">
        <v>487</v>
      </c>
      <c r="C111" s="808"/>
      <c r="D111" s="1080">
        <f>SUM(D109:D110)</f>
        <v>289200000</v>
      </c>
      <c r="E111" s="811"/>
      <c r="F111" s="811"/>
      <c r="G111" s="811"/>
      <c r="H111" s="1081">
        <f>SUM(H102,H105:H106,H109,H110)</f>
        <v>26597638</v>
      </c>
      <c r="I111" s="808"/>
      <c r="J111" s="1082">
        <f>SUM(J109:J110)</f>
        <v>289200000</v>
      </c>
      <c r="K111" s="810"/>
      <c r="L111" s="1083"/>
      <c r="M111" s="811"/>
      <c r="N111" s="1084">
        <f>SUM(N102, N105:N106,N109,N110)</f>
        <v>23913990</v>
      </c>
      <c r="O111" s="1081"/>
      <c r="P111" s="1085">
        <f>IF(AND(N111=0,NOT(H111=0)),0,N111-H111)</f>
        <v>-2683648</v>
      </c>
      <c r="Q111" s="1081"/>
      <c r="R111" s="1086">
        <f>IF(D111=0,0,ROUND((N111-H111)/H111,9))</f>
        <v>-0.100897982</v>
      </c>
      <c r="T111" s="1087">
        <f>INDEX('Revenue Summary'!$R$10:$R$38,MATCH(AB111,'Revenue Summary'!$B$10:$B$38,0))</f>
        <v>23913990.166504387</v>
      </c>
      <c r="W111" s="1088"/>
      <c r="X111" s="1088"/>
      <c r="Y111" s="810"/>
      <c r="Z111" s="1089"/>
      <c r="AB111" s="1026" t="str" cm="1">
        <f t="array" ref="AB111">INDEX(_xlfn.TEXTSPLIT(B111," "),2)</f>
        <v>TOU-T</v>
      </c>
      <c r="AD111" s="1027"/>
      <c r="AF111" s="1090">
        <f>H111</f>
        <v>26597638</v>
      </c>
      <c r="AG111" s="1081">
        <f>T111</f>
        <v>23913990.166504387</v>
      </c>
      <c r="AH111" s="1149">
        <f>AG111/AF111</f>
        <v>0.89910202426637986</v>
      </c>
      <c r="AI111" s="1092"/>
      <c r="AJ111" s="1092"/>
      <c r="AK111" s="1081"/>
      <c r="AL111" s="1093">
        <f>SUM(AL102:AL110)</f>
        <v>15041577.66467776</v>
      </c>
      <c r="AN111" s="1094">
        <v>17290366</v>
      </c>
      <c r="AO111" s="1095">
        <v>21610127.665000726</v>
      </c>
      <c r="AP111" s="1152">
        <v>1.2498363345808137</v>
      </c>
      <c r="AQ111" s="1097"/>
      <c r="AR111" s="1097"/>
      <c r="AS111" s="1095"/>
      <c r="AT111" s="1098">
        <v>21610128.008017831</v>
      </c>
      <c r="AV111" s="1094">
        <v>16729556</v>
      </c>
      <c r="AW111" s="1095">
        <v>23913990.166504387</v>
      </c>
      <c r="AX111" s="1152">
        <v>1.4294455971517945</v>
      </c>
      <c r="AY111" s="1097"/>
      <c r="AZ111" s="1097"/>
      <c r="BA111" s="1095"/>
      <c r="BB111" s="1098">
        <v>23913990.166504387</v>
      </c>
      <c r="BD111" s="1094">
        <v>16508505</v>
      </c>
      <c r="BE111" s="1095">
        <v>22629564.894673672</v>
      </c>
      <c r="BF111" s="1152">
        <v>1.3707822055766814</v>
      </c>
      <c r="BG111" s="1097"/>
      <c r="BH111" s="1097"/>
      <c r="BI111" s="1095"/>
      <c r="BJ111" s="1098">
        <v>22629564.812629189</v>
      </c>
      <c r="BK111" s="1043"/>
      <c r="BL111" s="1062"/>
      <c r="BM111" s="1063"/>
      <c r="BN111" s="1064"/>
    </row>
    <row r="112" spans="2:66" ht="13.8" thickTop="1">
      <c r="B112" s="795"/>
      <c r="C112" s="795"/>
      <c r="D112" s="1036"/>
      <c r="E112" s="795"/>
      <c r="F112" s="795"/>
      <c r="G112" s="795"/>
      <c r="H112" s="795"/>
      <c r="I112" s="795"/>
      <c r="J112" s="795"/>
      <c r="K112" s="795"/>
      <c r="L112" s="1037"/>
      <c r="M112" s="795"/>
      <c r="N112" s="1099"/>
      <c r="O112" s="795"/>
      <c r="P112" s="1100"/>
      <c r="Q112" s="795"/>
      <c r="R112" s="1101"/>
      <c r="T112" s="1041"/>
      <c r="W112" s="1036"/>
      <c r="X112" s="1036"/>
      <c r="Y112" s="795"/>
      <c r="Z112" s="1037"/>
      <c r="AB112" s="1026"/>
      <c r="AD112" s="1027"/>
      <c r="AF112" s="1036"/>
      <c r="AG112" s="795"/>
      <c r="AH112" s="1055"/>
      <c r="AI112" s="832"/>
      <c r="AJ112" s="832"/>
      <c r="AK112" s="795"/>
      <c r="AL112" s="1056"/>
      <c r="AN112" s="1033"/>
      <c r="AO112" s="1034"/>
      <c r="AP112" s="1059"/>
      <c r="AQ112" s="1060"/>
      <c r="AR112" s="1060"/>
      <c r="AS112" s="1034"/>
      <c r="AT112" s="1061"/>
      <c r="AV112" s="1033"/>
      <c r="AW112" s="1034"/>
      <c r="AX112" s="1059"/>
      <c r="AY112" s="1060"/>
      <c r="AZ112" s="1060"/>
      <c r="BA112" s="1034"/>
      <c r="BB112" s="1061"/>
      <c r="BD112" s="1033"/>
      <c r="BE112" s="1034"/>
      <c r="BF112" s="1059"/>
      <c r="BG112" s="1060"/>
      <c r="BH112" s="1060"/>
      <c r="BI112" s="1034"/>
      <c r="BJ112" s="1061"/>
      <c r="BK112" s="795"/>
      <c r="BL112" s="1062"/>
      <c r="BM112" s="1063"/>
      <c r="BN112" s="1064"/>
    </row>
    <row r="113" spans="1:73">
      <c r="B113" s="797" t="s">
        <v>411</v>
      </c>
      <c r="C113" s="797"/>
      <c r="D113" s="1036"/>
      <c r="E113" s="795"/>
      <c r="F113" s="795"/>
      <c r="G113" s="795"/>
      <c r="H113" s="795"/>
      <c r="I113" s="795"/>
      <c r="J113" s="1040"/>
      <c r="K113" s="795"/>
      <c r="L113" s="1037"/>
      <c r="M113" s="795"/>
      <c r="N113" s="1099"/>
      <c r="O113" s="795"/>
      <c r="P113" s="1100"/>
      <c r="Q113" s="795"/>
      <c r="R113" s="1101"/>
      <c r="T113" s="1041"/>
      <c r="W113" s="1036"/>
      <c r="X113" s="1036"/>
      <c r="Y113" s="795"/>
      <c r="Z113" s="1037"/>
      <c r="AB113" s="1026"/>
      <c r="AD113" s="1027"/>
      <c r="AF113" s="1036"/>
      <c r="AG113" s="795"/>
      <c r="AH113" s="1055"/>
      <c r="AI113" s="832"/>
      <c r="AJ113" s="832"/>
      <c r="AK113" s="795"/>
      <c r="AL113" s="1056"/>
      <c r="AN113" s="1033"/>
      <c r="AO113" s="1034"/>
      <c r="AP113" s="1059"/>
      <c r="AQ113" s="1060"/>
      <c r="AR113" s="1060"/>
      <c r="AS113" s="1034"/>
      <c r="AT113" s="1061"/>
      <c r="AV113" s="1033"/>
      <c r="AW113" s="1034"/>
      <c r="AX113" s="1059"/>
      <c r="AY113" s="1060"/>
      <c r="AZ113" s="1060"/>
      <c r="BA113" s="1034"/>
      <c r="BB113" s="1061"/>
      <c r="BD113" s="1033"/>
      <c r="BE113" s="1034"/>
      <c r="BF113" s="1059"/>
      <c r="BG113" s="1060"/>
      <c r="BH113" s="1060"/>
      <c r="BI113" s="1034"/>
      <c r="BJ113" s="1061"/>
      <c r="BK113" s="795"/>
      <c r="BL113" s="1062"/>
      <c r="BM113" s="1063"/>
      <c r="BN113" s="1064"/>
    </row>
    <row r="114" spans="1:73">
      <c r="B114" s="795"/>
      <c r="C114" s="795"/>
      <c r="D114" s="1036"/>
      <c r="E114" s="795"/>
      <c r="F114" s="795"/>
      <c r="G114" s="795"/>
      <c r="H114" s="795"/>
      <c r="I114" s="795"/>
      <c r="J114" s="1040"/>
      <c r="K114" s="795"/>
      <c r="L114" s="1037"/>
      <c r="M114" s="795"/>
      <c r="N114" s="1099"/>
      <c r="O114" s="795"/>
      <c r="P114" s="1100"/>
      <c r="Q114" s="795"/>
      <c r="R114" s="1101"/>
      <c r="T114" s="1041"/>
      <c r="W114" s="1036"/>
      <c r="X114" s="1036"/>
      <c r="Y114" s="795"/>
      <c r="Z114" s="1037"/>
      <c r="AB114" s="1026"/>
      <c r="AD114" s="1027"/>
      <c r="AF114" s="1036"/>
      <c r="AG114" s="795"/>
      <c r="AH114" s="1055"/>
      <c r="AI114" s="832"/>
      <c r="AJ114" s="832"/>
      <c r="AK114" s="795"/>
      <c r="AL114" s="1056"/>
      <c r="AN114" s="1033"/>
      <c r="AO114" s="1034"/>
      <c r="AP114" s="1059"/>
      <c r="AQ114" s="1060"/>
      <c r="AR114" s="1060"/>
      <c r="AS114" s="1034"/>
      <c r="AT114" s="1061"/>
      <c r="AV114" s="1033"/>
      <c r="AW114" s="1034"/>
      <c r="AX114" s="1059"/>
      <c r="AY114" s="1060"/>
      <c r="AZ114" s="1060"/>
      <c r="BA114" s="1034"/>
      <c r="BB114" s="1061"/>
      <c r="BD114" s="1033"/>
      <c r="BE114" s="1034"/>
      <c r="BF114" s="1059"/>
      <c r="BG114" s="1060"/>
      <c r="BH114" s="1060"/>
      <c r="BI114" s="1034"/>
      <c r="BJ114" s="1061"/>
      <c r="BK114" s="795"/>
      <c r="BL114" s="1062"/>
      <c r="BM114" s="1063"/>
      <c r="BN114" s="1064"/>
    </row>
    <row r="115" spans="1:73">
      <c r="B115" s="795" t="s">
        <v>461</v>
      </c>
      <c r="C115" s="795"/>
      <c r="D115" s="1042">
        <f>'Billing Units'!D28</f>
        <v>1</v>
      </c>
      <c r="E115" s="799">
        <f>'Rate Inputs'!D28</f>
        <v>450</v>
      </c>
      <c r="F115" s="795" t="s">
        <v>160</v>
      </c>
      <c r="G115" s="832"/>
      <c r="H115" s="1043">
        <f>ROUND(E115*D115*12,0)</f>
        <v>5400</v>
      </c>
      <c r="I115" s="795"/>
      <c r="J115" s="1044">
        <f>'Billing Units'!D66</f>
        <v>1</v>
      </c>
      <c r="K115" s="1045">
        <f>W115</f>
        <v>670</v>
      </c>
      <c r="L115" s="1037" t="str">
        <f>F115</f>
        <v>per month</v>
      </c>
      <c r="M115" s="832"/>
      <c r="N115" s="1046">
        <f>ROUND(K115*J115*12,0)</f>
        <v>8040</v>
      </c>
      <c r="O115" s="1043"/>
      <c r="P115" s="1047">
        <f>IF(AND(N115=0,NOT(H115=0)),0,N115-H115)</f>
        <v>2640</v>
      </c>
      <c r="Q115" s="1043"/>
      <c r="R115" s="1074">
        <f>IF(D115=0,0,ROUND((N115-H115)/H115,9))</f>
        <v>0.48888888899999999</v>
      </c>
      <c r="T115" s="1049"/>
      <c r="W115" s="1050">
        <f>INDEX($X115:$Z115,MATCH($D$6,$X$8:$Z$8,0))</f>
        <v>670</v>
      </c>
      <c r="X115" s="1051">
        <f>E115</f>
        <v>450</v>
      </c>
      <c r="Y115" s="1125">
        <f>Z115</f>
        <v>670</v>
      </c>
      <c r="Z115" s="1126">
        <f>BN115</f>
        <v>670</v>
      </c>
      <c r="AB115" s="1026"/>
      <c r="AD115" s="1027"/>
      <c r="AF115" s="1054">
        <f>H115</f>
        <v>5400</v>
      </c>
      <c r="AG115" s="1043"/>
      <c r="AH115" s="1055"/>
      <c r="AI115" s="832">
        <v>450</v>
      </c>
      <c r="AJ115" s="834">
        <f>AI115*$AH$124</f>
        <v>389.52004877489702</v>
      </c>
      <c r="AK115" s="1043" t="s">
        <v>160</v>
      </c>
      <c r="AL115" s="1112">
        <f>AJ115*J115*12</f>
        <v>4674.240585298764</v>
      </c>
      <c r="AN115" s="1057">
        <v>5400</v>
      </c>
      <c r="AO115" s="1058"/>
      <c r="AP115" s="1059"/>
      <c r="AQ115" s="1060">
        <v>450</v>
      </c>
      <c r="AR115" s="1116">
        <v>607.17618687949766</v>
      </c>
      <c r="AS115" s="1058" t="s">
        <v>160</v>
      </c>
      <c r="AT115" s="1117">
        <v>7286.114242553972</v>
      </c>
      <c r="AV115" s="1057">
        <v>5400</v>
      </c>
      <c r="AW115" s="1058"/>
      <c r="AX115" s="1059"/>
      <c r="AY115" s="1060">
        <v>450</v>
      </c>
      <c r="AZ115" s="1116">
        <v>698.16412905184745</v>
      </c>
      <c r="BA115" s="1058" t="s">
        <v>160</v>
      </c>
      <c r="BB115" s="1117">
        <v>8377.9695486221699</v>
      </c>
      <c r="BD115" s="1057">
        <v>5400</v>
      </c>
      <c r="BE115" s="1058"/>
      <c r="BF115" s="1059"/>
      <c r="BG115" s="1060">
        <v>450</v>
      </c>
      <c r="BH115" s="1116">
        <v>670.97952344819169</v>
      </c>
      <c r="BI115" s="1058" t="s">
        <v>160</v>
      </c>
      <c r="BJ115" s="1117">
        <v>8051.7542813783002</v>
      </c>
      <c r="BK115" s="1043"/>
      <c r="BL115" s="1062">
        <f>IF(AR115&lt;20,ROUND(AR115,0),MROUND(AR115,5))</f>
        <v>605</v>
      </c>
      <c r="BM115" s="1063">
        <f>IF(AZ115&lt;20,ROUND(AZ115,0),MROUND(AZ115,5))</f>
        <v>700</v>
      </c>
      <c r="BN115" s="1064">
        <f>IF(BH115&lt;20,ROUND(BH115,0),MROUND(BH115,5))</f>
        <v>670</v>
      </c>
    </row>
    <row r="116" spans="1:73">
      <c r="B116" s="795"/>
      <c r="C116" s="795"/>
      <c r="D116" s="1065"/>
      <c r="E116" s="802"/>
      <c r="F116" s="795"/>
      <c r="G116" s="795"/>
      <c r="H116" s="795"/>
      <c r="I116" s="795"/>
      <c r="J116" s="1044"/>
      <c r="K116" s="802"/>
      <c r="L116" s="1037"/>
      <c r="M116" s="795"/>
      <c r="N116" s="1099"/>
      <c r="O116" s="795"/>
      <c r="P116" s="1100"/>
      <c r="Q116" s="795"/>
      <c r="R116" s="1101"/>
      <c r="T116" s="1041"/>
      <c r="W116" s="1067"/>
      <c r="X116" s="1067"/>
      <c r="Y116" s="802"/>
      <c r="Z116" s="1068"/>
      <c r="AB116" s="1026"/>
      <c r="AD116" s="1027"/>
      <c r="AF116" s="1036"/>
      <c r="AG116" s="795"/>
      <c r="AH116" s="1055"/>
      <c r="AI116" s="832"/>
      <c r="AJ116" s="832"/>
      <c r="AK116" s="795"/>
      <c r="AL116" s="1056"/>
      <c r="AN116" s="1033"/>
      <c r="AO116" s="1034"/>
      <c r="AP116" s="1059"/>
      <c r="AQ116" s="1060"/>
      <c r="AR116" s="1060"/>
      <c r="AS116" s="1034"/>
      <c r="AT116" s="1061"/>
      <c r="AV116" s="1033"/>
      <c r="AW116" s="1034"/>
      <c r="AX116" s="1059"/>
      <c r="AY116" s="1060"/>
      <c r="AZ116" s="1060"/>
      <c r="BA116" s="1034"/>
      <c r="BB116" s="1061"/>
      <c r="BD116" s="1033"/>
      <c r="BE116" s="1034"/>
      <c r="BF116" s="1059"/>
      <c r="BG116" s="1060"/>
      <c r="BH116" s="1060"/>
      <c r="BI116" s="1034"/>
      <c r="BJ116" s="1061"/>
      <c r="BK116" s="795"/>
      <c r="BL116" s="1062"/>
      <c r="BM116" s="1063"/>
      <c r="BN116" s="1064"/>
    </row>
    <row r="117" spans="1:73">
      <c r="B117" s="795" t="s">
        <v>476</v>
      </c>
      <c r="C117" s="795"/>
      <c r="D117" s="1065"/>
      <c r="E117" s="802"/>
      <c r="F117" s="795"/>
      <c r="G117" s="795"/>
      <c r="H117" s="795"/>
      <c r="I117" s="795"/>
      <c r="J117" s="1044"/>
      <c r="K117" s="802"/>
      <c r="L117" s="1037"/>
      <c r="M117" s="795"/>
      <c r="N117" s="1099"/>
      <c r="O117" s="795"/>
      <c r="P117" s="1100"/>
      <c r="Q117" s="795"/>
      <c r="R117" s="1101"/>
      <c r="T117" s="1041"/>
      <c r="W117" s="1067"/>
      <c r="X117" s="1067"/>
      <c r="Y117" s="802"/>
      <c r="Z117" s="1068"/>
      <c r="AB117" s="1026"/>
      <c r="AD117" s="1027"/>
      <c r="AF117" s="1036"/>
      <c r="AG117" s="795"/>
      <c r="AH117" s="1055"/>
      <c r="AI117" s="832"/>
      <c r="AJ117" s="832"/>
      <c r="AK117" s="795"/>
      <c r="AL117" s="1056"/>
      <c r="AN117" s="1033"/>
      <c r="AO117" s="1034"/>
      <c r="AP117" s="1059"/>
      <c r="AQ117" s="1060"/>
      <c r="AR117" s="1060"/>
      <c r="AS117" s="1034"/>
      <c r="AT117" s="1061"/>
      <c r="AV117" s="1033"/>
      <c r="AW117" s="1034"/>
      <c r="AX117" s="1059"/>
      <c r="AY117" s="1060"/>
      <c r="AZ117" s="1060"/>
      <c r="BA117" s="1034"/>
      <c r="BB117" s="1061"/>
      <c r="BD117" s="1033"/>
      <c r="BE117" s="1034"/>
      <c r="BF117" s="1059"/>
      <c r="BG117" s="1060"/>
      <c r="BH117" s="1060"/>
      <c r="BI117" s="1034"/>
      <c r="BJ117" s="1061"/>
      <c r="BK117" s="795"/>
      <c r="BL117" s="1062"/>
      <c r="BM117" s="1063"/>
      <c r="BN117" s="1064"/>
    </row>
    <row r="118" spans="1:73">
      <c r="B118" s="803" t="s">
        <v>488</v>
      </c>
      <c r="C118" s="795"/>
      <c r="D118" s="1042">
        <f>'Billing Units'!M28</f>
        <v>182244</v>
      </c>
      <c r="E118" s="832">
        <f>'Rate Inputs'!M28</f>
        <v>6</v>
      </c>
      <c r="F118" s="795" t="s">
        <v>394</v>
      </c>
      <c r="G118" s="832"/>
      <c r="H118" s="1043">
        <f>ROUND(E118*D118,0)</f>
        <v>1093464</v>
      </c>
      <c r="I118" s="795"/>
      <c r="J118" s="1066">
        <f>'Billing Units'!M66</f>
        <v>182244</v>
      </c>
      <c r="K118" s="1045">
        <f t="shared" ref="K118:K119" si="27">W118</f>
        <v>8.9</v>
      </c>
      <c r="L118" s="1037" t="str">
        <f>F118</f>
        <v>per kVA</v>
      </c>
      <c r="M118" s="832"/>
      <c r="N118" s="1046">
        <f>ROUND(K118*J118,0)</f>
        <v>1621972</v>
      </c>
      <c r="O118" s="1043"/>
      <c r="P118" s="1047">
        <f>IF(AND(N118=0,NOT(H118=0)),0,N118-H118)</f>
        <v>528508</v>
      </c>
      <c r="Q118" s="1043"/>
      <c r="R118" s="1074">
        <f>IF(D118=0,0,ROUND((N118-H118)/H118,9))</f>
        <v>0.48333369900000001</v>
      </c>
      <c r="T118" s="1049"/>
      <c r="W118" s="1173">
        <f>INDEX($X118:$Z118,MATCH($D$6,$X$8:$Z$8,0))</f>
        <v>8.9</v>
      </c>
      <c r="X118" s="1051">
        <f>E118</f>
        <v>6</v>
      </c>
      <c r="Y118" s="1125">
        <f t="shared" ref="Y118:Y119" si="28">Z118</f>
        <v>8.9</v>
      </c>
      <c r="Z118" s="1126">
        <f t="shared" ref="Z118:Z119" si="29">BN118</f>
        <v>8.9</v>
      </c>
      <c r="AB118" s="1026"/>
      <c r="AD118" s="1027"/>
      <c r="AF118" s="1054">
        <f>H118</f>
        <v>1093464</v>
      </c>
      <c r="AG118" s="1043"/>
      <c r="AH118" s="1055"/>
      <c r="AI118" s="832">
        <v>6</v>
      </c>
      <c r="AJ118" s="832">
        <f t="shared" ref="AJ118:AJ119" si="30">AI118*$AH$124</f>
        <v>5.1936006503319607</v>
      </c>
      <c r="AK118" s="1043" t="s">
        <v>394</v>
      </c>
      <c r="AL118" s="1056">
        <f>AJ118*J118</f>
        <v>946502.5569190979</v>
      </c>
      <c r="AN118" s="1057">
        <v>1093464</v>
      </c>
      <c r="AO118" s="1058"/>
      <c r="AP118" s="1059"/>
      <c r="AQ118" s="1060">
        <v>6</v>
      </c>
      <c r="AR118" s="1060">
        <v>8.0956824917266363</v>
      </c>
      <c r="AS118" s="1058" t="s">
        <v>394</v>
      </c>
      <c r="AT118" s="1061">
        <v>1475389.5600222291</v>
      </c>
      <c r="AV118" s="1057">
        <v>1093464</v>
      </c>
      <c r="AW118" s="1058"/>
      <c r="AX118" s="1059"/>
      <c r="AY118" s="1060">
        <v>6</v>
      </c>
      <c r="AZ118" s="1060">
        <v>9.3088550540246331</v>
      </c>
      <c r="BA118" s="1058" t="s">
        <v>394</v>
      </c>
      <c r="BB118" s="1061">
        <v>1696482.9804656652</v>
      </c>
      <c r="BD118" s="1057">
        <v>1093464</v>
      </c>
      <c r="BE118" s="1058"/>
      <c r="BF118" s="1059"/>
      <c r="BG118" s="1060">
        <v>6</v>
      </c>
      <c r="BH118" s="1060">
        <v>8.9463936459758884</v>
      </c>
      <c r="BI118" s="1058" t="s">
        <v>394</v>
      </c>
      <c r="BJ118" s="1061">
        <v>1630426.5636172297</v>
      </c>
      <c r="BK118" s="1043"/>
      <c r="BL118" s="1062">
        <f>ROUND(AR118,1)</f>
        <v>8.1</v>
      </c>
      <c r="BM118" s="1063">
        <f>ROUND(AZ118,1)</f>
        <v>9.3000000000000007</v>
      </c>
      <c r="BN118" s="1064">
        <f>ROUND(BH118,1)</f>
        <v>8.9</v>
      </c>
    </row>
    <row r="119" spans="1:73">
      <c r="B119" s="803" t="s">
        <v>78</v>
      </c>
      <c r="C119" s="795"/>
      <c r="D119" s="1042">
        <f>'Billing Units'!N28</f>
        <v>0</v>
      </c>
      <c r="E119" s="832">
        <f>'Rate Inputs'!N28</f>
        <v>9.6</v>
      </c>
      <c r="F119" s="795" t="s">
        <v>394</v>
      </c>
      <c r="G119" s="832"/>
      <c r="H119" s="1043">
        <f>ROUND(E119*D119,0)</f>
        <v>0</v>
      </c>
      <c r="I119" s="795"/>
      <c r="J119" s="1066">
        <f>'Billing Units'!N66</f>
        <v>0</v>
      </c>
      <c r="K119" s="1045">
        <f t="shared" si="27"/>
        <v>14.3</v>
      </c>
      <c r="L119" s="1037" t="str">
        <f>F119</f>
        <v>per kVA</v>
      </c>
      <c r="M119" s="832"/>
      <c r="N119" s="1046">
        <f>ROUND(K119*J119,0)</f>
        <v>0</v>
      </c>
      <c r="O119" s="1043"/>
      <c r="P119" s="1047">
        <f>IF(AND(N119=0,NOT(H119=0)),0,N119-H119)</f>
        <v>0</v>
      </c>
      <c r="Q119" s="1043"/>
      <c r="R119" s="1074">
        <f>IF(D119=0,0,ROUND((N119-H119)/H119,9))</f>
        <v>0</v>
      </c>
      <c r="T119" s="1049"/>
      <c r="W119" s="1173">
        <f>INDEX($X119:$Z119,MATCH($D$6,$X$8:$Z$8,0))</f>
        <v>14.3</v>
      </c>
      <c r="X119" s="1051">
        <f>E119</f>
        <v>9.6</v>
      </c>
      <c r="Y119" s="1125">
        <f t="shared" si="28"/>
        <v>14.3</v>
      </c>
      <c r="Z119" s="1126">
        <f t="shared" si="29"/>
        <v>14.3</v>
      </c>
      <c r="AB119" s="1026"/>
      <c r="AD119" s="1027"/>
      <c r="AF119" s="1054"/>
      <c r="AG119" s="1043"/>
      <c r="AH119" s="1055"/>
      <c r="AI119" s="832">
        <v>9.6</v>
      </c>
      <c r="AJ119" s="832">
        <f t="shared" si="30"/>
        <v>8.3097610405311357</v>
      </c>
      <c r="AK119" s="1043" t="s">
        <v>394</v>
      </c>
      <c r="AL119" s="1056"/>
      <c r="AN119" s="1057"/>
      <c r="AO119" s="1058"/>
      <c r="AP119" s="1059"/>
      <c r="AQ119" s="1060">
        <v>9.6</v>
      </c>
      <c r="AR119" s="1060">
        <v>12.953091986762617</v>
      </c>
      <c r="AS119" s="1058" t="s">
        <v>394</v>
      </c>
      <c r="AT119" s="1061"/>
      <c r="AV119" s="1057"/>
      <c r="AW119" s="1058"/>
      <c r="AX119" s="1059"/>
      <c r="AY119" s="1060">
        <v>9.6</v>
      </c>
      <c r="AZ119" s="1060">
        <v>14.894168086439413</v>
      </c>
      <c r="BA119" s="1058" t="s">
        <v>394</v>
      </c>
      <c r="BB119" s="1061"/>
      <c r="BD119" s="1057"/>
      <c r="BE119" s="1058"/>
      <c r="BF119" s="1059"/>
      <c r="BG119" s="1060">
        <v>9.6</v>
      </c>
      <c r="BH119" s="1060">
        <v>14.314229833561422</v>
      </c>
      <c r="BI119" s="1058" t="s">
        <v>394</v>
      </c>
      <c r="BJ119" s="1061"/>
      <c r="BK119" s="1043"/>
      <c r="BL119" s="1062">
        <f>ROUND(AR119,1)</f>
        <v>13</v>
      </c>
      <c r="BM119" s="1063">
        <f>ROUND(AZ119,1)</f>
        <v>14.9</v>
      </c>
      <c r="BN119" s="1064">
        <f>ROUND(BH119,1)</f>
        <v>14.3</v>
      </c>
    </row>
    <row r="120" spans="1:73">
      <c r="B120" s="803"/>
      <c r="C120" s="795"/>
      <c r="D120" s="1042"/>
      <c r="E120" s="832"/>
      <c r="F120" s="795"/>
      <c r="G120" s="832"/>
      <c r="H120" s="1043"/>
      <c r="I120" s="795"/>
      <c r="J120" s="1073"/>
      <c r="K120" s="832"/>
      <c r="L120" s="1037"/>
      <c r="M120" s="832"/>
      <c r="N120" s="1046"/>
      <c r="O120" s="1043"/>
      <c r="P120" s="1100"/>
      <c r="Q120" s="795"/>
      <c r="R120" s="1101"/>
      <c r="T120" s="1049"/>
      <c r="W120" s="1174"/>
      <c r="X120" s="1174"/>
      <c r="Y120" s="832"/>
      <c r="Z120" s="1056"/>
      <c r="AB120" s="1026"/>
      <c r="AD120" s="1027"/>
      <c r="AF120" s="1054"/>
      <c r="AG120" s="1043"/>
      <c r="AH120" s="1055"/>
      <c r="AI120" s="832"/>
      <c r="AJ120" s="832"/>
      <c r="AK120" s="1043"/>
      <c r="AL120" s="1056"/>
      <c r="AN120" s="1057"/>
      <c r="AO120" s="1058"/>
      <c r="AP120" s="1059"/>
      <c r="AQ120" s="1060"/>
      <c r="AR120" s="1060"/>
      <c r="AS120" s="1058"/>
      <c r="AT120" s="1061"/>
      <c r="AV120" s="1057"/>
      <c r="AW120" s="1058"/>
      <c r="AX120" s="1059"/>
      <c r="AY120" s="1060"/>
      <c r="AZ120" s="1060"/>
      <c r="BA120" s="1058"/>
      <c r="BB120" s="1061"/>
      <c r="BD120" s="1057"/>
      <c r="BE120" s="1058"/>
      <c r="BF120" s="1059"/>
      <c r="BG120" s="1060"/>
      <c r="BH120" s="1060"/>
      <c r="BI120" s="1058"/>
      <c r="BJ120" s="1061"/>
      <c r="BK120" s="1043"/>
      <c r="BL120" s="1062"/>
      <c r="BM120" s="1063"/>
      <c r="BN120" s="1064"/>
    </row>
    <row r="121" spans="1:73">
      <c r="B121" s="795" t="s">
        <v>462</v>
      </c>
      <c r="C121" s="795"/>
      <c r="D121" s="1042"/>
      <c r="E121" s="802"/>
      <c r="F121" s="795"/>
      <c r="G121" s="795"/>
      <c r="H121" s="795"/>
      <c r="I121" s="795"/>
      <c r="J121" s="1066"/>
      <c r="K121" s="802"/>
      <c r="L121" s="1037"/>
      <c r="M121" s="795"/>
      <c r="N121" s="1099"/>
      <c r="O121" s="795"/>
      <c r="P121" s="1100"/>
      <c r="Q121" s="795"/>
      <c r="R121" s="1101"/>
      <c r="T121" s="1041"/>
      <c r="W121" s="1067"/>
      <c r="X121" s="1067"/>
      <c r="Y121" s="802"/>
      <c r="Z121" s="1068"/>
      <c r="AB121" s="1026"/>
      <c r="AD121" s="1027"/>
      <c r="AF121" s="1036"/>
      <c r="AG121" s="795"/>
      <c r="AH121" s="1055"/>
      <c r="AI121" s="832"/>
      <c r="AJ121" s="832"/>
      <c r="AK121" s="795"/>
      <c r="AL121" s="1056"/>
      <c r="AN121" s="1033"/>
      <c r="AO121" s="1034"/>
      <c r="AP121" s="1059"/>
      <c r="AQ121" s="1060"/>
      <c r="AR121" s="1060"/>
      <c r="AS121" s="1034"/>
      <c r="AT121" s="1061"/>
      <c r="AV121" s="1033"/>
      <c r="AW121" s="1034"/>
      <c r="AX121" s="1059"/>
      <c r="AY121" s="1060"/>
      <c r="AZ121" s="1060"/>
      <c r="BA121" s="1034"/>
      <c r="BB121" s="1061"/>
      <c r="BD121" s="1033"/>
      <c r="BE121" s="1034"/>
      <c r="BF121" s="1059"/>
      <c r="BG121" s="1060"/>
      <c r="BH121" s="1060"/>
      <c r="BI121" s="1034"/>
      <c r="BJ121" s="1061"/>
      <c r="BK121" s="795"/>
      <c r="BL121" s="1062"/>
      <c r="BM121" s="1063"/>
      <c r="BN121" s="1064"/>
    </row>
    <row r="122" spans="1:73">
      <c r="B122" s="803" t="s">
        <v>489</v>
      </c>
      <c r="C122" s="795"/>
      <c r="D122" s="1042">
        <f>'Billing Units'!H28</f>
        <v>60700000</v>
      </c>
      <c r="E122" s="805">
        <f>'Rate Inputs'!H28+IF($D$7,$J$7,0)</f>
        <v>5.9081999999999996E-2</v>
      </c>
      <c r="F122" s="806" t="s">
        <v>157</v>
      </c>
      <c r="G122" s="795"/>
      <c r="H122" s="1043">
        <f>ROUND(E122*D122,0)</f>
        <v>3586277</v>
      </c>
      <c r="I122" s="795"/>
      <c r="J122" s="1073">
        <f>'Billing Units'!H66</f>
        <v>60700000</v>
      </c>
      <c r="K122" s="1135">
        <f>IF(W$10,W122,(T124-SUM(N115:N119)-AD123*J123)/(J122+J123))</f>
        <v>3.9957933400595641E-2</v>
      </c>
      <c r="L122" s="1072" t="s">
        <v>157</v>
      </c>
      <c r="M122" s="795"/>
      <c r="N122" s="1046">
        <f>ROUND(K122*J122,0)</f>
        <v>2425447</v>
      </c>
      <c r="O122" s="795"/>
      <c r="P122" s="1047">
        <f>IF(AND(N122=0,NOT(H122=0)),0,N122-H122)</f>
        <v>-1160830</v>
      </c>
      <c r="Q122" s="1043"/>
      <c r="R122" s="1074">
        <f>IF(D122=0,0,ROUND((N122-H122)/H122,9))</f>
        <v>-0.32368665299999999</v>
      </c>
      <c r="T122" s="1049"/>
      <c r="W122" s="1137">
        <f>INDEX($X122:$Z122,MATCH($D$6,$X$8:$Z$8,0))</f>
        <v>0</v>
      </c>
      <c r="X122" s="1076"/>
      <c r="Y122" s="805"/>
      <c r="Z122" s="1077"/>
      <c r="AB122" s="1026"/>
      <c r="AD122" s="1027"/>
      <c r="AF122" s="1054">
        <f>H122</f>
        <v>3586277</v>
      </c>
      <c r="AG122" s="1043"/>
      <c r="AH122" s="1055"/>
      <c r="AI122" s="832">
        <v>2.496E-2</v>
      </c>
      <c r="AJ122" s="832">
        <f t="shared" ref="AJ122:AJ123" si="31">AI122*$AH$124</f>
        <v>2.1605378705380957E-2</v>
      </c>
      <c r="AK122" s="1043" t="s">
        <v>157</v>
      </c>
      <c r="AL122" s="1056">
        <f>AJ122*J122</f>
        <v>1311446.4874166241</v>
      </c>
      <c r="AN122" s="1057">
        <v>1617219</v>
      </c>
      <c r="AO122" s="1058"/>
      <c r="AP122" s="1059"/>
      <c r="AQ122" s="1060">
        <v>2.496E-2</v>
      </c>
      <c r="AR122" s="1060">
        <v>3.3678039165582804E-2</v>
      </c>
      <c r="AS122" s="1058" t="s">
        <v>157</v>
      </c>
      <c r="AT122" s="1061">
        <v>2182081.9610929838</v>
      </c>
      <c r="AV122" s="1057">
        <v>1515072</v>
      </c>
      <c r="AW122" s="1058"/>
      <c r="AX122" s="1059"/>
      <c r="AY122" s="1060">
        <v>2.496E-2</v>
      </c>
      <c r="AZ122" s="1060">
        <v>3.872483702474247E-2</v>
      </c>
      <c r="BA122" s="1058" t="s">
        <v>157</v>
      </c>
      <c r="BB122" s="1061">
        <v>2350597.6074018679</v>
      </c>
      <c r="BD122" s="1057">
        <v>1474892</v>
      </c>
      <c r="BE122" s="1058"/>
      <c r="BF122" s="1059"/>
      <c r="BG122" s="1060">
        <v>2.496E-2</v>
      </c>
      <c r="BH122" s="1060">
        <v>3.7216997567259692E-2</v>
      </c>
      <c r="BI122" s="1058" t="s">
        <v>157</v>
      </c>
      <c r="BJ122" s="1061">
        <v>2199161.3113090987</v>
      </c>
      <c r="BK122" s="1043"/>
      <c r="BL122" s="1062"/>
      <c r="BM122" s="1063"/>
      <c r="BN122" s="1064"/>
    </row>
    <row r="123" spans="1:73">
      <c r="B123" s="803" t="s">
        <v>490</v>
      </c>
      <c r="C123" s="795"/>
      <c r="D123" s="1042">
        <f>'Billing Units'!I28</f>
        <v>0</v>
      </c>
      <c r="E123" s="805">
        <f>'Rate Inputs'!I28+IF($D$7,$J$7,0)</f>
        <v>5.3082000000000004E-2</v>
      </c>
      <c r="F123" s="806" t="s">
        <v>157</v>
      </c>
      <c r="G123" s="806"/>
      <c r="H123" s="1043">
        <f>ROUND(E123*D123,0)</f>
        <v>0</v>
      </c>
      <c r="I123" s="795"/>
      <c r="J123" s="1073">
        <f>'Billing Units'!I66</f>
        <v>0</v>
      </c>
      <c r="K123" s="1175">
        <f>IF(W$10,W123,K122+AD123)</f>
        <v>3.3957933400595643E-2</v>
      </c>
      <c r="L123" s="1072" t="s">
        <v>157</v>
      </c>
      <c r="M123" s="806"/>
      <c r="N123" s="1046">
        <f>ROUND(K123*J123,0)</f>
        <v>0</v>
      </c>
      <c r="O123" s="1043"/>
      <c r="P123" s="1047">
        <f>IF(AND(N123=0,NOT(H123=0)),0,N123-H123)</f>
        <v>0</v>
      </c>
      <c r="Q123" s="1043"/>
      <c r="R123" s="1074">
        <f>IF(D123=0,0,ROUND((N123-H123)/H123,9))</f>
        <v>0</v>
      </c>
      <c r="T123" s="1049"/>
      <c r="W123" s="1138">
        <f>INDEX($X123:$Z123,MATCH($D$6,$X$8:$Z$8,0))</f>
        <v>0</v>
      </c>
      <c r="X123" s="1067"/>
      <c r="Y123" s="802"/>
      <c r="Z123" s="1068"/>
      <c r="AB123" s="1026"/>
      <c r="AC123" s="789">
        <v>0.75961538461538469</v>
      </c>
      <c r="AD123" s="1079">
        <v>-5.9999999999999984E-3</v>
      </c>
      <c r="AE123" s="1178"/>
      <c r="AF123" s="1054">
        <f>H123</f>
        <v>0</v>
      </c>
      <c r="AG123" s="1043"/>
      <c r="AH123" s="1055"/>
      <c r="AI123" s="832">
        <v>1.8960000000000001E-2</v>
      </c>
      <c r="AJ123" s="832">
        <f t="shared" si="31"/>
        <v>1.6411778055048995E-2</v>
      </c>
      <c r="AK123" s="1043" t="s">
        <v>157</v>
      </c>
      <c r="AL123" s="1056"/>
      <c r="AN123" s="1057">
        <v>0</v>
      </c>
      <c r="AO123" s="1058"/>
      <c r="AP123" s="1059"/>
      <c r="AQ123" s="1060">
        <v>1.8960000000000001E-2</v>
      </c>
      <c r="AR123" s="1060">
        <v>2.5582356673856169E-2</v>
      </c>
      <c r="AS123" s="1058" t="s">
        <v>157</v>
      </c>
      <c r="AT123" s="1061"/>
      <c r="AV123" s="1057">
        <v>0</v>
      </c>
      <c r="AW123" s="1058"/>
      <c r="AX123" s="1059"/>
      <c r="AY123" s="1060">
        <v>1.8960000000000001E-2</v>
      </c>
      <c r="AZ123" s="1060">
        <v>2.9415981970717844E-2</v>
      </c>
      <c r="BA123" s="1058" t="s">
        <v>157</v>
      </c>
      <c r="BB123" s="1061"/>
      <c r="BD123" s="1057">
        <v>0</v>
      </c>
      <c r="BE123" s="1058"/>
      <c r="BF123" s="1059"/>
      <c r="BG123" s="1060">
        <v>1.8960000000000001E-2</v>
      </c>
      <c r="BH123" s="1060">
        <v>2.8270603921283808E-2</v>
      </c>
      <c r="BI123" s="1058" t="s">
        <v>157</v>
      </c>
      <c r="BJ123" s="1061"/>
      <c r="BK123" s="1043"/>
      <c r="BL123" s="1062"/>
      <c r="BM123" s="1063"/>
      <c r="BN123" s="1064"/>
    </row>
    <row r="124" spans="1:73" ht="13.8" thickBot="1">
      <c r="B124" s="807" t="s">
        <v>491</v>
      </c>
      <c r="C124" s="808"/>
      <c r="D124" s="1080">
        <f>SUM(D122:D123)</f>
        <v>60700000</v>
      </c>
      <c r="E124" s="811"/>
      <c r="F124" s="811"/>
      <c r="G124" s="811"/>
      <c r="H124" s="1081">
        <f>SUM(H115,H118:H119,H122,H123)</f>
        <v>4685141</v>
      </c>
      <c r="I124" s="808"/>
      <c r="J124" s="1082">
        <f>SUM(J122:J123)</f>
        <v>60700000</v>
      </c>
      <c r="K124" s="810"/>
      <c r="L124" s="1083"/>
      <c r="M124" s="811"/>
      <c r="N124" s="1084">
        <f>SUM(N115, N118:N119,N122,N123)</f>
        <v>4055459</v>
      </c>
      <c r="O124" s="1081"/>
      <c r="P124" s="1085">
        <f>IF(AND(N124=0,NOT(H124=0)),0,N124-H124)</f>
        <v>-629682</v>
      </c>
      <c r="Q124" s="1081"/>
      <c r="R124" s="1086">
        <f>IF(D124=0,0,ROUND((N124-H124)/H124,9))</f>
        <v>-0.13439979699999999</v>
      </c>
      <c r="T124" s="1087">
        <f>INDEX('Revenue Summary'!$R$10:$R$38,MATCH(AB124,'Revenue Summary'!$B$10:$B$38,0))</f>
        <v>4055458.5574161555</v>
      </c>
      <c r="W124" s="1088"/>
      <c r="X124" s="1088"/>
      <c r="Y124" s="810"/>
      <c r="Z124" s="1089"/>
      <c r="AB124" s="1026" t="str" cm="1">
        <f t="array" ref="AB124">INDEX(_xlfn.TEXTSPLIT(B124," "),2)</f>
        <v>LIS</v>
      </c>
      <c r="AD124" s="1027"/>
      <c r="AF124" s="1090">
        <f>H124</f>
        <v>4685141</v>
      </c>
      <c r="AG124" s="1081">
        <f>T124</f>
        <v>4055458.5574161555</v>
      </c>
      <c r="AH124" s="1149">
        <f>AG124/AF124</f>
        <v>0.86560010838866008</v>
      </c>
      <c r="AI124" s="1092"/>
      <c r="AJ124" s="1092"/>
      <c r="AK124" s="1081"/>
      <c r="AL124" s="1093">
        <f>SUM(AL115:AL123)</f>
        <v>2262623.2849210207</v>
      </c>
      <c r="AN124" s="1094">
        <v>2716083</v>
      </c>
      <c r="AO124" s="1095">
        <v>3664757.5981960595</v>
      </c>
      <c r="AP124" s="1152">
        <v>1.3492804152877726</v>
      </c>
      <c r="AQ124" s="1097"/>
      <c r="AR124" s="1097"/>
      <c r="AS124" s="1095"/>
      <c r="AT124" s="1098">
        <v>3664757.6353577669</v>
      </c>
      <c r="AV124" s="1094">
        <v>2613936</v>
      </c>
      <c r="AW124" s="1095">
        <v>4055458.5574161555</v>
      </c>
      <c r="AX124" s="1152">
        <v>1.5514758423374388</v>
      </c>
      <c r="AY124" s="1097"/>
      <c r="AZ124" s="1097"/>
      <c r="BA124" s="1095"/>
      <c r="BB124" s="1098">
        <v>4055458.557416155</v>
      </c>
      <c r="BD124" s="1094">
        <v>2573756</v>
      </c>
      <c r="BE124" s="1095">
        <v>3837639.0541153867</v>
      </c>
      <c r="BF124" s="1152">
        <v>1.4910656076626481</v>
      </c>
      <c r="BG124" s="1097"/>
      <c r="BH124" s="1097"/>
      <c r="BI124" s="1095"/>
      <c r="BJ124" s="1098">
        <v>3837639.629207707</v>
      </c>
      <c r="BK124" s="1043"/>
      <c r="BL124" s="1062"/>
      <c r="BM124" s="1063"/>
      <c r="BN124" s="1064"/>
    </row>
    <row r="125" spans="1:73" ht="13.8" thickTop="1">
      <c r="B125" s="795"/>
      <c r="C125" s="795"/>
      <c r="D125" s="1036"/>
      <c r="E125" s="795"/>
      <c r="F125" s="795"/>
      <c r="G125" s="795"/>
      <c r="H125" s="795"/>
      <c r="I125" s="795"/>
      <c r="J125" s="795"/>
      <c r="K125" s="795"/>
      <c r="L125" s="1037"/>
      <c r="M125" s="795"/>
      <c r="N125" s="1099"/>
      <c r="O125" s="795"/>
      <c r="P125" s="1100"/>
      <c r="Q125" s="795"/>
      <c r="R125" s="1101"/>
      <c r="T125" s="1041"/>
      <c r="W125" s="1036"/>
      <c r="X125" s="1036"/>
      <c r="Y125" s="795"/>
      <c r="Z125" s="1037"/>
      <c r="AB125" s="1026"/>
      <c r="AD125" s="1027"/>
      <c r="AF125" s="1036"/>
      <c r="AG125" s="795"/>
      <c r="AH125" s="1055"/>
      <c r="AI125" s="832"/>
      <c r="AJ125" s="832"/>
      <c r="AK125" s="795"/>
      <c r="AL125" s="1056"/>
      <c r="AN125" s="1033"/>
      <c r="AO125" s="1034"/>
      <c r="AP125" s="1059"/>
      <c r="AQ125" s="1060"/>
      <c r="AR125" s="1060"/>
      <c r="AS125" s="1034"/>
      <c r="AT125" s="1061"/>
      <c r="AV125" s="1033"/>
      <c r="AW125" s="1034"/>
      <c r="AX125" s="1059"/>
      <c r="AY125" s="1060"/>
      <c r="AZ125" s="1060"/>
      <c r="BA125" s="1034"/>
      <c r="BB125" s="1061"/>
      <c r="BD125" s="1033"/>
      <c r="BE125" s="1034"/>
      <c r="BF125" s="1059"/>
      <c r="BG125" s="1060"/>
      <c r="BH125" s="1060"/>
      <c r="BI125" s="1034"/>
      <c r="BJ125" s="1061"/>
      <c r="BK125" s="795"/>
      <c r="BL125" s="1062"/>
      <c r="BM125" s="1063"/>
      <c r="BN125" s="1064"/>
    </row>
    <row r="126" spans="1:73" s="3" customFormat="1">
      <c r="A126" s="692"/>
      <c r="B126" s="813" t="s">
        <v>421</v>
      </c>
      <c r="C126" s="813"/>
      <c r="D126" s="1102"/>
      <c r="E126" s="812"/>
      <c r="F126" s="812"/>
      <c r="G126" s="812"/>
      <c r="H126" s="812"/>
      <c r="I126" s="812"/>
      <c r="J126" s="1103"/>
      <c r="K126" s="812"/>
      <c r="L126" s="1104"/>
      <c r="M126" s="812"/>
      <c r="N126" s="1105"/>
      <c r="O126" s="812"/>
      <c r="P126" s="1106"/>
      <c r="Q126" s="812"/>
      <c r="R126" s="1107"/>
      <c r="S126" s="692"/>
      <c r="T126" s="1108"/>
      <c r="U126" s="692"/>
      <c r="V126" s="692"/>
      <c r="W126" s="1102"/>
      <c r="X126" s="1102"/>
      <c r="Y126" s="812"/>
      <c r="Z126" s="1104"/>
      <c r="AA126" s="692"/>
      <c r="AB126" s="1026"/>
      <c r="AC126" s="1109"/>
      <c r="AD126" s="1110"/>
      <c r="AE126" s="692"/>
      <c r="AF126" s="1102"/>
      <c r="AG126" s="812"/>
      <c r="AH126" s="1111"/>
      <c r="AI126" s="834"/>
      <c r="AJ126" s="834"/>
      <c r="AK126" s="812"/>
      <c r="AL126" s="1112"/>
      <c r="AM126" s="692"/>
      <c r="AN126" s="1113"/>
      <c r="AO126" s="1114"/>
      <c r="AP126" s="1115"/>
      <c r="AQ126" s="1116"/>
      <c r="AR126" s="1116"/>
      <c r="AS126" s="1114"/>
      <c r="AT126" s="1117"/>
      <c r="AU126" s="692"/>
      <c r="AV126" s="1113"/>
      <c r="AW126" s="1114"/>
      <c r="AX126" s="1115"/>
      <c r="AY126" s="1116"/>
      <c r="AZ126" s="1116"/>
      <c r="BA126" s="1114"/>
      <c r="BB126" s="1117"/>
      <c r="BC126" s="692"/>
      <c r="BD126" s="1113"/>
      <c r="BE126" s="1114"/>
      <c r="BF126" s="1115"/>
      <c r="BG126" s="1116"/>
      <c r="BH126" s="1116"/>
      <c r="BI126" s="1114"/>
      <c r="BJ126" s="1117"/>
      <c r="BK126" s="812"/>
      <c r="BL126" s="1062"/>
      <c r="BM126" s="1063"/>
      <c r="BN126" s="1064"/>
      <c r="BO126" s="692"/>
      <c r="BP126" s="692"/>
      <c r="BQ126" s="692"/>
      <c r="BR126" s="692"/>
      <c r="BS126" s="692"/>
      <c r="BT126" s="692"/>
      <c r="BU126" s="692"/>
    </row>
    <row r="127" spans="1:73" s="3" customFormat="1">
      <c r="A127" s="692"/>
      <c r="B127" s="812"/>
      <c r="C127" s="812"/>
      <c r="D127" s="1102"/>
      <c r="E127" s="812"/>
      <c r="F127" s="812"/>
      <c r="G127" s="812"/>
      <c r="H127" s="812"/>
      <c r="I127" s="812"/>
      <c r="J127" s="1103"/>
      <c r="K127" s="812"/>
      <c r="L127" s="1104"/>
      <c r="M127" s="812"/>
      <c r="N127" s="1105"/>
      <c r="O127" s="812"/>
      <c r="P127" s="1106"/>
      <c r="Q127" s="812"/>
      <c r="R127" s="1107"/>
      <c r="S127" s="692"/>
      <c r="T127" s="1108"/>
      <c r="U127" s="692"/>
      <c r="V127" s="692"/>
      <c r="W127" s="1102"/>
      <c r="X127" s="1102"/>
      <c r="Y127" s="812"/>
      <c r="Z127" s="1104"/>
      <c r="AA127" s="692"/>
      <c r="AB127" s="1026"/>
      <c r="AC127" s="1109"/>
      <c r="AD127" s="1110"/>
      <c r="AE127" s="692"/>
      <c r="AF127" s="1102"/>
      <c r="AG127" s="812"/>
      <c r="AH127" s="1111"/>
      <c r="AI127" s="834"/>
      <c r="AJ127" s="834"/>
      <c r="AK127" s="812"/>
      <c r="AL127" s="1112"/>
      <c r="AM127" s="692"/>
      <c r="AN127" s="1113"/>
      <c r="AO127" s="1114"/>
      <c r="AP127" s="1115"/>
      <c r="AQ127" s="1116"/>
      <c r="AR127" s="1116"/>
      <c r="AS127" s="1114"/>
      <c r="AT127" s="1117"/>
      <c r="AU127" s="692"/>
      <c r="AV127" s="1113"/>
      <c r="AW127" s="1114"/>
      <c r="AX127" s="1115"/>
      <c r="AY127" s="1116"/>
      <c r="AZ127" s="1116"/>
      <c r="BA127" s="1114"/>
      <c r="BB127" s="1117"/>
      <c r="BC127" s="692"/>
      <c r="BD127" s="1113"/>
      <c r="BE127" s="1114"/>
      <c r="BF127" s="1115"/>
      <c r="BG127" s="1116"/>
      <c r="BH127" s="1116"/>
      <c r="BI127" s="1114"/>
      <c r="BJ127" s="1117"/>
      <c r="BK127" s="812"/>
      <c r="BL127" s="1062"/>
      <c r="BM127" s="1063"/>
      <c r="BN127" s="1064"/>
      <c r="BO127" s="692"/>
      <c r="BP127" s="692"/>
      <c r="BQ127" s="692"/>
      <c r="BR127" s="692"/>
      <c r="BS127" s="692"/>
      <c r="BT127" s="692"/>
      <c r="BU127" s="692"/>
    </row>
    <row r="128" spans="1:73" s="3" customFormat="1">
      <c r="A128" s="692"/>
      <c r="B128" s="812" t="s">
        <v>461</v>
      </c>
      <c r="C128" s="812"/>
      <c r="D128" s="1118">
        <f>'Billing Units'!D30</f>
        <v>1082</v>
      </c>
      <c r="E128" s="827">
        <f>'Rate Inputs'!D30</f>
        <v>10</v>
      </c>
      <c r="F128" s="812" t="s">
        <v>160</v>
      </c>
      <c r="G128" s="834"/>
      <c r="H128" s="1119">
        <f>ROUND(E128*D128*12,0)</f>
        <v>129840</v>
      </c>
      <c r="I128" s="812"/>
      <c r="J128" s="1120">
        <f>'Billing Units'!D68</f>
        <v>1082</v>
      </c>
      <c r="K128" s="1045">
        <f>W128</f>
        <v>17</v>
      </c>
      <c r="L128" s="1104" t="str">
        <f>F128</f>
        <v>per month</v>
      </c>
      <c r="M128" s="834"/>
      <c r="N128" s="1121">
        <f>ROUND(K128*J128*12,0)</f>
        <v>220728</v>
      </c>
      <c r="O128" s="1119"/>
      <c r="P128" s="1122">
        <f>IF(AND(N128=0,NOT(H128=0)),0,N128-H128)</f>
        <v>90888</v>
      </c>
      <c r="Q128" s="1119"/>
      <c r="R128" s="1048">
        <f>IF(D128=0,0,ROUND((N128-H128)/H128,9))</f>
        <v>0.7</v>
      </c>
      <c r="S128" s="692"/>
      <c r="T128" s="1123"/>
      <c r="U128" s="692"/>
      <c r="V128" s="692"/>
      <c r="W128" s="1124">
        <f>INDEX($X128:$Z128,MATCH($D$6,$X$8:$Z$8,0))</f>
        <v>17</v>
      </c>
      <c r="X128" s="1051">
        <f>E128</f>
        <v>10</v>
      </c>
      <c r="Y128" s="1125">
        <f>Z128</f>
        <v>17</v>
      </c>
      <c r="Z128" s="1126">
        <f>BN128</f>
        <v>17</v>
      </c>
      <c r="AA128" s="692"/>
      <c r="AB128" s="1026"/>
      <c r="AC128" s="1109"/>
      <c r="AD128" s="1110"/>
      <c r="AE128" s="692"/>
      <c r="AF128" s="1127">
        <f>H128</f>
        <v>129840</v>
      </c>
      <c r="AG128" s="1119"/>
      <c r="AH128" s="1111"/>
      <c r="AI128" s="834">
        <v>10</v>
      </c>
      <c r="AJ128" s="834">
        <f>AI128*$AH$132</f>
        <v>11.999746787521248</v>
      </c>
      <c r="AK128" s="1119" t="s">
        <v>160</v>
      </c>
      <c r="AL128" s="1112">
        <f>AJ128*J128*12</f>
        <v>155804.71228917589</v>
      </c>
      <c r="AM128" s="692"/>
      <c r="AN128" s="1128">
        <v>129840</v>
      </c>
      <c r="AO128" s="1129"/>
      <c r="AP128" s="1115"/>
      <c r="AQ128" s="1116">
        <v>10</v>
      </c>
      <c r="AR128" s="1116">
        <v>16.332750071523591</v>
      </c>
      <c r="AS128" s="1129" t="s">
        <v>160</v>
      </c>
      <c r="AT128" s="1117">
        <v>212064.42692866235</v>
      </c>
      <c r="AU128" s="692"/>
      <c r="AV128" s="1128">
        <v>129840</v>
      </c>
      <c r="AW128" s="1129"/>
      <c r="AX128" s="1115"/>
      <c r="AY128" s="1116">
        <v>10</v>
      </c>
      <c r="AZ128" s="1116">
        <v>18.073989689332816</v>
      </c>
      <c r="BA128" s="1129" t="s">
        <v>160</v>
      </c>
      <c r="BB128" s="1117">
        <v>234672.68212629727</v>
      </c>
      <c r="BC128" s="692"/>
      <c r="BD128" s="1128">
        <v>129840</v>
      </c>
      <c r="BE128" s="1129"/>
      <c r="BF128" s="1115"/>
      <c r="BG128" s="1116">
        <v>10</v>
      </c>
      <c r="BH128" s="1116">
        <v>17.07057644329128</v>
      </c>
      <c r="BI128" s="1129" t="s">
        <v>160</v>
      </c>
      <c r="BJ128" s="1117">
        <v>221644.36453969398</v>
      </c>
      <c r="BK128" s="1119"/>
      <c r="BL128" s="1062">
        <f>IF(AR128&lt;20,ROUND(AR128,0),MROUND(AR128,5))</f>
        <v>16</v>
      </c>
      <c r="BM128" s="1063">
        <f>IF(AZ128&lt;20,ROUND(AZ128,0),MROUND(AZ128,5))</f>
        <v>18</v>
      </c>
      <c r="BN128" s="1064">
        <f>IF(BH128&lt;20,ROUND(BH128,0),MROUND(BH128,5))</f>
        <v>17</v>
      </c>
      <c r="BO128" s="692"/>
      <c r="BP128" s="692"/>
      <c r="BQ128" s="692"/>
      <c r="BR128" s="692"/>
      <c r="BS128" s="692"/>
      <c r="BT128" s="692"/>
      <c r="BU128" s="692"/>
    </row>
    <row r="129" spans="1:73" s="3" customFormat="1">
      <c r="A129" s="692"/>
      <c r="B129" s="812"/>
      <c r="C129" s="812"/>
      <c r="D129" s="1130"/>
      <c r="E129" s="817"/>
      <c r="F129" s="812"/>
      <c r="G129" s="812"/>
      <c r="H129" s="812"/>
      <c r="I129" s="812"/>
      <c r="J129" s="1131"/>
      <c r="K129" s="817"/>
      <c r="L129" s="1104"/>
      <c r="M129" s="812"/>
      <c r="N129" s="1105"/>
      <c r="O129" s="812"/>
      <c r="P129" s="1106"/>
      <c r="Q129" s="812"/>
      <c r="R129" s="1107"/>
      <c r="S129" s="692"/>
      <c r="T129" s="1108"/>
      <c r="U129" s="692"/>
      <c r="V129" s="692"/>
      <c r="W129" s="1132"/>
      <c r="X129" s="1132"/>
      <c r="Y129" s="817"/>
      <c r="Z129" s="1133"/>
      <c r="AA129" s="692"/>
      <c r="AB129" s="1026"/>
      <c r="AC129" s="1109"/>
      <c r="AD129" s="1110"/>
      <c r="AE129" s="692"/>
      <c r="AF129" s="1102"/>
      <c r="AG129" s="812"/>
      <c r="AH129" s="1111"/>
      <c r="AI129" s="834"/>
      <c r="AJ129" s="834"/>
      <c r="AK129" s="812"/>
      <c r="AL129" s="1112"/>
      <c r="AM129" s="692"/>
      <c r="AN129" s="1113"/>
      <c r="AO129" s="1114"/>
      <c r="AP129" s="1115"/>
      <c r="AQ129" s="1116"/>
      <c r="AR129" s="1116"/>
      <c r="AS129" s="1114"/>
      <c r="AT129" s="1117"/>
      <c r="AU129" s="692"/>
      <c r="AV129" s="1113"/>
      <c r="AW129" s="1114"/>
      <c r="AX129" s="1115"/>
      <c r="AY129" s="1116"/>
      <c r="AZ129" s="1116"/>
      <c r="BA129" s="1114"/>
      <c r="BB129" s="1117"/>
      <c r="BC129" s="692"/>
      <c r="BD129" s="1113"/>
      <c r="BE129" s="1114"/>
      <c r="BF129" s="1115"/>
      <c r="BG129" s="1116"/>
      <c r="BH129" s="1116"/>
      <c r="BI129" s="1114"/>
      <c r="BJ129" s="1117"/>
      <c r="BK129" s="812"/>
      <c r="BL129" s="1062"/>
      <c r="BM129" s="1063"/>
      <c r="BN129" s="1064"/>
      <c r="BO129" s="692"/>
      <c r="BP129" s="692"/>
      <c r="BQ129" s="692"/>
      <c r="BR129" s="692"/>
      <c r="BS129" s="692"/>
      <c r="BT129" s="692"/>
      <c r="BU129" s="692"/>
    </row>
    <row r="130" spans="1:73" s="3" customFormat="1">
      <c r="A130" s="692"/>
      <c r="B130" s="812" t="s">
        <v>462</v>
      </c>
      <c r="C130" s="812"/>
      <c r="D130" s="1118"/>
      <c r="E130" s="817"/>
      <c r="F130" s="812"/>
      <c r="G130" s="812"/>
      <c r="H130" s="812"/>
      <c r="I130" s="812"/>
      <c r="J130" s="1131"/>
      <c r="K130" s="817"/>
      <c r="L130" s="1104"/>
      <c r="M130" s="812"/>
      <c r="N130" s="1105"/>
      <c r="O130" s="812"/>
      <c r="P130" s="1106"/>
      <c r="Q130" s="812"/>
      <c r="R130" s="1107"/>
      <c r="S130" s="692"/>
      <c r="T130" s="1108"/>
      <c r="U130" s="692"/>
      <c r="V130" s="692"/>
      <c r="W130" s="1132"/>
      <c r="X130" s="1132"/>
      <c r="Y130" s="817"/>
      <c r="Z130" s="1133"/>
      <c r="AA130" s="692"/>
      <c r="AB130" s="1026"/>
      <c r="AC130" s="1109"/>
      <c r="AD130" s="1110"/>
      <c r="AE130" s="692"/>
      <c r="AF130" s="1102"/>
      <c r="AG130" s="812"/>
      <c r="AH130" s="1111"/>
      <c r="AI130" s="834"/>
      <c r="AJ130" s="834"/>
      <c r="AK130" s="812"/>
      <c r="AL130" s="1112"/>
      <c r="AM130" s="692"/>
      <c r="AN130" s="1113"/>
      <c r="AO130" s="1114"/>
      <c r="AP130" s="1115"/>
      <c r="AQ130" s="1116"/>
      <c r="AR130" s="1116"/>
      <c r="AS130" s="1114"/>
      <c r="AT130" s="1117"/>
      <c r="AU130" s="692"/>
      <c r="AV130" s="1113"/>
      <c r="AW130" s="1114"/>
      <c r="AX130" s="1115"/>
      <c r="AY130" s="1116"/>
      <c r="AZ130" s="1116"/>
      <c r="BA130" s="1114"/>
      <c r="BB130" s="1117"/>
      <c r="BC130" s="692"/>
      <c r="BD130" s="1113"/>
      <c r="BE130" s="1114"/>
      <c r="BF130" s="1115"/>
      <c r="BG130" s="1116"/>
      <c r="BH130" s="1116"/>
      <c r="BI130" s="1114"/>
      <c r="BJ130" s="1117"/>
      <c r="BK130" s="812"/>
      <c r="BL130" s="1062"/>
      <c r="BM130" s="1063"/>
      <c r="BN130" s="1064"/>
      <c r="BO130" s="692"/>
      <c r="BP130" s="692"/>
      <c r="BQ130" s="692"/>
      <c r="BR130" s="692"/>
      <c r="BS130" s="692"/>
      <c r="BT130" s="692"/>
      <c r="BU130" s="692"/>
    </row>
    <row r="131" spans="1:73" s="3" customFormat="1">
      <c r="A131" s="692"/>
      <c r="B131" s="818" t="s">
        <v>474</v>
      </c>
      <c r="C131" s="812"/>
      <c r="D131" s="1118">
        <f>'Billing Units'!H30</f>
        <v>23109614.930104855</v>
      </c>
      <c r="E131" s="1179">
        <f>'Rate Inputs'!H30+IF($D$7,$J$7,0)</f>
        <v>9.5911999999999997E-2</v>
      </c>
      <c r="F131" s="820" t="s">
        <v>157</v>
      </c>
      <c r="G131" s="812"/>
      <c r="H131" s="1119">
        <f>ROUND(E131*D131,0)</f>
        <v>2216489</v>
      </c>
      <c r="I131" s="812"/>
      <c r="J131" s="1134">
        <f>'Billing Units'!H68</f>
        <v>23109614.930104855</v>
      </c>
      <c r="K131" s="1180">
        <f>IF(W$10,W131,(T132-N128)/J131)</f>
        <v>0.11228258869175457</v>
      </c>
      <c r="L131" s="1136" t="s">
        <v>157</v>
      </c>
      <c r="M131" s="812"/>
      <c r="N131" s="1121">
        <f>ROUND(K131*J131,0)</f>
        <v>2594807</v>
      </c>
      <c r="O131" s="812"/>
      <c r="P131" s="1122">
        <f>IF(AND(N131=0,NOT(H131=0)),0,N131-H131)</f>
        <v>378318</v>
      </c>
      <c r="Q131" s="1119"/>
      <c r="R131" s="1048">
        <f>IF(D131=0,0,ROUND((N131-H131)/H131,9))</f>
        <v>0.17068345500000001</v>
      </c>
      <c r="S131" s="692"/>
      <c r="T131" s="1123"/>
      <c r="U131" s="692"/>
      <c r="V131" s="692"/>
      <c r="W131" s="1075">
        <f>INDEX($X131:$Z131,MATCH($D$6,$X$8:$Z$8,0))</f>
        <v>0</v>
      </c>
      <c r="X131" s="1171"/>
      <c r="Y131" s="836"/>
      <c r="Z131" s="1172"/>
      <c r="AA131" s="692"/>
      <c r="AB131" s="1026"/>
      <c r="AC131" s="1109"/>
      <c r="AD131" s="1110"/>
      <c r="AE131" s="692"/>
      <c r="AF131" s="1127">
        <f>H131</f>
        <v>2216489</v>
      </c>
      <c r="AG131" s="1119"/>
      <c r="AH131" s="1111"/>
      <c r="AI131" s="834">
        <v>6.1789999999999998E-2</v>
      </c>
      <c r="AJ131" s="834">
        <f>AI131*$AH$132</f>
        <v>7.4146435400093788E-2</v>
      </c>
      <c r="AK131" s="1119" t="s">
        <v>157</v>
      </c>
      <c r="AL131" s="1112">
        <f>AJ131*J131</f>
        <v>1713495.5705360626</v>
      </c>
      <c r="AM131" s="692"/>
      <c r="AN131" s="1128">
        <v>1427943</v>
      </c>
      <c r="AO131" s="1129"/>
      <c r="AP131" s="1115"/>
      <c r="AQ131" s="1116">
        <v>6.1789999999999998E-2</v>
      </c>
      <c r="AR131" s="1116">
        <v>0.10092006269194426</v>
      </c>
      <c r="AS131" s="1129" t="s">
        <v>157</v>
      </c>
      <c r="AT131" s="1117">
        <v>2332223.787532873</v>
      </c>
      <c r="AU131" s="692"/>
      <c r="AV131" s="1128">
        <v>1427943</v>
      </c>
      <c r="AW131" s="1129"/>
      <c r="AX131" s="1115"/>
      <c r="AY131" s="1116">
        <v>6.1789999999999998E-2</v>
      </c>
      <c r="AZ131" s="1116">
        <v>0.11167918229038747</v>
      </c>
      <c r="BA131" s="1129" t="s">
        <v>157</v>
      </c>
      <c r="BB131" s="1117">
        <v>2580862.8984398399</v>
      </c>
      <c r="BC131" s="692"/>
      <c r="BD131" s="1128">
        <v>1430923</v>
      </c>
      <c r="BE131" s="1129"/>
      <c r="BF131" s="1115"/>
      <c r="BG131" s="1116">
        <v>6.1789999999999998E-2</v>
      </c>
      <c r="BH131" s="1116">
        <v>0.10547909184309683</v>
      </c>
      <c r="BI131" s="1129" t="s">
        <v>157</v>
      </c>
      <c r="BJ131" s="1117">
        <v>2442668.6430308158</v>
      </c>
      <c r="BK131" s="1119"/>
      <c r="BL131" s="1062"/>
      <c r="BM131" s="1063"/>
      <c r="BN131" s="1064"/>
      <c r="BO131" s="692"/>
      <c r="BP131" s="692"/>
      <c r="BQ131" s="692"/>
      <c r="BR131" s="692"/>
      <c r="BS131" s="692"/>
      <c r="BT131" s="692"/>
      <c r="BU131" s="692"/>
    </row>
    <row r="132" spans="1:73" s="3" customFormat="1" ht="13.8" thickBot="1">
      <c r="A132" s="692"/>
      <c r="B132" s="821" t="s">
        <v>492</v>
      </c>
      <c r="C132" s="822"/>
      <c r="D132" s="1139">
        <f>D131</f>
        <v>23109614.930104855</v>
      </c>
      <c r="E132" s="825"/>
      <c r="F132" s="825"/>
      <c r="G132" s="825"/>
      <c r="H132" s="1140">
        <f>SUM(H128,H131)</f>
        <v>2346329</v>
      </c>
      <c r="I132" s="822"/>
      <c r="J132" s="1141">
        <f>J131</f>
        <v>23109614.930104855</v>
      </c>
      <c r="K132" s="824"/>
      <c r="L132" s="1142"/>
      <c r="M132" s="825"/>
      <c r="N132" s="1143">
        <f>SUM(N128,N131)</f>
        <v>2815535</v>
      </c>
      <c r="O132" s="1140"/>
      <c r="P132" s="1144">
        <f>IF(AND(N132=0,NOT(H132=0)),0,N132-H132)</f>
        <v>469206</v>
      </c>
      <c r="Q132" s="1140"/>
      <c r="R132" s="1145">
        <f>IF(D132=0,0,ROUND((N132-H132)/H132,9))</f>
        <v>0.19997451299999999</v>
      </c>
      <c r="S132" s="692"/>
      <c r="T132" s="1087">
        <f>INDEX('Revenue Summary'!$R$10:$R$38,MATCH(AB132,'Revenue Summary'!$B$10:$B$38,0))</f>
        <v>2815535.3880217941</v>
      </c>
      <c r="U132" s="692"/>
      <c r="V132" s="692"/>
      <c r="W132" s="1146"/>
      <c r="X132" s="1146"/>
      <c r="Y132" s="824"/>
      <c r="Z132" s="1147"/>
      <c r="AA132" s="692"/>
      <c r="AB132" s="1026" t="str" cm="1">
        <f t="array" ref="AB132">INDEX(_xlfn.TEXTSPLIT(B132," "),2)</f>
        <v>GAS</v>
      </c>
      <c r="AC132" s="1109"/>
      <c r="AD132" s="1110"/>
      <c r="AE132" s="692"/>
      <c r="AF132" s="1148">
        <f>H132</f>
        <v>2346329</v>
      </c>
      <c r="AG132" s="1140">
        <f>T132</f>
        <v>2815535.3880217941</v>
      </c>
      <c r="AH132" s="1149">
        <f>AG132/AF132</f>
        <v>1.1999746787521248</v>
      </c>
      <c r="AI132" s="1150"/>
      <c r="AJ132" s="1150"/>
      <c r="AK132" s="1140"/>
      <c r="AL132" s="1093">
        <f>SUM(AL128:AL131)</f>
        <v>1869300.2828252385</v>
      </c>
      <c r="AM132" s="692"/>
      <c r="AN132" s="1151">
        <v>1557783</v>
      </c>
      <c r="AO132" s="1154">
        <v>2544288.0404668231</v>
      </c>
      <c r="AP132" s="1152">
        <v>1.633275007152359</v>
      </c>
      <c r="AQ132" s="1153"/>
      <c r="AR132" s="1153"/>
      <c r="AS132" s="1154"/>
      <c r="AT132" s="1098">
        <v>2544288.2144615352</v>
      </c>
      <c r="AU132" s="692"/>
      <c r="AV132" s="1151">
        <v>1557783</v>
      </c>
      <c r="AW132" s="1154">
        <v>2815535.3880217941</v>
      </c>
      <c r="AX132" s="1152">
        <v>1.8073989689332817</v>
      </c>
      <c r="AY132" s="1153"/>
      <c r="AZ132" s="1153"/>
      <c r="BA132" s="1154"/>
      <c r="BB132" s="1098">
        <v>2815535.5805661371</v>
      </c>
      <c r="BC132" s="692"/>
      <c r="BD132" s="1151">
        <v>1560763</v>
      </c>
      <c r="BE132" s="1154">
        <v>2664312.4101360631</v>
      </c>
      <c r="BF132" s="1152">
        <v>1.7070576443291281</v>
      </c>
      <c r="BG132" s="1153"/>
      <c r="BH132" s="1153"/>
      <c r="BI132" s="1154"/>
      <c r="BJ132" s="1098">
        <v>2664313.0075705098</v>
      </c>
      <c r="BK132" s="1043"/>
      <c r="BL132" s="1062"/>
      <c r="BM132" s="1063"/>
      <c r="BN132" s="1064"/>
      <c r="BO132" s="692"/>
      <c r="BP132" s="692"/>
      <c r="BQ132" s="692"/>
      <c r="BR132" s="692"/>
      <c r="BS132" s="692"/>
      <c r="BT132" s="692"/>
      <c r="BU132" s="692"/>
    </row>
    <row r="133" spans="1:73" ht="13.8" thickTop="1">
      <c r="B133" s="829"/>
      <c r="C133" s="795"/>
      <c r="D133" s="1042"/>
      <c r="E133" s="806"/>
      <c r="F133" s="806"/>
      <c r="G133" s="806"/>
      <c r="H133" s="1043"/>
      <c r="I133" s="795"/>
      <c r="J133" s="1073"/>
      <c r="K133" s="802"/>
      <c r="L133" s="1072"/>
      <c r="M133" s="806"/>
      <c r="N133" s="1046"/>
      <c r="O133" s="1043"/>
      <c r="P133" s="1047"/>
      <c r="Q133" s="1043"/>
      <c r="R133" s="1074"/>
      <c r="T133" s="1049"/>
      <c r="W133" s="1067"/>
      <c r="X133" s="1067"/>
      <c r="Y133" s="802"/>
      <c r="Z133" s="1068"/>
      <c r="AB133" s="1026"/>
      <c r="AD133" s="1027"/>
      <c r="AF133" s="1054"/>
      <c r="AG133" s="1043"/>
      <c r="AH133" s="1055"/>
      <c r="AI133" s="832"/>
      <c r="AJ133" s="832"/>
      <c r="AK133" s="1043"/>
      <c r="AL133" s="1056"/>
      <c r="AN133" s="1057"/>
      <c r="AO133" s="1058"/>
      <c r="AP133" s="1059"/>
      <c r="AQ133" s="1060"/>
      <c r="AR133" s="1060"/>
      <c r="AS133" s="1058"/>
      <c r="AT133" s="1061"/>
      <c r="AV133" s="1057"/>
      <c r="AW133" s="1058"/>
      <c r="AX133" s="1059"/>
      <c r="AY133" s="1060"/>
      <c r="AZ133" s="1060"/>
      <c r="BA133" s="1058"/>
      <c r="BB133" s="1061"/>
      <c r="BD133" s="1057"/>
      <c r="BE133" s="1058"/>
      <c r="BF133" s="1059"/>
      <c r="BG133" s="1060"/>
      <c r="BH133" s="1060"/>
      <c r="BI133" s="1058"/>
      <c r="BJ133" s="1061"/>
      <c r="BK133" s="1043"/>
      <c r="BL133" s="1062"/>
      <c r="BM133" s="1063"/>
      <c r="BN133" s="1064"/>
    </row>
    <row r="134" spans="1:73">
      <c r="B134" s="797" t="s">
        <v>417</v>
      </c>
      <c r="C134" s="797"/>
      <c r="D134" s="1036"/>
      <c r="E134" s="795"/>
      <c r="F134" s="795"/>
      <c r="G134" s="795"/>
      <c r="H134" s="795"/>
      <c r="I134" s="795"/>
      <c r="J134" s="1040"/>
      <c r="K134" s="795"/>
      <c r="L134" s="1037"/>
      <c r="M134" s="795"/>
      <c r="N134" s="1099"/>
      <c r="O134" s="795"/>
      <c r="P134" s="1100"/>
      <c r="Q134" s="795"/>
      <c r="R134" s="1101"/>
      <c r="T134" s="1041"/>
      <c r="W134" s="1036"/>
      <c r="X134" s="1036"/>
      <c r="Y134" s="795"/>
      <c r="Z134" s="1037"/>
      <c r="AB134" s="1026"/>
      <c r="AD134" s="1027"/>
      <c r="AF134" s="1036"/>
      <c r="AG134" s="795"/>
      <c r="AH134" s="1055"/>
      <c r="AI134" s="832"/>
      <c r="AJ134" s="832"/>
      <c r="AK134" s="795"/>
      <c r="AL134" s="1056"/>
      <c r="AN134" s="1033"/>
      <c r="AO134" s="1034"/>
      <c r="AP134" s="1059"/>
      <c r="AQ134" s="1060"/>
      <c r="AR134" s="1060"/>
      <c r="AS134" s="1034"/>
      <c r="AT134" s="1061"/>
      <c r="AV134" s="1033"/>
      <c r="AW134" s="1034"/>
      <c r="AX134" s="1059"/>
      <c r="AY134" s="1060"/>
      <c r="AZ134" s="1060"/>
      <c r="BA134" s="1034"/>
      <c r="BB134" s="1061"/>
      <c r="BD134" s="1033"/>
      <c r="BE134" s="1034"/>
      <c r="BF134" s="1059"/>
      <c r="BG134" s="1060"/>
      <c r="BH134" s="1060"/>
      <c r="BI134" s="1034"/>
      <c r="BJ134" s="1061"/>
      <c r="BK134" s="795"/>
      <c r="BL134" s="1062"/>
      <c r="BM134" s="1063"/>
      <c r="BN134" s="1064"/>
    </row>
    <row r="135" spans="1:73">
      <c r="B135" s="795"/>
      <c r="C135" s="795"/>
      <c r="D135" s="1036"/>
      <c r="E135" s="795"/>
      <c r="F135" s="795"/>
      <c r="G135" s="795"/>
      <c r="H135" s="795"/>
      <c r="I135" s="795"/>
      <c r="J135" s="1040"/>
      <c r="K135" s="795"/>
      <c r="L135" s="1037"/>
      <c r="M135" s="795"/>
      <c r="N135" s="1099"/>
      <c r="O135" s="795"/>
      <c r="P135" s="1100"/>
      <c r="Q135" s="795"/>
      <c r="R135" s="1101"/>
      <c r="T135" s="1041"/>
      <c r="W135" s="1036"/>
      <c r="X135" s="1036"/>
      <c r="Y135" s="795"/>
      <c r="Z135" s="1037"/>
      <c r="AB135" s="1026"/>
      <c r="AD135" s="1027"/>
      <c r="AF135" s="1036"/>
      <c r="AG135" s="795"/>
      <c r="AH135" s="1055"/>
      <c r="AI135" s="832"/>
      <c r="AJ135" s="832"/>
      <c r="AK135" s="795"/>
      <c r="AL135" s="1056"/>
      <c r="AN135" s="1033"/>
      <c r="AO135" s="1034"/>
      <c r="AP135" s="1059"/>
      <c r="AQ135" s="1060"/>
      <c r="AR135" s="1060"/>
      <c r="AS135" s="1034"/>
      <c r="AT135" s="1061"/>
      <c r="AV135" s="1033"/>
      <c r="AW135" s="1034"/>
      <c r="AX135" s="1059"/>
      <c r="AY135" s="1060"/>
      <c r="AZ135" s="1060"/>
      <c r="BA135" s="1034"/>
      <c r="BB135" s="1061"/>
      <c r="BD135" s="1033"/>
      <c r="BE135" s="1034"/>
      <c r="BF135" s="1059"/>
      <c r="BG135" s="1060"/>
      <c r="BH135" s="1060"/>
      <c r="BI135" s="1034"/>
      <c r="BJ135" s="1061"/>
      <c r="BK135" s="795"/>
      <c r="BL135" s="1062"/>
      <c r="BM135" s="1063"/>
      <c r="BN135" s="1064"/>
    </row>
    <row r="136" spans="1:73">
      <c r="B136" s="795" t="s">
        <v>461</v>
      </c>
      <c r="C136" s="795"/>
      <c r="D136" s="1042">
        <f>'Billing Units'!D32</f>
        <v>2465</v>
      </c>
      <c r="E136" s="799">
        <f>'Rate Inputs'!D32</f>
        <v>5</v>
      </c>
      <c r="F136" s="795" t="s">
        <v>160</v>
      </c>
      <c r="G136" s="832"/>
      <c r="H136" s="1043">
        <f>ROUND(E136*D136*12,0)</f>
        <v>147900</v>
      </c>
      <c r="I136" s="795"/>
      <c r="J136" s="1044">
        <f>'Billing Units'!D70</f>
        <v>2465</v>
      </c>
      <c r="K136" s="1045">
        <f>W136</f>
        <v>8</v>
      </c>
      <c r="L136" s="1037" t="str">
        <f>F136</f>
        <v>per month</v>
      </c>
      <c r="M136" s="832"/>
      <c r="N136" s="1046">
        <f>ROUND(K136*J136*12,0)</f>
        <v>236640</v>
      </c>
      <c r="O136" s="1043"/>
      <c r="P136" s="1047">
        <f>IF(AND(N136=0,NOT(H136=0)),0,N136-H136)</f>
        <v>88740</v>
      </c>
      <c r="Q136" s="1043"/>
      <c r="R136" s="1074">
        <f>IF(D136=0,0,ROUND((N136-H136)/H136,9))</f>
        <v>0.6</v>
      </c>
      <c r="T136" s="1049"/>
      <c r="W136" s="1050">
        <f>INDEX($X136:$Z136,MATCH($D$6,$X$8:$Z$8,0))</f>
        <v>8</v>
      </c>
      <c r="X136" s="1051">
        <f>E136</f>
        <v>5</v>
      </c>
      <c r="Y136" s="1125">
        <f>Z136</f>
        <v>8</v>
      </c>
      <c r="Z136" s="1126">
        <f>BN136</f>
        <v>8</v>
      </c>
      <c r="AB136" s="1026"/>
      <c r="AD136" s="1027"/>
      <c r="AF136" s="1054">
        <f>H136</f>
        <v>147900</v>
      </c>
      <c r="AG136" s="1043"/>
      <c r="AH136" s="1055"/>
      <c r="AI136" s="832">
        <v>5</v>
      </c>
      <c r="AJ136" s="834">
        <f>AI136*$AH$142</f>
        <v>6.4914730704602555</v>
      </c>
      <c r="AK136" s="1043" t="s">
        <v>160</v>
      </c>
      <c r="AL136" s="1112">
        <f>AJ136*J136*12</f>
        <v>192017.77342421433</v>
      </c>
      <c r="AN136" s="1057">
        <v>147900</v>
      </c>
      <c r="AO136" s="1058"/>
      <c r="AP136" s="1059"/>
      <c r="AQ136" s="1060">
        <v>5</v>
      </c>
      <c r="AR136" s="1116">
        <v>8.0050441968390658</v>
      </c>
      <c r="AS136" s="1058" t="s">
        <v>160</v>
      </c>
      <c r="AT136" s="1117">
        <v>236789.20734249958</v>
      </c>
      <c r="AV136" s="1057">
        <v>147900</v>
      </c>
      <c r="AW136" s="1058"/>
      <c r="AX136" s="1059"/>
      <c r="AY136" s="1060">
        <v>5</v>
      </c>
      <c r="AZ136" s="1116">
        <v>8.8609588249356026</v>
      </c>
      <c r="BA136" s="1058" t="s">
        <v>160</v>
      </c>
      <c r="BB136" s="1117">
        <v>262107.16204159512</v>
      </c>
      <c r="BD136" s="1057">
        <v>147900</v>
      </c>
      <c r="BE136" s="1058"/>
      <c r="BF136" s="1059"/>
      <c r="BG136" s="1060">
        <v>5</v>
      </c>
      <c r="BH136" s="1116">
        <v>8.3826745471054327</v>
      </c>
      <c r="BI136" s="1058" t="s">
        <v>160</v>
      </c>
      <c r="BJ136" s="1117">
        <v>247959.5131033787</v>
      </c>
      <c r="BK136" s="1043"/>
      <c r="BL136" s="1062">
        <f>IF(AR136&lt;20,ROUND(AR136,0),MROUND(AR136,5))</f>
        <v>8</v>
      </c>
      <c r="BM136" s="1063">
        <f>IF(AZ136&lt;20,ROUND(AZ136,0),MROUND(AZ136,5))</f>
        <v>9</v>
      </c>
      <c r="BN136" s="1064">
        <f>IF(BH136&lt;20,ROUND(BH136,0),MROUND(BH136,5))</f>
        <v>8</v>
      </c>
    </row>
    <row r="137" spans="1:73">
      <c r="B137" s="795"/>
      <c r="C137" s="795"/>
      <c r="D137" s="1065"/>
      <c r="E137" s="802"/>
      <c r="F137" s="795"/>
      <c r="G137" s="795"/>
      <c r="H137" s="795"/>
      <c r="I137" s="795"/>
      <c r="J137" s="1066"/>
      <c r="K137" s="802"/>
      <c r="L137" s="1037"/>
      <c r="M137" s="795"/>
      <c r="N137" s="1099"/>
      <c r="O137" s="795"/>
      <c r="P137" s="1100"/>
      <c r="Q137" s="795"/>
      <c r="R137" s="1101"/>
      <c r="T137" s="1041"/>
      <c r="W137" s="1067"/>
      <c r="X137" s="1067"/>
      <c r="Y137" s="802"/>
      <c r="Z137" s="1068"/>
      <c r="AB137" s="1026"/>
      <c r="AD137" s="1027"/>
      <c r="AF137" s="1036"/>
      <c r="AG137" s="795"/>
      <c r="AH137" s="1055"/>
      <c r="AI137" s="832"/>
      <c r="AJ137" s="832"/>
      <c r="AK137" s="795"/>
      <c r="AL137" s="1056"/>
      <c r="AN137" s="1033"/>
      <c r="AO137" s="1034"/>
      <c r="AP137" s="1059"/>
      <c r="AQ137" s="1060"/>
      <c r="AR137" s="1060"/>
      <c r="AS137" s="1034"/>
      <c r="AT137" s="1061"/>
      <c r="AV137" s="1033"/>
      <c r="AW137" s="1034"/>
      <c r="AX137" s="1059"/>
      <c r="AY137" s="1060"/>
      <c r="AZ137" s="1060"/>
      <c r="BA137" s="1034"/>
      <c r="BB137" s="1061"/>
      <c r="BD137" s="1033"/>
      <c r="BE137" s="1034"/>
      <c r="BF137" s="1059"/>
      <c r="BG137" s="1060"/>
      <c r="BH137" s="1060"/>
      <c r="BI137" s="1034"/>
      <c r="BJ137" s="1061"/>
      <c r="BK137" s="795"/>
      <c r="BL137" s="1062"/>
      <c r="BM137" s="1063"/>
      <c r="BN137" s="1064"/>
    </row>
    <row r="138" spans="1:73">
      <c r="B138" s="795" t="s">
        <v>462</v>
      </c>
      <c r="C138" s="795"/>
      <c r="D138" s="1042"/>
      <c r="E138" s="802"/>
      <c r="F138" s="795"/>
      <c r="G138" s="795"/>
      <c r="H138" s="795"/>
      <c r="I138" s="795"/>
      <c r="J138" s="1066"/>
      <c r="K138" s="802"/>
      <c r="L138" s="1037"/>
      <c r="M138" s="795"/>
      <c r="N138" s="1099"/>
      <c r="O138" s="795"/>
      <c r="P138" s="1100"/>
      <c r="Q138" s="795"/>
      <c r="R138" s="1101"/>
      <c r="T138" s="1041"/>
      <c r="W138" s="1067"/>
      <c r="X138" s="1067"/>
      <c r="Y138" s="802"/>
      <c r="Z138" s="1068"/>
      <c r="AB138" s="1026"/>
      <c r="AD138" s="1027"/>
      <c r="AF138" s="1036"/>
      <c r="AG138" s="795"/>
      <c r="AH138" s="1055"/>
      <c r="AI138" s="832"/>
      <c r="AJ138" s="832"/>
      <c r="AK138" s="795"/>
      <c r="AL138" s="1056"/>
      <c r="AN138" s="1033"/>
      <c r="AO138" s="1034"/>
      <c r="AP138" s="1059"/>
      <c r="AQ138" s="1060"/>
      <c r="AR138" s="1060"/>
      <c r="AS138" s="1034"/>
      <c r="AT138" s="1061"/>
      <c r="AV138" s="1033"/>
      <c r="AW138" s="1034"/>
      <c r="AX138" s="1059"/>
      <c r="AY138" s="1060"/>
      <c r="AZ138" s="1060"/>
      <c r="BA138" s="1034"/>
      <c r="BB138" s="1061"/>
      <c r="BD138" s="1033"/>
      <c r="BE138" s="1034"/>
      <c r="BF138" s="1059"/>
      <c r="BG138" s="1060"/>
      <c r="BH138" s="1060"/>
      <c r="BI138" s="1034"/>
      <c r="BJ138" s="1061"/>
      <c r="BK138" s="795"/>
      <c r="BL138" s="1062"/>
      <c r="BM138" s="1063"/>
      <c r="BN138" s="1064"/>
    </row>
    <row r="139" spans="1:73">
      <c r="B139" s="803" t="s">
        <v>493</v>
      </c>
      <c r="C139" s="795"/>
      <c r="D139" s="1042">
        <f>'Billing Units'!H32</f>
        <v>0</v>
      </c>
      <c r="E139" s="1181">
        <f>'Rate Inputs'!E32</f>
        <v>55.43</v>
      </c>
      <c r="F139" s="806" t="s">
        <v>160</v>
      </c>
      <c r="G139" s="795"/>
      <c r="H139" s="1043">
        <f>ROUND(E139*D139,0)</f>
        <v>0</v>
      </c>
      <c r="I139" s="795"/>
      <c r="J139" s="1073">
        <f>'Billing Units'!H70</f>
        <v>0</v>
      </c>
      <c r="K139" s="1045">
        <f t="shared" ref="K139:K140" si="32">W139</f>
        <v>93</v>
      </c>
      <c r="L139" s="1072" t="s">
        <v>160</v>
      </c>
      <c r="M139" s="795"/>
      <c r="N139" s="1046">
        <f>ROUND(K139*J139,0)</f>
        <v>0</v>
      </c>
      <c r="O139" s="795"/>
      <c r="P139" s="1047">
        <f t="shared" ref="P139:P141" si="33">IF(AND(N139=0,NOT(H139=0)),0,N139-H139)</f>
        <v>0</v>
      </c>
      <c r="Q139" s="1043"/>
      <c r="R139" s="1074">
        <f t="shared" ref="R139:R141" si="34">IF(D139=0,0,ROUND((N139-H139)/H139,9))</f>
        <v>0</v>
      </c>
      <c r="T139" s="1049"/>
      <c r="W139" s="1182">
        <f>INDEX($X139:$Z139,MATCH($D$6,$X$8:$Z$8,0))</f>
        <v>93</v>
      </c>
      <c r="X139" s="1051">
        <f>E139</f>
        <v>55.43</v>
      </c>
      <c r="Y139" s="1125">
        <f t="shared" ref="Y139:Y140" si="35">Z139</f>
        <v>93</v>
      </c>
      <c r="Z139" s="1126">
        <f t="shared" ref="Z139:Z140" si="36">BN139</f>
        <v>93</v>
      </c>
      <c r="AB139" s="1026"/>
      <c r="AD139" s="1027"/>
      <c r="AF139" s="1054">
        <f>H139</f>
        <v>0</v>
      </c>
      <c r="AG139" s="1043"/>
      <c r="AH139" s="1055"/>
      <c r="AI139" s="832">
        <v>55.43</v>
      </c>
      <c r="AJ139" s="832">
        <f t="shared" ref="AJ139:AJ141" si="37">AI139*$AH$142</f>
        <v>71.964470459122396</v>
      </c>
      <c r="AK139" s="1043" t="s">
        <v>160</v>
      </c>
      <c r="AL139" s="1056"/>
      <c r="AN139" s="1057">
        <v>0</v>
      </c>
      <c r="AO139" s="1058"/>
      <c r="AP139" s="1059"/>
      <c r="AQ139" s="1060">
        <v>55.43</v>
      </c>
      <c r="AR139" s="1060">
        <v>88.74391996615789</v>
      </c>
      <c r="AS139" s="1058" t="s">
        <v>160</v>
      </c>
      <c r="AT139" s="1061"/>
      <c r="AV139" s="1057">
        <v>0</v>
      </c>
      <c r="AW139" s="1058"/>
      <c r="AX139" s="1059"/>
      <c r="AY139" s="1060">
        <v>55.43</v>
      </c>
      <c r="AZ139" s="1060">
        <v>98.23258953323608</v>
      </c>
      <c r="BA139" s="1058" t="s">
        <v>160</v>
      </c>
      <c r="BB139" s="1061"/>
      <c r="BD139" s="1057">
        <v>0</v>
      </c>
      <c r="BE139" s="1058"/>
      <c r="BF139" s="1059"/>
      <c r="BG139" s="1060">
        <v>55.43</v>
      </c>
      <c r="BH139" s="1060">
        <v>92.930330029210822</v>
      </c>
      <c r="BI139" s="1058" t="s">
        <v>160</v>
      </c>
      <c r="BJ139" s="1061"/>
      <c r="BK139" s="1043"/>
      <c r="BL139" s="1062">
        <f>ROUND(AR139,0)</f>
        <v>89</v>
      </c>
      <c r="BM139" s="1063">
        <f>ROUND(AZ139,0)</f>
        <v>98</v>
      </c>
      <c r="BN139" s="1064">
        <f>ROUND(BH139,0)</f>
        <v>93</v>
      </c>
    </row>
    <row r="140" spans="1:73">
      <c r="B140" s="803" t="s">
        <v>494</v>
      </c>
      <c r="C140" s="795"/>
      <c r="D140" s="1042">
        <f>'Billing Units'!I32</f>
        <v>0</v>
      </c>
      <c r="E140" s="1181">
        <f>'Rate Inputs'!F32</f>
        <v>41.74</v>
      </c>
      <c r="F140" s="806" t="s">
        <v>160</v>
      </c>
      <c r="G140" s="806"/>
      <c r="H140" s="1043">
        <f>ROUND(E140*D140,0)</f>
        <v>0</v>
      </c>
      <c r="I140" s="795"/>
      <c r="J140" s="1073">
        <f>'Billing Units'!I70</f>
        <v>0</v>
      </c>
      <c r="K140" s="1045">
        <f t="shared" si="32"/>
        <v>70</v>
      </c>
      <c r="L140" s="1072" t="s">
        <v>160</v>
      </c>
      <c r="M140" s="806"/>
      <c r="N140" s="1046">
        <f>ROUND(K140*J140,0)</f>
        <v>0</v>
      </c>
      <c r="O140" s="1043"/>
      <c r="P140" s="1047">
        <f t="shared" si="33"/>
        <v>0</v>
      </c>
      <c r="Q140" s="1043"/>
      <c r="R140" s="1074">
        <f t="shared" si="34"/>
        <v>0</v>
      </c>
      <c r="T140" s="1049"/>
      <c r="W140" s="1182">
        <f>INDEX($X140:$Z140,MATCH($D$6,$X$8:$Z$8,0))</f>
        <v>70</v>
      </c>
      <c r="X140" s="1051">
        <f>E140</f>
        <v>41.74</v>
      </c>
      <c r="Y140" s="1125">
        <f t="shared" si="35"/>
        <v>70</v>
      </c>
      <c r="Z140" s="1126">
        <f t="shared" si="36"/>
        <v>70</v>
      </c>
      <c r="AB140" s="1026"/>
      <c r="AD140" s="1027"/>
      <c r="AF140" s="1054">
        <f>H140</f>
        <v>0</v>
      </c>
      <c r="AG140" s="1043"/>
      <c r="AH140" s="1055"/>
      <c r="AI140" s="832">
        <v>41.74</v>
      </c>
      <c r="AJ140" s="832">
        <f t="shared" si="37"/>
        <v>54.190817192202211</v>
      </c>
      <c r="AK140" s="1043" t="s">
        <v>160</v>
      </c>
      <c r="AL140" s="1056"/>
      <c r="AN140" s="1057">
        <v>0</v>
      </c>
      <c r="AO140" s="1058"/>
      <c r="AP140" s="1059"/>
      <c r="AQ140" s="1060">
        <v>41.74</v>
      </c>
      <c r="AR140" s="1060">
        <v>66.826108955212533</v>
      </c>
      <c r="AS140" s="1058" t="s">
        <v>160</v>
      </c>
      <c r="AT140" s="1061"/>
      <c r="AV140" s="1057">
        <v>0</v>
      </c>
      <c r="AW140" s="1058"/>
      <c r="AX140" s="1059"/>
      <c r="AY140" s="1060">
        <v>41.74</v>
      </c>
      <c r="AZ140" s="1060">
        <v>73.971284270562407</v>
      </c>
      <c r="BA140" s="1058" t="s">
        <v>160</v>
      </c>
      <c r="BB140" s="1061"/>
      <c r="BD140" s="1057">
        <v>0</v>
      </c>
      <c r="BE140" s="1058"/>
      <c r="BF140" s="1059"/>
      <c r="BG140" s="1060">
        <v>41.74</v>
      </c>
      <c r="BH140" s="1060">
        <v>69.978567119236146</v>
      </c>
      <c r="BI140" s="1058" t="s">
        <v>160</v>
      </c>
      <c r="BJ140" s="1061"/>
      <c r="BK140" s="1043"/>
      <c r="BL140" s="1062">
        <f>ROUND(AR140,0)</f>
        <v>67</v>
      </c>
      <c r="BM140" s="1063">
        <f>ROUND(AZ140,0)</f>
        <v>74</v>
      </c>
      <c r="BN140" s="1064">
        <f>ROUND(BH140,0)</f>
        <v>70</v>
      </c>
    </row>
    <row r="141" spans="1:73">
      <c r="B141" s="803" t="s">
        <v>495</v>
      </c>
      <c r="C141" s="795"/>
      <c r="D141" s="1042">
        <f>'Billing Units'!J32</f>
        <v>16450000</v>
      </c>
      <c r="E141" s="802">
        <f>'Rate Inputs'!H32+IF($D$7,$J$7,0)</f>
        <v>0.118612</v>
      </c>
      <c r="F141" s="806" t="s">
        <v>157</v>
      </c>
      <c r="G141" s="806"/>
      <c r="H141" s="1043">
        <f>ROUND(E141*D141,0)</f>
        <v>1951167</v>
      </c>
      <c r="I141" s="795"/>
      <c r="J141" s="1073">
        <f>'Billing Units'!J70</f>
        <v>16450000</v>
      </c>
      <c r="K141" s="1078">
        <f>IF(W$10,W141,(T142-SUM(N136:N140))/J141)</f>
        <v>0.15128069183698234</v>
      </c>
      <c r="L141" s="1072" t="s">
        <v>157</v>
      </c>
      <c r="M141" s="806"/>
      <c r="N141" s="1046">
        <f>ROUND(K141*J141,0)</f>
        <v>2488567</v>
      </c>
      <c r="O141" s="1043"/>
      <c r="P141" s="1047">
        <f t="shared" si="33"/>
        <v>537400</v>
      </c>
      <c r="Q141" s="1043"/>
      <c r="R141" s="1074">
        <f t="shared" si="34"/>
        <v>0.27542491200000002</v>
      </c>
      <c r="T141" s="1049"/>
      <c r="W141" s="1138">
        <f>INDEX($X141:$Z141,MATCH($D$6,$X$8:$Z$8,0))</f>
        <v>0</v>
      </c>
      <c r="X141" s="1067"/>
      <c r="Y141" s="802"/>
      <c r="Z141" s="1068"/>
      <c r="AB141" s="1026"/>
      <c r="AD141" s="1027"/>
      <c r="AF141" s="1054">
        <f>H141</f>
        <v>1951167</v>
      </c>
      <c r="AG141" s="1043"/>
      <c r="AH141" s="1055"/>
      <c r="AI141" s="832">
        <v>8.4489999999999996E-2</v>
      </c>
      <c r="AJ141" s="832">
        <f t="shared" si="37"/>
        <v>0.10969291194463739</v>
      </c>
      <c r="AK141" s="1043" t="s">
        <v>157</v>
      </c>
      <c r="AL141" s="1056">
        <f>AJ141*J141</f>
        <v>1804448.4014892851</v>
      </c>
      <c r="AN141" s="1057">
        <v>1390294</v>
      </c>
      <c r="AO141" s="1058"/>
      <c r="AP141" s="1059"/>
      <c r="AQ141" s="1060">
        <v>8.4489999999999996E-2</v>
      </c>
      <c r="AR141" s="1060">
        <v>0.13526923683818654</v>
      </c>
      <c r="AS141" s="1058" t="s">
        <v>157</v>
      </c>
      <c r="AT141" s="1061">
        <v>2225873.1477116216</v>
      </c>
      <c r="AV141" s="1057">
        <v>1389861</v>
      </c>
      <c r="AW141" s="1058"/>
      <c r="AX141" s="1059"/>
      <c r="AY141" s="1060">
        <v>8.4489999999999996E-2</v>
      </c>
      <c r="AZ141" s="1060">
        <v>0.14973248222376179</v>
      </c>
      <c r="BA141" s="1058" t="s">
        <v>157</v>
      </c>
      <c r="BB141" s="1061">
        <v>2463099.3325808812</v>
      </c>
      <c r="BD141" s="1057">
        <v>1390294</v>
      </c>
      <c r="BE141" s="1058"/>
      <c r="BF141" s="1059"/>
      <c r="BG141" s="1060">
        <v>8.4489999999999996E-2</v>
      </c>
      <c r="BH141" s="1060">
        <v>0.14165043449698758</v>
      </c>
      <c r="BI141" s="1058" t="s">
        <v>157</v>
      </c>
      <c r="BJ141" s="1061">
        <v>2330876.597505284</v>
      </c>
      <c r="BK141" s="1043"/>
      <c r="BL141" s="1062"/>
      <c r="BM141" s="1063"/>
      <c r="BN141" s="1064"/>
    </row>
    <row r="142" spans="1:73" ht="13.8" thickBot="1">
      <c r="B142" s="807" t="s">
        <v>496</v>
      </c>
      <c r="C142" s="808"/>
      <c r="D142" s="1080">
        <f>SUM(D139:D141)</f>
        <v>16450000</v>
      </c>
      <c r="E142" s="811"/>
      <c r="F142" s="811"/>
      <c r="G142" s="811"/>
      <c r="H142" s="1081">
        <f>SUM(H136,H139,H140,H141)</f>
        <v>2099067</v>
      </c>
      <c r="I142" s="808"/>
      <c r="J142" s="1082">
        <f>SUM(J139:J141)</f>
        <v>16450000</v>
      </c>
      <c r="K142" s="810"/>
      <c r="L142" s="1083"/>
      <c r="M142" s="811"/>
      <c r="N142" s="1084">
        <f>SUM(N136,N139,N140,N141)</f>
        <v>2725207</v>
      </c>
      <c r="O142" s="1081"/>
      <c r="P142" s="1085">
        <f>IF(AND(N142=0,NOT(H142=0)),0,N142-H142)</f>
        <v>626140</v>
      </c>
      <c r="Q142" s="1081"/>
      <c r="R142" s="1086">
        <f>IF(D142=0,0,ROUND((N142-H142)/H142,9))</f>
        <v>0.29829443300000003</v>
      </c>
      <c r="T142" s="1087">
        <f>INDEX('Revenue Summary'!$R$10:$R$38,MATCH(AB142,'Revenue Summary'!$B$10:$B$38,0))</f>
        <v>2725207.3807183593</v>
      </c>
      <c r="W142" s="1088"/>
      <c r="X142" s="1088"/>
      <c r="Y142" s="810"/>
      <c r="Z142" s="1089"/>
      <c r="AB142" s="1026" t="str" cm="1">
        <f t="array" ref="AB142">INDEX(_xlfn.TEXTSPLIT(B142," "),2)</f>
        <v>CATV</v>
      </c>
      <c r="AD142" s="1027"/>
      <c r="AF142" s="1090">
        <f>H142</f>
        <v>2099067</v>
      </c>
      <c r="AG142" s="1081">
        <f>T142</f>
        <v>2725207.3807183593</v>
      </c>
      <c r="AH142" s="1149">
        <f>AG142/AF142</f>
        <v>1.298294614092051</v>
      </c>
      <c r="AI142" s="1092"/>
      <c r="AJ142" s="1092"/>
      <c r="AK142" s="1081"/>
      <c r="AL142" s="1093">
        <f>SUM(AL136:AL141)</f>
        <v>1996466.1749134995</v>
      </c>
      <c r="AN142" s="1094">
        <v>1538194</v>
      </c>
      <c r="AO142" s="1095">
        <v>2462662.190662534</v>
      </c>
      <c r="AP142" s="1152">
        <v>1.6010088393678132</v>
      </c>
      <c r="AQ142" s="1097"/>
      <c r="AR142" s="1097"/>
      <c r="AS142" s="1095"/>
      <c r="AT142" s="1098">
        <v>2462662.355054121</v>
      </c>
      <c r="AV142" s="1094">
        <v>1537761</v>
      </c>
      <c r="AW142" s="1095">
        <v>2725207.3807183593</v>
      </c>
      <c r="AX142" s="1152">
        <v>1.7721917649871204</v>
      </c>
      <c r="AY142" s="1097"/>
      <c r="AZ142" s="1097"/>
      <c r="BA142" s="1095"/>
      <c r="BB142" s="1098">
        <v>2725206.4946224764</v>
      </c>
      <c r="BD142" s="1094">
        <v>1538194</v>
      </c>
      <c r="BE142" s="1095">
        <v>2578835.9384620585</v>
      </c>
      <c r="BF142" s="1152">
        <v>1.6765349094210864</v>
      </c>
      <c r="BG142" s="1097"/>
      <c r="BH142" s="1097"/>
      <c r="BI142" s="1095"/>
      <c r="BJ142" s="1098">
        <v>2578836.1106086625</v>
      </c>
      <c r="BK142" s="1043"/>
      <c r="BL142" s="1062"/>
      <c r="BM142" s="1063"/>
      <c r="BN142" s="1064"/>
    </row>
    <row r="143" spans="1:73" ht="13.8" thickTop="1">
      <c r="B143" s="795"/>
      <c r="C143" s="795"/>
      <c r="D143" s="1036"/>
      <c r="E143" s="795"/>
      <c r="F143" s="795"/>
      <c r="G143" s="795"/>
      <c r="H143" s="795"/>
      <c r="I143" s="795"/>
      <c r="J143" s="1040"/>
      <c r="K143" s="795"/>
      <c r="L143" s="1037"/>
      <c r="M143" s="795"/>
      <c r="N143" s="1099"/>
      <c r="O143" s="795"/>
      <c r="P143" s="1100"/>
      <c r="Q143" s="795"/>
      <c r="R143" s="1101"/>
      <c r="T143" s="1041"/>
      <c r="W143" s="1036"/>
      <c r="X143" s="1036"/>
      <c r="Y143" s="795"/>
      <c r="Z143" s="1037"/>
      <c r="AB143" s="1026"/>
      <c r="AD143" s="1027"/>
      <c r="AF143" s="1036"/>
      <c r="AG143" s="795"/>
      <c r="AH143" s="1055"/>
      <c r="AI143" s="832"/>
      <c r="AJ143" s="832"/>
      <c r="AK143" s="795"/>
      <c r="AL143" s="1056"/>
      <c r="AN143" s="1033"/>
      <c r="AO143" s="1034"/>
      <c r="AP143" s="1059"/>
      <c r="AQ143" s="1060"/>
      <c r="AR143" s="1060"/>
      <c r="AS143" s="1034"/>
      <c r="AT143" s="1061"/>
      <c r="AV143" s="1033"/>
      <c r="AW143" s="1034"/>
      <c r="AX143" s="1059"/>
      <c r="AY143" s="1060"/>
      <c r="AZ143" s="1060"/>
      <c r="BA143" s="1034"/>
      <c r="BB143" s="1061"/>
      <c r="BD143" s="1033"/>
      <c r="BE143" s="1034"/>
      <c r="BF143" s="1059"/>
      <c r="BG143" s="1060"/>
      <c r="BH143" s="1060"/>
      <c r="BI143" s="1034"/>
      <c r="BJ143" s="1061"/>
      <c r="BK143" s="795"/>
      <c r="BL143" s="1062"/>
      <c r="BM143" s="1063"/>
      <c r="BN143" s="1064"/>
    </row>
    <row r="144" spans="1:73">
      <c r="B144" s="797" t="s">
        <v>419</v>
      </c>
      <c r="C144" s="797"/>
      <c r="D144" s="1036"/>
      <c r="E144" s="795"/>
      <c r="F144" s="795"/>
      <c r="G144" s="795"/>
      <c r="H144" s="795"/>
      <c r="I144" s="795"/>
      <c r="J144" s="1040"/>
      <c r="K144" s="795"/>
      <c r="L144" s="1037"/>
      <c r="M144" s="795"/>
      <c r="N144" s="1099"/>
      <c r="O144" s="795"/>
      <c r="P144" s="1100"/>
      <c r="Q144" s="795"/>
      <c r="R144" s="1101"/>
      <c r="T144" s="1041"/>
      <c r="W144" s="1036"/>
      <c r="X144" s="1036"/>
      <c r="Y144" s="795"/>
      <c r="Z144" s="1037"/>
      <c r="AB144" s="1026"/>
      <c r="AD144" s="1027"/>
      <c r="AF144" s="1036"/>
      <c r="AG144" s="795"/>
      <c r="AH144" s="1055"/>
      <c r="AI144" s="832"/>
      <c r="AJ144" s="832"/>
      <c r="AK144" s="795"/>
      <c r="AL144" s="1056"/>
      <c r="AN144" s="1033"/>
      <c r="AO144" s="1034"/>
      <c r="AP144" s="1059"/>
      <c r="AQ144" s="1060"/>
      <c r="AR144" s="1060"/>
      <c r="AS144" s="1034"/>
      <c r="AT144" s="1061"/>
      <c r="AV144" s="1033"/>
      <c r="AW144" s="1034"/>
      <c r="AX144" s="1059"/>
      <c r="AY144" s="1060"/>
      <c r="AZ144" s="1060"/>
      <c r="BA144" s="1034"/>
      <c r="BB144" s="1061"/>
      <c r="BD144" s="1033"/>
      <c r="BE144" s="1034"/>
      <c r="BF144" s="1059"/>
      <c r="BG144" s="1060"/>
      <c r="BH144" s="1060"/>
      <c r="BI144" s="1034"/>
      <c r="BJ144" s="1061"/>
      <c r="BK144" s="795"/>
      <c r="BL144" s="1062"/>
      <c r="BM144" s="1063"/>
      <c r="BN144" s="1064"/>
    </row>
    <row r="145" spans="2:66">
      <c r="B145" s="795"/>
      <c r="C145" s="795"/>
      <c r="D145" s="1036"/>
      <c r="E145" s="795"/>
      <c r="F145" s="795"/>
      <c r="G145" s="795"/>
      <c r="H145" s="795"/>
      <c r="I145" s="795"/>
      <c r="J145" s="1040"/>
      <c r="K145" s="795"/>
      <c r="L145" s="1037"/>
      <c r="M145" s="795"/>
      <c r="N145" s="1099"/>
      <c r="O145" s="795"/>
      <c r="P145" s="1100"/>
      <c r="Q145" s="795"/>
      <c r="R145" s="1101"/>
      <c r="T145" s="1041"/>
      <c r="W145" s="1036"/>
      <c r="X145" s="1036"/>
      <c r="Y145" s="795"/>
      <c r="Z145" s="1037"/>
      <c r="AB145" s="1026"/>
      <c r="AD145" s="1027"/>
      <c r="AF145" s="1036"/>
      <c r="AG145" s="795"/>
      <c r="AH145" s="1055"/>
      <c r="AI145" s="832"/>
      <c r="AJ145" s="832"/>
      <c r="AK145" s="795"/>
      <c r="AL145" s="1056"/>
      <c r="AN145" s="1033"/>
      <c r="AO145" s="1034"/>
      <c r="AP145" s="1059"/>
      <c r="AQ145" s="1060"/>
      <c r="AR145" s="1060"/>
      <c r="AS145" s="1034"/>
      <c r="AT145" s="1061"/>
      <c r="AV145" s="1033"/>
      <c r="AW145" s="1034"/>
      <c r="AX145" s="1059"/>
      <c r="AY145" s="1060"/>
      <c r="AZ145" s="1060"/>
      <c r="BA145" s="1034"/>
      <c r="BB145" s="1061"/>
      <c r="BD145" s="1033"/>
      <c r="BE145" s="1034"/>
      <c r="BF145" s="1059"/>
      <c r="BG145" s="1060"/>
      <c r="BH145" s="1060"/>
      <c r="BI145" s="1034"/>
      <c r="BJ145" s="1061"/>
      <c r="BK145" s="795"/>
      <c r="BL145" s="1062"/>
      <c r="BM145" s="1063"/>
      <c r="BN145" s="1064"/>
    </row>
    <row r="146" spans="2:66">
      <c r="B146" s="795" t="s">
        <v>461</v>
      </c>
      <c r="C146" s="795"/>
      <c r="D146" s="1042">
        <f>'Billing Units'!D34</f>
        <v>923</v>
      </c>
      <c r="E146" s="799">
        <f>'Rate Inputs'!D34</f>
        <v>4.5999999999999996</v>
      </c>
      <c r="F146" s="795" t="s">
        <v>160</v>
      </c>
      <c r="G146" s="832"/>
      <c r="H146" s="1043">
        <f>ROUND(E146*D146*12,0)</f>
        <v>50950</v>
      </c>
      <c r="I146" s="795"/>
      <c r="J146" s="1044">
        <f>'Billing Units'!D72</f>
        <v>923</v>
      </c>
      <c r="K146" s="1045">
        <f>W146</f>
        <v>6</v>
      </c>
      <c r="L146" s="1037" t="str">
        <f>F146</f>
        <v>per month</v>
      </c>
      <c r="M146" s="832"/>
      <c r="N146" s="1046">
        <f>ROUND(K146*J146*12,0)</f>
        <v>66456</v>
      </c>
      <c r="O146" s="1043"/>
      <c r="P146" s="1047">
        <f>IF(AND(N146=0,NOT(H146=0)),0,N146-H146)</f>
        <v>15506</v>
      </c>
      <c r="Q146" s="1043"/>
      <c r="R146" s="1074">
        <f>IF(D146=0,0,ROUND((N146-H146)/H146,9))</f>
        <v>0.30433758599999999</v>
      </c>
      <c r="T146" s="1049"/>
      <c r="W146" s="1050">
        <f>INDEX($X146:$Z146,MATCH($D$6,$X$8:$Z$8,0))</f>
        <v>6</v>
      </c>
      <c r="X146" s="1051">
        <f>E146</f>
        <v>4.5999999999999996</v>
      </c>
      <c r="Y146" s="1125">
        <f>Z146</f>
        <v>6</v>
      </c>
      <c r="Z146" s="1126">
        <f>BN146</f>
        <v>6</v>
      </c>
      <c r="AB146" s="1026"/>
      <c r="AD146" s="1027"/>
      <c r="AF146" s="1054">
        <f>H146</f>
        <v>50950</v>
      </c>
      <c r="AG146" s="1043"/>
      <c r="AH146" s="1055"/>
      <c r="AI146" s="832">
        <v>4.5999999999999996</v>
      </c>
      <c r="AJ146" s="834">
        <f>AI146*$AH$150</f>
        <v>6.3552626525808087</v>
      </c>
      <c r="AK146" s="1043" t="s">
        <v>160</v>
      </c>
      <c r="AL146" s="1112">
        <f>AJ146*J146*12</f>
        <v>70390.889139985025</v>
      </c>
      <c r="AN146" s="1057">
        <v>50950</v>
      </c>
      <c r="AO146" s="1058"/>
      <c r="AP146" s="1059"/>
      <c r="AQ146" s="1060">
        <v>4.5999999999999996</v>
      </c>
      <c r="AR146" s="1116">
        <v>6.1749844721515528</v>
      </c>
      <c r="AS146" s="1058" t="s">
        <v>160</v>
      </c>
      <c r="AT146" s="1117">
        <v>68394.128013550595</v>
      </c>
      <c r="AV146" s="1057">
        <v>50950</v>
      </c>
      <c r="AW146" s="1058"/>
      <c r="AX146" s="1059"/>
      <c r="AY146" s="1060">
        <v>4.5999999999999996</v>
      </c>
      <c r="AZ146" s="1116">
        <v>6.8664885147697401</v>
      </c>
      <c r="BA146" s="1058" t="s">
        <v>160</v>
      </c>
      <c r="BB146" s="1117">
        <v>76053.226789589651</v>
      </c>
      <c r="BD146" s="1057">
        <v>50950</v>
      </c>
      <c r="BE146" s="1058"/>
      <c r="BF146" s="1059"/>
      <c r="BG146" s="1060">
        <v>4.5999999999999996</v>
      </c>
      <c r="BH146" s="1116">
        <v>6.4662834945890237</v>
      </c>
      <c r="BI146" s="1058" t="s">
        <v>160</v>
      </c>
      <c r="BJ146" s="1117">
        <v>71620.555986068022</v>
      </c>
      <c r="BK146" s="1043"/>
      <c r="BL146" s="1062">
        <f>IF(AR146&lt;20,ROUND(AR146,0),MROUND(AR146,5))</f>
        <v>6</v>
      </c>
      <c r="BM146" s="1063">
        <f>IF(AZ146&lt;20,ROUND(AZ146,0),MROUND(AZ146,5))</f>
        <v>7</v>
      </c>
      <c r="BN146" s="1064">
        <f>IF(BH146&lt;20,ROUND(BH146,0),MROUND(BH146,5))</f>
        <v>6</v>
      </c>
    </row>
    <row r="147" spans="2:66">
      <c r="B147" s="795"/>
      <c r="C147" s="795"/>
      <c r="D147" s="1065"/>
      <c r="E147" s="802"/>
      <c r="F147" s="795"/>
      <c r="G147" s="795"/>
      <c r="H147" s="795"/>
      <c r="I147" s="795"/>
      <c r="J147" s="1066"/>
      <c r="K147" s="802"/>
      <c r="L147" s="1037"/>
      <c r="M147" s="795"/>
      <c r="N147" s="1099"/>
      <c r="O147" s="795"/>
      <c r="P147" s="1100"/>
      <c r="Q147" s="795"/>
      <c r="R147" s="1101"/>
      <c r="T147" s="1041"/>
      <c r="W147" s="1067"/>
      <c r="X147" s="1067"/>
      <c r="Y147" s="802"/>
      <c r="Z147" s="1068"/>
      <c r="AB147" s="1026"/>
      <c r="AD147" s="1027"/>
      <c r="AF147" s="1036"/>
      <c r="AG147" s="795"/>
      <c r="AH147" s="1055"/>
      <c r="AI147" s="832"/>
      <c r="AJ147" s="832"/>
      <c r="AK147" s="795"/>
      <c r="AL147" s="1056"/>
      <c r="AN147" s="1033"/>
      <c r="AO147" s="1034"/>
      <c r="AP147" s="1059"/>
      <c r="AQ147" s="1060"/>
      <c r="AR147" s="1060"/>
      <c r="AS147" s="1034"/>
      <c r="AT147" s="1061"/>
      <c r="AV147" s="1033"/>
      <c r="AW147" s="1034"/>
      <c r="AX147" s="1059"/>
      <c r="AY147" s="1060"/>
      <c r="AZ147" s="1060"/>
      <c r="BA147" s="1034"/>
      <c r="BB147" s="1061"/>
      <c r="BD147" s="1033"/>
      <c r="BE147" s="1034"/>
      <c r="BF147" s="1059"/>
      <c r="BG147" s="1060"/>
      <c r="BH147" s="1060"/>
      <c r="BI147" s="1034"/>
      <c r="BJ147" s="1061"/>
      <c r="BK147" s="795"/>
      <c r="BL147" s="1062"/>
      <c r="BM147" s="1063"/>
      <c r="BN147" s="1064"/>
    </row>
    <row r="148" spans="2:66">
      <c r="B148" s="795" t="s">
        <v>462</v>
      </c>
      <c r="C148" s="795"/>
      <c r="D148" s="1042"/>
      <c r="E148" s="802"/>
      <c r="F148" s="795"/>
      <c r="G148" s="795"/>
      <c r="H148" s="795"/>
      <c r="I148" s="795"/>
      <c r="J148" s="1066"/>
      <c r="K148" s="802"/>
      <c r="L148" s="1037"/>
      <c r="M148" s="795"/>
      <c r="N148" s="1099"/>
      <c r="O148" s="795"/>
      <c r="P148" s="1100"/>
      <c r="Q148" s="795"/>
      <c r="R148" s="1101"/>
      <c r="T148" s="1041"/>
      <c r="W148" s="1067"/>
      <c r="X148" s="1067"/>
      <c r="Y148" s="802"/>
      <c r="Z148" s="1068"/>
      <c r="AB148" s="1026"/>
      <c r="AD148" s="1027"/>
      <c r="AF148" s="1036"/>
      <c r="AG148" s="795"/>
      <c r="AH148" s="1055"/>
      <c r="AI148" s="832"/>
      <c r="AJ148" s="832"/>
      <c r="AK148" s="795"/>
      <c r="AL148" s="1056"/>
      <c r="AN148" s="1033"/>
      <c r="AO148" s="1034"/>
      <c r="AP148" s="1059"/>
      <c r="AQ148" s="1060"/>
      <c r="AR148" s="1060"/>
      <c r="AS148" s="1034"/>
      <c r="AT148" s="1061"/>
      <c r="AV148" s="1033"/>
      <c r="AW148" s="1034"/>
      <c r="AX148" s="1059"/>
      <c r="AY148" s="1060"/>
      <c r="AZ148" s="1060"/>
      <c r="BA148" s="1034"/>
      <c r="BB148" s="1061"/>
      <c r="BD148" s="1033"/>
      <c r="BE148" s="1034"/>
      <c r="BF148" s="1059"/>
      <c r="BG148" s="1060"/>
      <c r="BH148" s="1060"/>
      <c r="BI148" s="1034"/>
      <c r="BJ148" s="1061"/>
      <c r="BK148" s="795"/>
      <c r="BL148" s="1062"/>
      <c r="BM148" s="1063"/>
      <c r="BN148" s="1064"/>
    </row>
    <row r="149" spans="2:66">
      <c r="B149" s="803" t="s">
        <v>474</v>
      </c>
      <c r="C149" s="795"/>
      <c r="D149" s="1042">
        <f>'Billing Units'!H34</f>
        <v>150000</v>
      </c>
      <c r="E149" s="805">
        <f>'Rate Inputs'!H34+IF($D$7,$J$7,0)</f>
        <v>0.118612</v>
      </c>
      <c r="F149" s="806" t="s">
        <v>157</v>
      </c>
      <c r="G149" s="795"/>
      <c r="H149" s="1043">
        <f>ROUND(E149*D149,0)</f>
        <v>17792</v>
      </c>
      <c r="I149" s="795"/>
      <c r="J149" s="1073">
        <f>'Billing Units'!H72</f>
        <v>150000</v>
      </c>
      <c r="K149" s="1180">
        <f>IF(W$10,W149,(T150-N146)/J149)</f>
        <v>0.19010994965755071</v>
      </c>
      <c r="L149" s="1072" t="s">
        <v>157</v>
      </c>
      <c r="M149" s="795"/>
      <c r="N149" s="1046">
        <f>ROUND(K149*J149,0)</f>
        <v>28516</v>
      </c>
      <c r="O149" s="795"/>
      <c r="P149" s="1047">
        <f>IF(AND(N149=0,NOT(H149=0)),0,N149-H149)</f>
        <v>10724</v>
      </c>
      <c r="Q149" s="1043"/>
      <c r="R149" s="1074">
        <f>IF(D149=0,0,ROUND((N149-H149)/H149,9))</f>
        <v>0.60274280599999996</v>
      </c>
      <c r="T149" s="1049"/>
      <c r="W149" s="1075">
        <f>INDEX($X149:$Z149,MATCH($D$6,$X$8:$Z$8,0))</f>
        <v>0</v>
      </c>
      <c r="X149" s="1171"/>
      <c r="Y149" s="836"/>
      <c r="Z149" s="1172"/>
      <c r="AB149" s="1026"/>
      <c r="AD149" s="1027"/>
      <c r="AF149" s="1054">
        <f>H149</f>
        <v>17792</v>
      </c>
      <c r="AG149" s="1043"/>
      <c r="AH149" s="1055"/>
      <c r="AI149" s="832">
        <v>8.4489999999999996E-2</v>
      </c>
      <c r="AJ149" s="832">
        <f>AI149*$AH$150</f>
        <v>0.11672959598185925</v>
      </c>
      <c r="AK149" s="1043" t="s">
        <v>157</v>
      </c>
      <c r="AL149" s="1056">
        <f>AJ149*J149</f>
        <v>17509.439397278889</v>
      </c>
      <c r="AN149" s="1057">
        <v>12983</v>
      </c>
      <c r="AO149" s="1058"/>
      <c r="AP149" s="1059"/>
      <c r="AQ149" s="1060">
        <v>8.4489999999999996E-2</v>
      </c>
      <c r="AR149" s="1060">
        <v>0.11341835609827929</v>
      </c>
      <c r="AS149" s="1058" t="s">
        <v>157</v>
      </c>
      <c r="AT149" s="1061">
        <v>17427.864598061598</v>
      </c>
      <c r="AV149" s="1057">
        <v>12674</v>
      </c>
      <c r="AW149" s="1058"/>
      <c r="AX149" s="1059"/>
      <c r="AY149" s="1060">
        <v>8.4489999999999996E-2</v>
      </c>
      <c r="AZ149" s="1060">
        <v>0.12611948143758595</v>
      </c>
      <c r="BA149" s="1058" t="s">
        <v>157</v>
      </c>
      <c r="BB149" s="1061">
        <v>18917.922215637893</v>
      </c>
      <c r="BD149" s="1057">
        <v>12983</v>
      </c>
      <c r="BE149" s="1058"/>
      <c r="BF149" s="1059"/>
      <c r="BG149" s="1060">
        <v>8.4489999999999996E-2</v>
      </c>
      <c r="BH149" s="1060">
        <v>0.11876875922996231</v>
      </c>
      <c r="BI149" s="1058" t="s">
        <v>157</v>
      </c>
      <c r="BJ149" s="1061">
        <v>18250.007543276013</v>
      </c>
      <c r="BK149" s="1043"/>
      <c r="BL149" s="1062"/>
      <c r="BM149" s="1063"/>
      <c r="BN149" s="1064"/>
    </row>
    <row r="150" spans="2:66" ht="13.8" thickBot="1">
      <c r="B150" s="807" t="s">
        <v>497</v>
      </c>
      <c r="C150" s="808"/>
      <c r="D150" s="1080">
        <f>D149</f>
        <v>150000</v>
      </c>
      <c r="E150" s="811"/>
      <c r="F150" s="811"/>
      <c r="G150" s="811"/>
      <c r="H150" s="1092">
        <f>SUM(H146,H149)</f>
        <v>68742</v>
      </c>
      <c r="I150" s="808"/>
      <c r="J150" s="1082">
        <f>J149</f>
        <v>150000</v>
      </c>
      <c r="K150" s="810"/>
      <c r="L150" s="1083"/>
      <c r="M150" s="811"/>
      <c r="N150" s="1084">
        <f>SUM(N146,N149)</f>
        <v>94972</v>
      </c>
      <c r="O150" s="1081"/>
      <c r="P150" s="1085">
        <f>IF(AND(N150=0,NOT(H150=0)),0,N150-H150)</f>
        <v>26230</v>
      </c>
      <c r="Q150" s="1081"/>
      <c r="R150" s="1086">
        <f>IF(D150=0,0,ROUND((N150-H150)/H150,9))</f>
        <v>0.38157167400000003</v>
      </c>
      <c r="T150" s="1087">
        <f>INDEX('Revenue Summary'!$R$10:$R$38,MATCH(AB150,'Revenue Summary'!$B$10:$B$38,0))</f>
        <v>94972.492448632605</v>
      </c>
      <c r="W150" s="1088"/>
      <c r="X150" s="1088"/>
      <c r="Y150" s="810"/>
      <c r="Z150" s="1089"/>
      <c r="AB150" s="1026" t="str" cm="1">
        <f t="array" ref="AB150">INDEX(_xlfn.TEXTSPLIT(B150," "),2)</f>
        <v>USSL</v>
      </c>
      <c r="AD150" s="1027"/>
      <c r="AF150" s="1183">
        <f>H150</f>
        <v>68742</v>
      </c>
      <c r="AG150" s="1092">
        <f>T150</f>
        <v>94972.492448632605</v>
      </c>
      <c r="AH150" s="1149">
        <f>AG150/AF150</f>
        <v>1.3815788375175673</v>
      </c>
      <c r="AI150" s="1092"/>
      <c r="AJ150" s="1092"/>
      <c r="AK150" s="1092"/>
      <c r="AL150" s="1093">
        <f>SUM(AL144:AL149)</f>
        <v>87900.328537263907</v>
      </c>
      <c r="AN150" s="1184">
        <v>63933</v>
      </c>
      <c r="AO150" s="1097">
        <v>85822.88744740549</v>
      </c>
      <c r="AP150" s="1152">
        <v>1.3423879287285985</v>
      </c>
      <c r="AQ150" s="1097"/>
      <c r="AR150" s="1097"/>
      <c r="AS150" s="1097"/>
      <c r="AT150" s="1098">
        <v>85821.992611612193</v>
      </c>
      <c r="AV150" s="1184">
        <v>63624</v>
      </c>
      <c r="AW150" s="1097">
        <v>94972.492448632605</v>
      </c>
      <c r="AX150" s="1152">
        <v>1.4927148945151609</v>
      </c>
      <c r="AY150" s="1097"/>
      <c r="AZ150" s="1097"/>
      <c r="BA150" s="1097"/>
      <c r="BB150" s="1098">
        <v>94971.149005227548</v>
      </c>
      <c r="BD150" s="1184">
        <v>63933</v>
      </c>
      <c r="BE150" s="1097">
        <v>89871.500578165243</v>
      </c>
      <c r="BF150" s="1152">
        <v>1.4057138031715271</v>
      </c>
      <c r="BG150" s="1097"/>
      <c r="BH150" s="1097"/>
      <c r="BI150" s="1097"/>
      <c r="BJ150" s="1098">
        <v>89870.563529344043</v>
      </c>
      <c r="BK150" s="1043"/>
      <c r="BL150" s="1062"/>
      <c r="BM150" s="1063"/>
      <c r="BN150" s="1064"/>
    </row>
    <row r="151" spans="2:66" ht="13.8" thickTop="1">
      <c r="B151" s="829"/>
      <c r="C151" s="795"/>
      <c r="D151" s="1042"/>
      <c r="E151" s="806"/>
      <c r="F151" s="806"/>
      <c r="G151" s="806"/>
      <c r="H151" s="1043"/>
      <c r="I151" s="795"/>
      <c r="J151" s="1073"/>
      <c r="K151" s="802"/>
      <c r="L151" s="1072"/>
      <c r="M151" s="806"/>
      <c r="N151" s="1046"/>
      <c r="O151" s="1043"/>
      <c r="P151" s="1047"/>
      <c r="Q151" s="1043"/>
      <c r="R151" s="1074"/>
      <c r="T151" s="1049"/>
      <c r="W151" s="1067"/>
      <c r="X151" s="1067"/>
      <c r="Y151" s="802"/>
      <c r="Z151" s="1068"/>
      <c r="AB151" s="1026"/>
      <c r="AD151" s="1027"/>
      <c r="AF151" s="1054"/>
      <c r="AG151" s="1043"/>
      <c r="AH151" s="1055"/>
      <c r="AI151" s="832"/>
      <c r="AJ151" s="832"/>
      <c r="AK151" s="1043"/>
      <c r="AL151" s="1056"/>
      <c r="AN151" s="1057"/>
      <c r="AO151" s="1058"/>
      <c r="AP151" s="1059"/>
      <c r="AQ151" s="1060"/>
      <c r="AR151" s="1060"/>
      <c r="AS151" s="1058"/>
      <c r="AT151" s="1061"/>
      <c r="AV151" s="1057"/>
      <c r="AW151" s="1058"/>
      <c r="AX151" s="1059"/>
      <c r="AY151" s="1060"/>
      <c r="AZ151" s="1060"/>
      <c r="BA151" s="1058"/>
      <c r="BB151" s="1061"/>
      <c r="BD151" s="1057"/>
      <c r="BE151" s="1058"/>
      <c r="BF151" s="1059"/>
      <c r="BG151" s="1060"/>
      <c r="BH151" s="1060"/>
      <c r="BI151" s="1058"/>
      <c r="BJ151" s="1061"/>
      <c r="BK151" s="1043"/>
      <c r="BL151" s="1062"/>
      <c r="BM151" s="1063"/>
      <c r="BN151" s="1064"/>
    </row>
    <row r="152" spans="2:66">
      <c r="B152" s="797" t="s">
        <v>415</v>
      </c>
      <c r="C152" s="797"/>
      <c r="D152" s="1036"/>
      <c r="E152" s="795"/>
      <c r="F152" s="795"/>
      <c r="G152" s="795"/>
      <c r="H152" s="795"/>
      <c r="I152" s="795"/>
      <c r="J152" s="1040"/>
      <c r="K152" s="795"/>
      <c r="L152" s="1037"/>
      <c r="M152" s="795"/>
      <c r="N152" s="1099"/>
      <c r="O152" s="795"/>
      <c r="P152" s="1100"/>
      <c r="Q152" s="795"/>
      <c r="R152" s="1101"/>
      <c r="T152" s="1041"/>
      <c r="W152" s="1036"/>
      <c r="X152" s="1036"/>
      <c r="Y152" s="795"/>
      <c r="Z152" s="1037"/>
      <c r="AB152" s="1026"/>
      <c r="AD152" s="1027"/>
      <c r="AF152" s="1036"/>
      <c r="AG152" s="795"/>
      <c r="AH152" s="1055"/>
      <c r="AI152" s="832"/>
      <c r="AJ152" s="832"/>
      <c r="AK152" s="795"/>
      <c r="AL152" s="1056"/>
      <c r="AN152" s="1033"/>
      <c r="AO152" s="1034"/>
      <c r="AP152" s="1059"/>
      <c r="AQ152" s="1060"/>
      <c r="AR152" s="1060"/>
      <c r="AS152" s="1034"/>
      <c r="AT152" s="1061"/>
      <c r="AV152" s="1033"/>
      <c r="AW152" s="1034"/>
      <c r="AX152" s="1059"/>
      <c r="AY152" s="1060"/>
      <c r="AZ152" s="1060"/>
      <c r="BA152" s="1034"/>
      <c r="BB152" s="1061"/>
      <c r="BD152" s="1033"/>
      <c r="BE152" s="1034"/>
      <c r="BF152" s="1059"/>
      <c r="BG152" s="1060"/>
      <c r="BH152" s="1060"/>
      <c r="BI152" s="1034"/>
      <c r="BJ152" s="1061"/>
      <c r="BK152" s="795"/>
      <c r="BL152" s="1062"/>
      <c r="BM152" s="1063"/>
      <c r="BN152" s="1064"/>
    </row>
    <row r="153" spans="2:66">
      <c r="B153" s="795"/>
      <c r="C153" s="795"/>
      <c r="D153" s="1036"/>
      <c r="E153" s="795"/>
      <c r="F153" s="795"/>
      <c r="G153" s="795"/>
      <c r="H153" s="795"/>
      <c r="I153" s="795"/>
      <c r="J153" s="1040"/>
      <c r="K153" s="795"/>
      <c r="L153" s="1037"/>
      <c r="M153" s="795"/>
      <c r="N153" s="1099"/>
      <c r="O153" s="795"/>
      <c r="P153" s="1100"/>
      <c r="Q153" s="795"/>
      <c r="R153" s="1101"/>
      <c r="T153" s="1041"/>
      <c r="W153" s="1036"/>
      <c r="X153" s="1036"/>
      <c r="Y153" s="795"/>
      <c r="Z153" s="1037"/>
      <c r="AB153" s="1026"/>
      <c r="AD153" s="1027"/>
      <c r="AF153" s="1036"/>
      <c r="AG153" s="795"/>
      <c r="AH153" s="1055"/>
      <c r="AI153" s="832"/>
      <c r="AJ153" s="832"/>
      <c r="AK153" s="795"/>
      <c r="AL153" s="1056"/>
      <c r="AN153" s="1033"/>
      <c r="AO153" s="1034"/>
      <c r="AP153" s="1059"/>
      <c r="AQ153" s="1060"/>
      <c r="AR153" s="1060"/>
      <c r="AS153" s="1034"/>
      <c r="AT153" s="1061"/>
      <c r="AV153" s="1033"/>
      <c r="AW153" s="1034"/>
      <c r="AX153" s="1059"/>
      <c r="AY153" s="1060"/>
      <c r="AZ153" s="1060"/>
      <c r="BA153" s="1034"/>
      <c r="BB153" s="1061"/>
      <c r="BD153" s="1033"/>
      <c r="BE153" s="1034"/>
      <c r="BF153" s="1059"/>
      <c r="BG153" s="1060"/>
      <c r="BH153" s="1060"/>
      <c r="BI153" s="1034"/>
      <c r="BJ153" s="1061"/>
      <c r="BK153" s="795"/>
      <c r="BL153" s="1062"/>
      <c r="BM153" s="1063"/>
      <c r="BN153" s="1064"/>
    </row>
    <row r="154" spans="2:66">
      <c r="B154" s="795" t="s">
        <v>461</v>
      </c>
      <c r="C154" s="795"/>
      <c r="D154" s="1042">
        <f>'Billing Units'!D36</f>
        <v>2</v>
      </c>
      <c r="E154" s="799">
        <f>'Rate Inputs'!D36</f>
        <v>521.67999999999995</v>
      </c>
      <c r="F154" s="795" t="s">
        <v>160</v>
      </c>
      <c r="G154" s="832"/>
      <c r="H154" s="1043">
        <f>ROUND(E154*D154*12,0)</f>
        <v>12520</v>
      </c>
      <c r="I154" s="795"/>
      <c r="J154" s="1044">
        <f>'Billing Units'!D74</f>
        <v>2</v>
      </c>
      <c r="K154" s="1045">
        <f>W154</f>
        <v>745</v>
      </c>
      <c r="L154" s="1037" t="str">
        <f>F154</f>
        <v>per month</v>
      </c>
      <c r="M154" s="832"/>
      <c r="N154" s="1046">
        <f>ROUND(K154*J154*12,0)</f>
        <v>17880</v>
      </c>
      <c r="O154" s="1043"/>
      <c r="P154" s="1047">
        <f>IF(AND(N154=0,NOT(H154=0)),0,N154-H154)</f>
        <v>5360</v>
      </c>
      <c r="Q154" s="1043"/>
      <c r="R154" s="1074">
        <f>IF(D154=0,0,ROUND((N154-H154)/H154,9))</f>
        <v>0.42811501600000001</v>
      </c>
      <c r="T154" s="1049"/>
      <c r="W154" s="1050">
        <f>INDEX($X154:$Z154,MATCH($D$6,$X$8:$Z$8,0))</f>
        <v>745</v>
      </c>
      <c r="X154" s="1051">
        <f>E154</f>
        <v>521.67999999999995</v>
      </c>
      <c r="Y154" s="1125">
        <f>Z154</f>
        <v>745</v>
      </c>
      <c r="Z154" s="1126">
        <f>BN154</f>
        <v>745</v>
      </c>
      <c r="AB154" s="1026"/>
      <c r="AD154" s="1027"/>
      <c r="AF154" s="1054">
        <f>H154</f>
        <v>12520</v>
      </c>
      <c r="AG154" s="1043"/>
      <c r="AH154" s="1055"/>
      <c r="AI154" s="832">
        <v>521.67999999999995</v>
      </c>
      <c r="AJ154" s="834">
        <f>AI154*$AH$162</f>
        <v>675.13451061107935</v>
      </c>
      <c r="AK154" s="1043" t="s">
        <v>160</v>
      </c>
      <c r="AL154" s="1112">
        <f>AJ154*J154*12</f>
        <v>16203.228254665904</v>
      </c>
      <c r="AN154" s="1057">
        <v>12520</v>
      </c>
      <c r="AO154" s="1058"/>
      <c r="AP154" s="1059"/>
      <c r="AQ154" s="1060">
        <v>521.67999999999995</v>
      </c>
      <c r="AR154" s="1116">
        <v>647.82307779279529</v>
      </c>
      <c r="AS154" s="1058" t="s">
        <v>160</v>
      </c>
      <c r="AT154" s="1117">
        <v>15547.753867027088</v>
      </c>
      <c r="AV154" s="1057">
        <v>12520</v>
      </c>
      <c r="AW154" s="1058"/>
      <c r="AX154" s="1059"/>
      <c r="AY154" s="1060">
        <v>521.67999999999995</v>
      </c>
      <c r="AZ154" s="1116">
        <v>756.35342714632907</v>
      </c>
      <c r="BA154" s="1058" t="s">
        <v>160</v>
      </c>
      <c r="BB154" s="1117">
        <v>18152.482251511898</v>
      </c>
      <c r="BD154" s="1057">
        <v>12520</v>
      </c>
      <c r="BE154" s="1058"/>
      <c r="BF154" s="1059"/>
      <c r="BG154" s="1060">
        <v>521.67999999999995</v>
      </c>
      <c r="BH154" s="1116">
        <v>743.13278021227734</v>
      </c>
      <c r="BI154" s="1058" t="s">
        <v>160</v>
      </c>
      <c r="BJ154" s="1117">
        <v>17835.186725094656</v>
      </c>
      <c r="BK154" s="1043"/>
      <c r="BL154" s="1062">
        <f>IF(AR154&lt;20,ROUND(AR154,0),MROUND(AR154,5))</f>
        <v>650</v>
      </c>
      <c r="BM154" s="1063">
        <f>IF(AZ154&lt;20,ROUND(AZ154,0),MROUND(AZ154,5))</f>
        <v>755</v>
      </c>
      <c r="BN154" s="1064">
        <f>IF(BH154&lt;20,ROUND(BH154,0),MROUND(BH154,5))</f>
        <v>745</v>
      </c>
    </row>
    <row r="155" spans="2:66">
      <c r="B155" s="795"/>
      <c r="C155" s="795"/>
      <c r="D155" s="1065"/>
      <c r="E155" s="802"/>
      <c r="F155" s="795"/>
      <c r="G155" s="795"/>
      <c r="H155" s="795"/>
      <c r="I155" s="795"/>
      <c r="J155" s="1066"/>
      <c r="K155" s="802"/>
      <c r="L155" s="1037"/>
      <c r="M155" s="795"/>
      <c r="N155" s="1099"/>
      <c r="O155" s="795"/>
      <c r="P155" s="1100"/>
      <c r="Q155" s="795"/>
      <c r="R155" s="1101"/>
      <c r="T155" s="1041"/>
      <c r="W155" s="1067"/>
      <c r="X155" s="1067"/>
      <c r="Y155" s="802"/>
      <c r="Z155" s="1068"/>
      <c r="AB155" s="1026"/>
      <c r="AD155" s="1027"/>
      <c r="AF155" s="1036"/>
      <c r="AG155" s="795"/>
      <c r="AH155" s="1055"/>
      <c r="AI155" s="832"/>
      <c r="AJ155" s="832"/>
      <c r="AK155" s="795"/>
      <c r="AL155" s="1056"/>
      <c r="AN155" s="1033"/>
      <c r="AO155" s="1034"/>
      <c r="AP155" s="1059"/>
      <c r="AQ155" s="1060"/>
      <c r="AR155" s="1060"/>
      <c r="AS155" s="1034"/>
      <c r="AT155" s="1061"/>
      <c r="AV155" s="1033"/>
      <c r="AW155" s="1034"/>
      <c r="AX155" s="1059"/>
      <c r="AY155" s="1060"/>
      <c r="AZ155" s="1060"/>
      <c r="BA155" s="1034"/>
      <c r="BB155" s="1061"/>
      <c r="BD155" s="1033"/>
      <c r="BE155" s="1034"/>
      <c r="BF155" s="1059"/>
      <c r="BG155" s="1060"/>
      <c r="BH155" s="1060"/>
      <c r="BI155" s="1034"/>
      <c r="BJ155" s="1061"/>
      <c r="BK155" s="795"/>
      <c r="BL155" s="1062"/>
      <c r="BM155" s="1063"/>
      <c r="BN155" s="1064"/>
    </row>
    <row r="156" spans="2:66">
      <c r="B156" s="795" t="s">
        <v>476</v>
      </c>
      <c r="C156" s="795"/>
      <c r="D156" s="1065"/>
      <c r="E156" s="802"/>
      <c r="F156" s="795"/>
      <c r="G156" s="795"/>
      <c r="H156" s="795"/>
      <c r="I156" s="795"/>
      <c r="J156" s="1044"/>
      <c r="K156" s="802"/>
      <c r="L156" s="1037"/>
      <c r="M156" s="795"/>
      <c r="N156" s="1099"/>
      <c r="O156" s="795"/>
      <c r="P156" s="1100"/>
      <c r="Q156" s="795"/>
      <c r="R156" s="1101"/>
      <c r="T156" s="1041"/>
      <c r="W156" s="1067"/>
      <c r="X156" s="1067"/>
      <c r="Y156" s="802"/>
      <c r="Z156" s="1068"/>
      <c r="AB156" s="1026"/>
      <c r="AD156" s="1027"/>
      <c r="AF156" s="1036"/>
      <c r="AG156" s="795"/>
      <c r="AH156" s="1055"/>
      <c r="AI156" s="832"/>
      <c r="AJ156" s="832"/>
      <c r="AK156" s="795"/>
      <c r="AL156" s="1056"/>
      <c r="AN156" s="1033"/>
      <c r="AO156" s="1034"/>
      <c r="AP156" s="1059"/>
      <c r="AQ156" s="1060"/>
      <c r="AR156" s="1060"/>
      <c r="AS156" s="1034"/>
      <c r="AT156" s="1061"/>
      <c r="AV156" s="1033"/>
      <c r="AW156" s="1034"/>
      <c r="AX156" s="1059"/>
      <c r="AY156" s="1060"/>
      <c r="AZ156" s="1060"/>
      <c r="BA156" s="1034"/>
      <c r="BB156" s="1061"/>
      <c r="BD156" s="1033"/>
      <c r="BE156" s="1034"/>
      <c r="BF156" s="1059"/>
      <c r="BG156" s="1060"/>
      <c r="BH156" s="1060"/>
      <c r="BI156" s="1034"/>
      <c r="BJ156" s="1061"/>
      <c r="BK156" s="795"/>
      <c r="BL156" s="1062"/>
      <c r="BM156" s="1063"/>
      <c r="BN156" s="1064"/>
    </row>
    <row r="157" spans="2:66">
      <c r="B157" s="803" t="s">
        <v>477</v>
      </c>
      <c r="C157" s="795"/>
      <c r="D157" s="1042">
        <f>'Billing Units'!M36</f>
        <v>123625</v>
      </c>
      <c r="E157" s="832">
        <f>'Rate Inputs'!M36</f>
        <v>8.58</v>
      </c>
      <c r="F157" s="795" t="s">
        <v>394</v>
      </c>
      <c r="G157" s="832"/>
      <c r="H157" s="1043">
        <f>ROUND(E157*D157,0)</f>
        <v>1060703</v>
      </c>
      <c r="I157" s="795"/>
      <c r="J157" s="1066">
        <f>'Billing Units'!M74</f>
        <v>123625</v>
      </c>
      <c r="K157" s="1045">
        <f t="shared" ref="K157:K158" si="38">W157</f>
        <v>12.2</v>
      </c>
      <c r="L157" s="1037" t="str">
        <f>F157</f>
        <v>per kVA</v>
      </c>
      <c r="M157" s="832"/>
      <c r="N157" s="1046">
        <f>ROUND(K157*J157,0)</f>
        <v>1508225</v>
      </c>
      <c r="O157" s="1043"/>
      <c r="P157" s="1047">
        <f t="shared" ref="P157:P158" si="39">IF(AND(N157=0,NOT(H157=0)),0,N157-H157)</f>
        <v>447522</v>
      </c>
      <c r="Q157" s="1043"/>
      <c r="R157" s="1074">
        <f t="shared" ref="R157:R158" si="40">IF(D157=0,0,ROUND((N157-H157)/H157,9))</f>
        <v>0.421910752</v>
      </c>
      <c r="T157" s="1049"/>
      <c r="W157" s="1173">
        <f>INDEX($X157:$Z157,MATCH($D$6,$X$8:$Z$8,0))</f>
        <v>12.2</v>
      </c>
      <c r="X157" s="1051">
        <f>E157</f>
        <v>8.58</v>
      </c>
      <c r="Y157" s="1125">
        <f t="shared" ref="Y157:Y158" si="41">Z157</f>
        <v>12.2</v>
      </c>
      <c r="Z157" s="1126">
        <f t="shared" ref="Z157:Z158" si="42">BN157</f>
        <v>12.2</v>
      </c>
      <c r="AB157" s="1026"/>
      <c r="AD157" s="1027"/>
      <c r="AF157" s="1054">
        <f>H157</f>
        <v>1060703</v>
      </c>
      <c r="AG157" s="1043"/>
      <c r="AH157" s="1055"/>
      <c r="AI157" s="832">
        <v>8.58</v>
      </c>
      <c r="AJ157" s="832">
        <f t="shared" ref="AJ157:AJ158" si="43">AI157*$AH$162</f>
        <v>11.10384546281832</v>
      </c>
      <c r="AK157" s="1043" t="s">
        <v>394</v>
      </c>
      <c r="AL157" s="1056">
        <f>AJ157*J157</f>
        <v>1372712.8953409148</v>
      </c>
      <c r="AN157" s="1057">
        <v>1119716</v>
      </c>
      <c r="AO157" s="1058"/>
      <c r="AP157" s="1059"/>
      <c r="AQ157" s="1060">
        <v>8.58</v>
      </c>
      <c r="AR157" s="1060">
        <v>10.654658042213971</v>
      </c>
      <c r="AS157" s="1058" t="s">
        <v>394</v>
      </c>
      <c r="AT157" s="1061">
        <v>1390464.8384830498</v>
      </c>
      <c r="AV157" s="1057">
        <v>1060703</v>
      </c>
      <c r="AW157" s="1058"/>
      <c r="AX157" s="1059"/>
      <c r="AY157" s="1060">
        <v>8.58</v>
      </c>
      <c r="AZ157" s="1060">
        <v>12.439641935507407</v>
      </c>
      <c r="BA157" s="1058" t="s">
        <v>394</v>
      </c>
      <c r="BB157" s="1061">
        <v>1537850.7342771031</v>
      </c>
      <c r="BD157" s="1057">
        <v>1021174</v>
      </c>
      <c r="BE157" s="1058"/>
      <c r="BF157" s="1059"/>
      <c r="BG157" s="1060">
        <v>8.58</v>
      </c>
      <c r="BH157" s="1060">
        <v>12.222203753682987</v>
      </c>
      <c r="BI157" s="1058" t="s">
        <v>394</v>
      </c>
      <c r="BJ157" s="1061">
        <v>1454660.9956800556</v>
      </c>
      <c r="BK157" s="1043"/>
      <c r="BL157" s="1062">
        <f>ROUND(AR157,1)</f>
        <v>10.7</v>
      </c>
      <c r="BM157" s="1063">
        <f>ROUND(AZ157,1)</f>
        <v>12.4</v>
      </c>
      <c r="BN157" s="1064">
        <f>ROUND(BH157,1)</f>
        <v>12.2</v>
      </c>
    </row>
    <row r="158" spans="2:66">
      <c r="B158" s="803" t="s">
        <v>78</v>
      </c>
      <c r="C158" s="795"/>
      <c r="D158" s="1042">
        <f>'Billing Units'!N36</f>
        <v>0</v>
      </c>
      <c r="E158" s="832">
        <f>'Rate Inputs'!N36</f>
        <v>11.59</v>
      </c>
      <c r="F158" s="795" t="s">
        <v>394</v>
      </c>
      <c r="G158" s="832"/>
      <c r="H158" s="1043">
        <f>ROUND(E158*D158,0)</f>
        <v>0</v>
      </c>
      <c r="I158" s="795"/>
      <c r="J158" s="1066">
        <f>'Billing Units'!N74</f>
        <v>0</v>
      </c>
      <c r="K158" s="1045">
        <f t="shared" si="38"/>
        <v>16.5</v>
      </c>
      <c r="L158" s="1037" t="str">
        <f>F158</f>
        <v>per kVA</v>
      </c>
      <c r="M158" s="832"/>
      <c r="N158" s="1046">
        <f>ROUND(K158*J158,0)</f>
        <v>0</v>
      </c>
      <c r="O158" s="1043"/>
      <c r="P158" s="1047">
        <f t="shared" si="39"/>
        <v>0</v>
      </c>
      <c r="Q158" s="1043"/>
      <c r="R158" s="1074">
        <f t="shared" si="40"/>
        <v>0</v>
      </c>
      <c r="T158" s="1049"/>
      <c r="W158" s="1173">
        <f>INDEX($X158:$Z158,MATCH($D$6,$X$8:$Z$8,0))</f>
        <v>16.5</v>
      </c>
      <c r="X158" s="1051">
        <f>E158</f>
        <v>11.59</v>
      </c>
      <c r="Y158" s="1125">
        <f t="shared" si="41"/>
        <v>16.5</v>
      </c>
      <c r="Z158" s="1126">
        <f t="shared" si="42"/>
        <v>16.5</v>
      </c>
      <c r="AB158" s="1026"/>
      <c r="AD158" s="1027"/>
      <c r="AF158" s="1054"/>
      <c r="AG158" s="1043"/>
      <c r="AH158" s="1055"/>
      <c r="AI158" s="832">
        <v>11.59</v>
      </c>
      <c r="AJ158" s="832">
        <f t="shared" si="43"/>
        <v>14.999250456184654</v>
      </c>
      <c r="AK158" s="1043" t="s">
        <v>394</v>
      </c>
      <c r="AL158" s="1056"/>
      <c r="AN158" s="1057"/>
      <c r="AO158" s="1058"/>
      <c r="AP158" s="1059"/>
      <c r="AQ158" s="1060">
        <v>11.59</v>
      </c>
      <c r="AR158" s="1060">
        <v>14.392480968445211</v>
      </c>
      <c r="AS158" s="1058" t="s">
        <v>394</v>
      </c>
      <c r="AT158" s="1061"/>
      <c r="AV158" s="1057"/>
      <c r="AW158" s="1058"/>
      <c r="AX158" s="1059"/>
      <c r="AY158" s="1060">
        <v>11.59</v>
      </c>
      <c r="AZ158" s="1060">
        <v>16.803665504956975</v>
      </c>
      <c r="BA158" s="1058" t="s">
        <v>394</v>
      </c>
      <c r="BB158" s="1061"/>
      <c r="BD158" s="1057"/>
      <c r="BE158" s="1058"/>
      <c r="BF158" s="1059"/>
      <c r="BG158" s="1060">
        <v>11.59</v>
      </c>
      <c r="BH158" s="1060">
        <v>16.509946562375969</v>
      </c>
      <c r="BI158" s="1058" t="s">
        <v>394</v>
      </c>
      <c r="BJ158" s="1061"/>
      <c r="BK158" s="1043"/>
      <c r="BL158" s="1062">
        <f>ROUND(AR158,1)</f>
        <v>14.4</v>
      </c>
      <c r="BM158" s="1063">
        <f>ROUND(AZ158,1)</f>
        <v>16.8</v>
      </c>
      <c r="BN158" s="1064">
        <f>ROUND(BH158,1)</f>
        <v>16.5</v>
      </c>
    </row>
    <row r="159" spans="2:66">
      <c r="B159" s="803"/>
      <c r="C159" s="795"/>
      <c r="D159" s="1042"/>
      <c r="E159" s="832"/>
      <c r="F159" s="795"/>
      <c r="G159" s="832"/>
      <c r="H159" s="1043"/>
      <c r="I159" s="795"/>
      <c r="J159" s="1073"/>
      <c r="K159" s="832"/>
      <c r="L159" s="1037"/>
      <c r="M159" s="832"/>
      <c r="N159" s="1046"/>
      <c r="O159" s="1043"/>
      <c r="P159" s="1100"/>
      <c r="Q159" s="795"/>
      <c r="R159" s="1101"/>
      <c r="T159" s="1049"/>
      <c r="W159" s="1174"/>
      <c r="X159" s="1174"/>
      <c r="Y159" s="832"/>
      <c r="Z159" s="1056"/>
      <c r="AB159" s="1026"/>
      <c r="AD159" s="1027"/>
      <c r="AF159" s="1054"/>
      <c r="AG159" s="1043"/>
      <c r="AH159" s="1055"/>
      <c r="AI159" s="832"/>
      <c r="AJ159" s="832"/>
      <c r="AK159" s="1043"/>
      <c r="AL159" s="1056"/>
      <c r="AN159" s="1057"/>
      <c r="AO159" s="1058"/>
      <c r="AP159" s="1059"/>
      <c r="AQ159" s="1060"/>
      <c r="AR159" s="1060"/>
      <c r="AS159" s="1058"/>
      <c r="AT159" s="1061"/>
      <c r="AV159" s="1057"/>
      <c r="AW159" s="1058"/>
      <c r="AX159" s="1059"/>
      <c r="AY159" s="1060"/>
      <c r="AZ159" s="1060"/>
      <c r="BA159" s="1058"/>
      <c r="BB159" s="1061"/>
      <c r="BD159" s="1057"/>
      <c r="BE159" s="1058"/>
      <c r="BF159" s="1059"/>
      <c r="BG159" s="1060"/>
      <c r="BH159" s="1060"/>
      <c r="BI159" s="1058"/>
      <c r="BJ159" s="1061"/>
      <c r="BK159" s="1043"/>
      <c r="BL159" s="1062"/>
      <c r="BM159" s="1063"/>
      <c r="BN159" s="1064"/>
    </row>
    <row r="160" spans="2:66">
      <c r="B160" s="795" t="s">
        <v>462</v>
      </c>
      <c r="C160" s="795"/>
      <c r="D160" s="1042"/>
      <c r="E160" s="802"/>
      <c r="F160" s="795"/>
      <c r="G160" s="795"/>
      <c r="H160" s="795"/>
      <c r="I160" s="795"/>
      <c r="J160" s="1066"/>
      <c r="K160" s="802"/>
      <c r="L160" s="1037"/>
      <c r="M160" s="795"/>
      <c r="N160" s="1099"/>
      <c r="O160" s="795"/>
      <c r="P160" s="1100"/>
      <c r="Q160" s="795"/>
      <c r="R160" s="1101"/>
      <c r="T160" s="1041"/>
      <c r="W160" s="1067"/>
      <c r="X160" s="1067"/>
      <c r="Y160" s="802"/>
      <c r="Z160" s="1068"/>
      <c r="AB160" s="1026"/>
      <c r="AD160" s="1027"/>
      <c r="AF160" s="1036"/>
      <c r="AG160" s="795"/>
      <c r="AH160" s="1055"/>
      <c r="AI160" s="832"/>
      <c r="AJ160" s="832"/>
      <c r="AK160" s="795"/>
      <c r="AL160" s="1056"/>
      <c r="AN160" s="1033"/>
      <c r="AO160" s="1034"/>
      <c r="AP160" s="1059"/>
      <c r="AQ160" s="1060"/>
      <c r="AR160" s="1060"/>
      <c r="AS160" s="1034"/>
      <c r="AT160" s="1061"/>
      <c r="AV160" s="1033"/>
      <c r="AW160" s="1034"/>
      <c r="AX160" s="1059"/>
      <c r="AY160" s="1060"/>
      <c r="AZ160" s="1060"/>
      <c r="BA160" s="1034"/>
      <c r="BB160" s="1061"/>
      <c r="BD160" s="1033"/>
      <c r="BE160" s="1034"/>
      <c r="BF160" s="1059"/>
      <c r="BG160" s="1060"/>
      <c r="BH160" s="1060"/>
      <c r="BI160" s="1034"/>
      <c r="BJ160" s="1061"/>
      <c r="BK160" s="795"/>
      <c r="BL160" s="1062"/>
      <c r="BM160" s="1063"/>
      <c r="BN160" s="1064"/>
    </row>
    <row r="161" spans="2:66">
      <c r="B161" s="803" t="s">
        <v>474</v>
      </c>
      <c r="C161" s="795"/>
      <c r="D161" s="1042">
        <f>'Billing Units'!H36</f>
        <v>4200000</v>
      </c>
      <c r="E161" s="805">
        <f>'Rate Inputs'!H36+IF($D$7,$J$7,0)</f>
        <v>6.2231999999999996E-2</v>
      </c>
      <c r="F161" s="806" t="s">
        <v>157</v>
      </c>
      <c r="G161" s="795"/>
      <c r="H161" s="1043">
        <f>ROUND(E161*D161,0)</f>
        <v>261374</v>
      </c>
      <c r="I161" s="795"/>
      <c r="J161" s="1073">
        <f>'Billing Units'!H74</f>
        <v>4200000</v>
      </c>
      <c r="K161" s="1135">
        <f>IF(W$10,W161,(T162-SUM(N154:N158))/J161)</f>
        <v>4.7873735795896946E-2</v>
      </c>
      <c r="L161" s="1072" t="s">
        <v>157</v>
      </c>
      <c r="M161" s="795"/>
      <c r="N161" s="1046">
        <f>ROUND(K161*J161,0)</f>
        <v>201070</v>
      </c>
      <c r="O161" s="795"/>
      <c r="P161" s="1047">
        <f>IF(AND(N161=0,NOT(H161=0)),0,N161-H161)</f>
        <v>-60304</v>
      </c>
      <c r="Q161" s="1043"/>
      <c r="R161" s="1074">
        <f>IF(D161=0,0,ROUND((N161-H161)/H161,9))</f>
        <v>-0.23071919900000001</v>
      </c>
      <c r="T161" s="1049"/>
      <c r="W161" s="1137">
        <f>INDEX($X161:$Z161,MATCH($D$6,$X$8:$Z$8,0))</f>
        <v>0</v>
      </c>
      <c r="X161" s="1076"/>
      <c r="Y161" s="805"/>
      <c r="Z161" s="1077"/>
      <c r="AB161" s="1026"/>
      <c r="AD161" s="1027"/>
      <c r="AF161" s="1054">
        <f>H161</f>
        <v>261374</v>
      </c>
      <c r="AG161" s="1043"/>
      <c r="AH161" s="1055"/>
      <c r="AI161" s="832">
        <v>2.811E-2</v>
      </c>
      <c r="AJ161" s="832">
        <f>AI161*$AH$162</f>
        <v>3.6378682512799881E-2</v>
      </c>
      <c r="AK161" s="1043" t="s">
        <v>157</v>
      </c>
      <c r="AL161" s="1056">
        <f>AJ161*J161</f>
        <v>152790.4665537595</v>
      </c>
      <c r="AN161" s="1057">
        <v>124631</v>
      </c>
      <c r="AO161" s="1058"/>
      <c r="AP161" s="1059"/>
      <c r="AQ161" s="1060">
        <v>2.811E-2</v>
      </c>
      <c r="AR161" s="1060">
        <v>3.4907044005435282E-2</v>
      </c>
      <c r="AS161" s="1058" t="s">
        <v>157</v>
      </c>
      <c r="AT161" s="1061">
        <v>154766.45778968369</v>
      </c>
      <c r="AV161" s="1057">
        <v>118062</v>
      </c>
      <c r="AW161" s="1058"/>
      <c r="AX161" s="1059"/>
      <c r="AY161" s="1060">
        <v>2.811E-2</v>
      </c>
      <c r="AZ161" s="1060">
        <v>4.0755050676819719E-2</v>
      </c>
      <c r="BA161" s="1058" t="s">
        <v>157</v>
      </c>
      <c r="BB161" s="1061">
        <v>171171.21284264282</v>
      </c>
      <c r="BD161" s="1057">
        <v>113662</v>
      </c>
      <c r="BE161" s="1058"/>
      <c r="BF161" s="1059"/>
      <c r="BG161" s="1060">
        <v>2.811E-2</v>
      </c>
      <c r="BH161" s="1060">
        <v>4.0042674535667684E-2</v>
      </c>
      <c r="BI161" s="1058" t="s">
        <v>157</v>
      </c>
      <c r="BJ161" s="1061">
        <v>161911.73912758642</v>
      </c>
      <c r="BK161" s="1043"/>
      <c r="BL161" s="1062"/>
      <c r="BM161" s="1063"/>
      <c r="BN161" s="1064"/>
    </row>
    <row r="162" spans="2:66" ht="13.8" thickBot="1">
      <c r="B162" s="807" t="s">
        <v>498</v>
      </c>
      <c r="C162" s="808"/>
      <c r="D162" s="1080">
        <f>D161</f>
        <v>4200000</v>
      </c>
      <c r="E162" s="811"/>
      <c r="F162" s="811"/>
      <c r="G162" s="811"/>
      <c r="H162" s="1081">
        <f>SUM(H154, H157:H158,H161)</f>
        <v>1334597</v>
      </c>
      <c r="I162" s="808"/>
      <c r="J162" s="1082">
        <f>J161</f>
        <v>4200000</v>
      </c>
      <c r="K162" s="810"/>
      <c r="L162" s="1083"/>
      <c r="M162" s="811"/>
      <c r="N162" s="1084">
        <f>SUM(N154, N157:N158,N161)</f>
        <v>1727175</v>
      </c>
      <c r="O162" s="1081"/>
      <c r="P162" s="1085">
        <f>IF(AND(N162=0,NOT(H162=0)),0,N162-H162)</f>
        <v>392578</v>
      </c>
      <c r="Q162" s="1081"/>
      <c r="R162" s="1086">
        <f>IF(D162=0,0,ROUND((N162-H162)/H162,9))</f>
        <v>0.29415471500000001</v>
      </c>
      <c r="T162" s="1087">
        <f>INDEX('Revenue Summary'!$R$10:$R$38,MATCH(AB162,'Revenue Summary'!$B$10:$B$38,0))</f>
        <v>1727174.6903427672</v>
      </c>
      <c r="W162" s="1185"/>
      <c r="X162" s="1185"/>
      <c r="Y162" s="1186"/>
      <c r="Z162" s="1187"/>
      <c r="AB162" s="1188" t="str" cm="1">
        <f t="array" ref="AB162">INDEX(_xlfn.TEXTSPLIT(B162," "),2)</f>
        <v>PPBB</v>
      </c>
      <c r="AC162" s="1189"/>
      <c r="AD162" s="1190"/>
      <c r="AF162" s="1090">
        <f>H162</f>
        <v>1334597</v>
      </c>
      <c r="AG162" s="1081">
        <f>T162</f>
        <v>1727174.6903427672</v>
      </c>
      <c r="AH162" s="1149">
        <f>AG162/AF162</f>
        <v>1.2941544828459581</v>
      </c>
      <c r="AI162" s="1092"/>
      <c r="AJ162" s="1092"/>
      <c r="AK162" s="1081"/>
      <c r="AL162" s="1093">
        <f>SUM(AL154:AL161)</f>
        <v>1541706.5901493402</v>
      </c>
      <c r="AN162" s="1094">
        <v>1256867</v>
      </c>
      <c r="AO162" s="1095">
        <v>1560779.4976157746</v>
      </c>
      <c r="AP162" s="1152">
        <v>1.2418016366216749</v>
      </c>
      <c r="AQ162" s="1097"/>
      <c r="AR162" s="1097"/>
      <c r="AS162" s="1095"/>
      <c r="AT162" s="1098">
        <v>1560779.0501397606</v>
      </c>
      <c r="AV162" s="1094">
        <v>1191285</v>
      </c>
      <c r="AW162" s="1095">
        <v>1727174.6903427672</v>
      </c>
      <c r="AX162" s="1152">
        <v>1.4498417174251057</v>
      </c>
      <c r="AY162" s="1097"/>
      <c r="AZ162" s="1097"/>
      <c r="BA162" s="1095"/>
      <c r="BB162" s="1098">
        <v>1727174.4293712578</v>
      </c>
      <c r="BD162" s="1094">
        <v>1147356</v>
      </c>
      <c r="BE162" s="1095">
        <v>1634407.7867145336</v>
      </c>
      <c r="BF162" s="1152">
        <v>1.4244992719910241</v>
      </c>
      <c r="BG162" s="1097"/>
      <c r="BH162" s="1097"/>
      <c r="BI162" s="1095"/>
      <c r="BJ162" s="1098">
        <v>1634407.9215327366</v>
      </c>
      <c r="BK162" s="1081"/>
      <c r="BL162" s="1191"/>
      <c r="BM162" s="1192"/>
      <c r="BN162" s="1193"/>
    </row>
    <row r="163" spans="2:66" ht="13.8" thickTop="1">
      <c r="AF163" s="1194"/>
      <c r="AG163" s="1194">
        <f>H164</f>
        <v>1605744222</v>
      </c>
      <c r="AH163" s="1195"/>
      <c r="AL163" s="1194"/>
      <c r="AN163" s="1196"/>
      <c r="AO163" s="1196">
        <v>1118153534</v>
      </c>
      <c r="AP163" s="1197"/>
      <c r="AQ163" s="1030"/>
      <c r="AR163" s="1030"/>
      <c r="AS163" s="1030"/>
      <c r="AT163" s="1196"/>
      <c r="AV163" s="1196"/>
      <c r="AW163" s="1196">
        <v>1096076175</v>
      </c>
      <c r="AX163" s="1197"/>
      <c r="AY163" s="1030"/>
      <c r="AZ163" s="1030"/>
      <c r="BA163" s="1030"/>
      <c r="BB163" s="1196"/>
      <c r="BD163" s="1196"/>
      <c r="BE163" s="1196">
        <v>1062875145</v>
      </c>
      <c r="BF163" s="1197"/>
      <c r="BG163" s="1030"/>
      <c r="BH163" s="1030"/>
      <c r="BI163" s="1030"/>
      <c r="BJ163" s="1196"/>
    </row>
    <row r="164" spans="2:66">
      <c r="B164" s="773" t="s">
        <v>222</v>
      </c>
      <c r="D164" s="1198">
        <f>SUM(D162,D150,D142,D132,D124,D111,D98,D85,D72,D59,D51,D36,D27,D18,)</f>
        <v>15257603213.130104</v>
      </c>
      <c r="H164" s="1194">
        <f>SUM(H162,H150,H142,H132,H124,H111,H98,H85,H72,H59,H51,H36,H27,H18,)</f>
        <v>1605744222</v>
      </c>
      <c r="N164" s="1194">
        <f>SUM(N162,N150,N142,N132,N124,N111,N98,N85,N72,N59,N51,N36,N27,N18,)</f>
        <v>1718060463</v>
      </c>
      <c r="P164" s="1194">
        <f>H164-N164</f>
        <v>-112316241</v>
      </c>
      <c r="T164" s="1194">
        <f>SUM(T162,T150,T142,T132,T124,T111,T98,T85,T72,T59,T51,T36,T27,T18,)</f>
        <v>1718060464.5380676</v>
      </c>
      <c r="AL164" s="1194">
        <f>SUM(AL162,AL150,AL142,AL132,AL124,AL111,AL98,AL85,AL72,AL59,AL51,AL36,AL27,AL18,)</f>
        <v>1180194198.1477284</v>
      </c>
      <c r="AN164" s="1030"/>
      <c r="AO164" s="1030"/>
      <c r="AP164" s="1197"/>
      <c r="AQ164" s="1030"/>
      <c r="AR164" s="1030"/>
      <c r="AS164" s="1030"/>
      <c r="AT164" s="1196">
        <v>1626646141.8615139</v>
      </c>
      <c r="AV164" s="1030"/>
      <c r="AW164" s="1030"/>
      <c r="AX164" s="1197"/>
      <c r="AY164" s="1030"/>
      <c r="AZ164" s="1030"/>
      <c r="BA164" s="1030"/>
      <c r="BB164" s="1196">
        <v>1718059833.1250021</v>
      </c>
      <c r="BD164" s="1030"/>
      <c r="BE164" s="1030"/>
      <c r="BF164" s="1197"/>
      <c r="BG164" s="1030"/>
      <c r="BH164" s="1030"/>
      <c r="BI164" s="1030"/>
      <c r="BJ164" s="1196">
        <v>1623432457.5554185</v>
      </c>
    </row>
    <row r="165" spans="2:66">
      <c r="D165" s="1199" t="s">
        <v>603</v>
      </c>
    </row>
    <row r="166" spans="2:66">
      <c r="D166" s="773">
        <v>2028</v>
      </c>
      <c r="E166" s="773">
        <v>2027</v>
      </c>
      <c r="F166" s="773">
        <v>2028</v>
      </c>
      <c r="H166" s="1194"/>
      <c r="T166" s="1194"/>
    </row>
    <row r="167" spans="2:66">
      <c r="D167" s="1200">
        <v>2</v>
      </c>
      <c r="E167" s="1200">
        <v>2</v>
      </c>
      <c r="F167" s="1200">
        <v>2</v>
      </c>
    </row>
    <row r="168" spans="2:66">
      <c r="D168" s="1201"/>
      <c r="E168" s="1201"/>
      <c r="F168" s="1201"/>
    </row>
    <row r="169" spans="2:66">
      <c r="D169" s="1201"/>
      <c r="E169" s="1201"/>
      <c r="F169" s="1201"/>
    </row>
    <row r="170" spans="2:66">
      <c r="D170" s="1200">
        <v>130503</v>
      </c>
      <c r="E170" s="1200">
        <v>123625</v>
      </c>
      <c r="F170" s="1200">
        <v>123625</v>
      </c>
    </row>
    <row r="171" spans="2:66">
      <c r="D171" s="1200">
        <v>0</v>
      </c>
      <c r="E171" s="1200">
        <v>0</v>
      </c>
      <c r="F171" s="1200">
        <v>0</v>
      </c>
    </row>
    <row r="172" spans="2:66">
      <c r="D172" s="1200"/>
      <c r="E172" s="1200"/>
      <c r="F172" s="1200"/>
    </row>
    <row r="173" spans="2:66">
      <c r="D173" s="1200"/>
      <c r="E173" s="1200"/>
      <c r="F173" s="1200"/>
    </row>
    <row r="174" spans="2:66">
      <c r="D174" s="1200">
        <v>4433674.1250730203</v>
      </c>
      <c r="E174" s="1200">
        <v>4200000</v>
      </c>
      <c r="F174" s="1200">
        <v>4043479.6377890506</v>
      </c>
    </row>
    <row r="175" spans="2:66" ht="13.8" thickBot="1">
      <c r="D175" s="1202">
        <v>4433674.1250730203</v>
      </c>
      <c r="E175" s="1202">
        <v>4200000</v>
      </c>
      <c r="F175" s="1202">
        <v>4043479.6377890506</v>
      </c>
    </row>
    <row r="176" spans="2:66" ht="13.8" thickTop="1">
      <c r="D176" s="987"/>
    </row>
    <row r="177" spans="2:12">
      <c r="E177" s="987">
        <f>E170/D170-1</f>
        <v>-5.2703769262009259E-2</v>
      </c>
      <c r="F177" s="987">
        <f>F170/E170-1</f>
        <v>0</v>
      </c>
    </row>
    <row r="178" spans="2:12">
      <c r="D178" s="987"/>
      <c r="E178" s="987">
        <f>E174/D174-1</f>
        <v>-5.2704397860808494E-2</v>
      </c>
      <c r="F178" s="1203">
        <f>F174/E174-1</f>
        <v>-3.7266752907368916E-2</v>
      </c>
    </row>
    <row r="179" spans="2:12">
      <c r="B179" s="999" t="s">
        <v>605</v>
      </c>
      <c r="D179" s="987"/>
    </row>
    <row r="180" spans="2:12">
      <c r="B180" s="813" t="s">
        <v>384</v>
      </c>
      <c r="C180" s="813"/>
      <c r="D180" s="814"/>
      <c r="E180" s="814"/>
      <c r="F180" s="814"/>
      <c r="G180" s="814"/>
      <c r="H180" s="814"/>
      <c r="I180" s="814"/>
      <c r="J180" s="1204"/>
      <c r="K180" s="812"/>
      <c r="L180" s="812"/>
    </row>
    <row r="181" spans="2:12">
      <c r="B181" s="812"/>
      <c r="C181" s="812"/>
      <c r="D181" s="814"/>
      <c r="E181" s="814"/>
      <c r="F181" s="814"/>
      <c r="G181" s="814"/>
      <c r="H181" s="814"/>
      <c r="I181" s="814"/>
      <c r="J181" s="1204"/>
      <c r="K181" s="812"/>
      <c r="L181" s="812"/>
    </row>
    <row r="182" spans="2:12">
      <c r="B182" s="812" t="s">
        <v>461</v>
      </c>
      <c r="C182" s="812"/>
      <c r="D182" s="1205"/>
      <c r="E182" s="815"/>
      <c r="F182" s="814"/>
      <c r="G182" s="833"/>
      <c r="H182" s="1206"/>
      <c r="I182" s="814"/>
      <c r="J182" s="1207"/>
      <c r="K182" s="827"/>
      <c r="L182" s="812"/>
    </row>
    <row r="183" spans="2:12">
      <c r="B183" s="818" t="s">
        <v>63</v>
      </c>
      <c r="C183" s="812"/>
      <c r="D183" s="1205">
        <v>7702.666666666667</v>
      </c>
      <c r="E183" s="815">
        <v>30</v>
      </c>
      <c r="F183" s="814" t="s">
        <v>160</v>
      </c>
      <c r="G183" s="833"/>
      <c r="H183" s="1206">
        <v>2772960</v>
      </c>
      <c r="I183" s="814"/>
      <c r="J183" s="1207">
        <v>7702.666666666667</v>
      </c>
      <c r="K183" s="1208">
        <v>30</v>
      </c>
      <c r="L183" s="812" t="s">
        <v>160</v>
      </c>
    </row>
    <row r="184" spans="2:12">
      <c r="B184" s="818" t="s">
        <v>64</v>
      </c>
      <c r="C184" s="812"/>
      <c r="D184" s="1205">
        <v>35073.5</v>
      </c>
      <c r="E184" s="815">
        <v>40</v>
      </c>
      <c r="F184" s="814" t="s">
        <v>160</v>
      </c>
      <c r="G184" s="833"/>
      <c r="H184" s="1206">
        <v>16835280</v>
      </c>
      <c r="I184" s="814"/>
      <c r="J184" s="1207">
        <v>35073.5</v>
      </c>
      <c r="K184" s="1208">
        <v>40</v>
      </c>
      <c r="L184" s="812" t="s">
        <v>160</v>
      </c>
    </row>
    <row r="185" spans="2:12">
      <c r="B185" s="818" t="s">
        <v>65</v>
      </c>
      <c r="C185" s="812"/>
      <c r="D185" s="1205">
        <v>3766.5833333333335</v>
      </c>
      <c r="E185" s="815">
        <v>50</v>
      </c>
      <c r="F185" s="814" t="s">
        <v>160</v>
      </c>
      <c r="G185" s="833"/>
      <c r="H185" s="1206">
        <v>2259950</v>
      </c>
      <c r="I185" s="814"/>
      <c r="J185" s="1207">
        <v>3766.5833333333335</v>
      </c>
      <c r="K185" s="1208">
        <v>50</v>
      </c>
      <c r="L185" s="812" t="s">
        <v>160</v>
      </c>
    </row>
    <row r="186" spans="2:12">
      <c r="B186" s="812"/>
      <c r="C186" s="812"/>
      <c r="D186" s="1209"/>
      <c r="E186" s="816"/>
      <c r="F186" s="814"/>
      <c r="G186" s="814"/>
      <c r="H186" s="814"/>
      <c r="I186" s="814"/>
      <c r="J186" s="1209"/>
      <c r="K186" s="817"/>
      <c r="L186" s="812"/>
    </row>
    <row r="187" spans="2:12">
      <c r="B187" s="812" t="s">
        <v>462</v>
      </c>
      <c r="C187" s="812"/>
      <c r="D187" s="1205"/>
      <c r="E187" s="816"/>
      <c r="F187" s="814"/>
      <c r="G187" s="814"/>
      <c r="H187" s="1206"/>
      <c r="I187" s="814"/>
      <c r="J187" s="1209"/>
      <c r="K187" s="817"/>
      <c r="L187" s="812"/>
    </row>
    <row r="188" spans="2:12">
      <c r="B188" s="818" t="s">
        <v>469</v>
      </c>
      <c r="C188" s="812"/>
      <c r="D188" s="1205">
        <v>5216865.7330633868</v>
      </c>
      <c r="E188" s="1210">
        <v>7.4830500709950232E-2</v>
      </c>
      <c r="F188" s="1211" t="s">
        <v>157</v>
      </c>
      <c r="G188" s="814"/>
      <c r="H188" s="1206">
        <v>390381</v>
      </c>
      <c r="I188" s="814"/>
      <c r="J188" s="1205">
        <v>5216865.7330633868</v>
      </c>
      <c r="K188" s="1168">
        <v>7.4830500709950232E-2</v>
      </c>
      <c r="L188" s="820" t="s">
        <v>157</v>
      </c>
    </row>
    <row r="189" spans="2:12">
      <c r="B189" s="818" t="s">
        <v>470</v>
      </c>
      <c r="C189" s="812"/>
      <c r="D189" s="1205">
        <v>89775491.263406321</v>
      </c>
      <c r="E189" s="1210">
        <v>7.4830500709950232E-2</v>
      </c>
      <c r="F189" s="1211" t="s">
        <v>157</v>
      </c>
      <c r="G189" s="1211"/>
      <c r="H189" s="1206">
        <v>6717945</v>
      </c>
      <c r="I189" s="814"/>
      <c r="J189" s="1205">
        <v>89775491.263406321</v>
      </c>
      <c r="K189" s="1168">
        <v>7.4830500709950232E-2</v>
      </c>
      <c r="L189" s="820" t="s">
        <v>157</v>
      </c>
    </row>
    <row r="190" spans="2:12">
      <c r="B190" s="818" t="s">
        <v>471</v>
      </c>
      <c r="C190" s="812"/>
      <c r="D190" s="1205">
        <v>19469064.752904166</v>
      </c>
      <c r="E190" s="1210">
        <v>7.4830500709950232E-2</v>
      </c>
      <c r="F190" s="1211" t="s">
        <v>157</v>
      </c>
      <c r="G190" s="1211"/>
      <c r="H190" s="1206">
        <v>1456880</v>
      </c>
      <c r="I190" s="814"/>
      <c r="J190" s="1205">
        <v>19469064.752904166</v>
      </c>
      <c r="K190" s="1168">
        <v>7.4830500709950232E-2</v>
      </c>
      <c r="L190" s="820" t="s">
        <v>157</v>
      </c>
    </row>
    <row r="191" spans="2:12">
      <c r="B191" s="818"/>
      <c r="C191" s="812"/>
      <c r="D191" s="1205"/>
      <c r="E191" s="819"/>
      <c r="F191" s="1211"/>
      <c r="G191" s="1211"/>
      <c r="H191" s="1206"/>
      <c r="I191" s="814"/>
      <c r="J191" s="1205"/>
      <c r="K191" s="828"/>
      <c r="L191" s="820"/>
    </row>
    <row r="192" spans="2:12">
      <c r="B192" s="818" t="s">
        <v>472</v>
      </c>
      <c r="C192" s="812"/>
      <c r="D192" s="1205">
        <v>163716420.05846187</v>
      </c>
      <c r="E192" s="819">
        <v>1.9190500709950226E-2</v>
      </c>
      <c r="F192" s="1211" t="s">
        <v>157</v>
      </c>
      <c r="G192" s="1211"/>
      <c r="H192" s="1206">
        <v>3141800</v>
      </c>
      <c r="I192" s="814"/>
      <c r="J192" s="1205"/>
      <c r="K192" s="828"/>
      <c r="L192" s="820"/>
    </row>
    <row r="193" spans="2:12" ht="13.8" thickBot="1">
      <c r="B193" s="821" t="s">
        <v>473</v>
      </c>
      <c r="C193" s="822"/>
      <c r="D193" s="1212">
        <v>278177841.80783576</v>
      </c>
      <c r="E193" s="823"/>
      <c r="F193" s="823"/>
      <c r="G193" s="823"/>
      <c r="H193" s="1213">
        <v>33575196</v>
      </c>
      <c r="I193" s="1214"/>
      <c r="J193" s="1212">
        <v>114461421.74937387</v>
      </c>
      <c r="K193" s="824"/>
      <c r="L193" s="825"/>
    </row>
    <row r="194" spans="2:12" ht="13.8" thickTop="1">
      <c r="F194" s="1215" t="s">
        <v>606</v>
      </c>
      <c r="H194" s="1216">
        <f>H192/SUM(D188:D190)</f>
        <v>2.7448549493639209E-2</v>
      </c>
    </row>
  </sheetData>
  <mergeCells count="9">
    <mergeCell ref="BL7:BN7"/>
    <mergeCell ref="BD7:BJ7"/>
    <mergeCell ref="B2:D2"/>
    <mergeCell ref="AN7:AT7"/>
    <mergeCell ref="AV7:BB7"/>
    <mergeCell ref="X7:Z7"/>
    <mergeCell ref="N7:R7"/>
    <mergeCell ref="AB7:AD7"/>
    <mergeCell ref="AF7:AL7"/>
  </mergeCells>
  <phoneticPr fontId="12" type="noConversion"/>
  <conditionalFormatting sqref="L22:M22 V10 V12 X13:Z19 X22:Z28 X31:Z162">
    <cfRule type="expression" dxfId="197" priority="301">
      <formula>HideProposed</formula>
    </cfRule>
  </conditionalFormatting>
  <conditionalFormatting sqref="L25:M26">
    <cfRule type="expression" dxfId="196" priority="343">
      <formula>HideProposed</formula>
    </cfRule>
  </conditionalFormatting>
  <conditionalFormatting sqref="L31:M31">
    <cfRule type="expression" dxfId="195" priority="300">
      <formula>HideProposed</formula>
    </cfRule>
  </conditionalFormatting>
  <conditionalFormatting sqref="L34:M35">
    <cfRule type="expression" dxfId="194" priority="342">
      <formula>HideProposed</formula>
    </cfRule>
  </conditionalFormatting>
  <conditionalFormatting sqref="L41:M43">
    <cfRule type="expression" dxfId="193" priority="299">
      <formula>HideProposed</formula>
    </cfRule>
  </conditionalFormatting>
  <conditionalFormatting sqref="K46:M51">
    <cfRule type="expression" dxfId="192" priority="465">
      <formula>HideProposed</formula>
    </cfRule>
  </conditionalFormatting>
  <conditionalFormatting sqref="L55:M55">
    <cfRule type="expression" dxfId="191" priority="298">
      <formula>HideProposed</formula>
    </cfRule>
  </conditionalFormatting>
  <conditionalFormatting sqref="K70:M71">
    <cfRule type="expression" dxfId="190" priority="341">
      <formula>HideProposed</formula>
    </cfRule>
  </conditionalFormatting>
  <conditionalFormatting sqref="L76:M76">
    <cfRule type="expression" dxfId="189" priority="297">
      <formula>HideProposed</formula>
    </cfRule>
  </conditionalFormatting>
  <conditionalFormatting sqref="L79:M80">
    <cfRule type="expression" dxfId="188" priority="296">
      <formula>HideProposed</formula>
    </cfRule>
  </conditionalFormatting>
  <conditionalFormatting sqref="K83:M84">
    <cfRule type="expression" dxfId="187" priority="340">
      <formula>HideProposed</formula>
    </cfRule>
  </conditionalFormatting>
  <conditionalFormatting sqref="L89:M89">
    <cfRule type="expression" dxfId="186" priority="295">
      <formula>HideProposed</formula>
    </cfRule>
  </conditionalFormatting>
  <conditionalFormatting sqref="L92:M93">
    <cfRule type="expression" dxfId="185" priority="294">
      <formula>HideProposed</formula>
    </cfRule>
  </conditionalFormatting>
  <conditionalFormatting sqref="K96:M97">
    <cfRule type="expression" dxfId="184" priority="339">
      <formula>HideProposed</formula>
    </cfRule>
  </conditionalFormatting>
  <conditionalFormatting sqref="L102:M102">
    <cfRule type="expression" dxfId="183" priority="293">
      <formula>HideProposed</formula>
    </cfRule>
  </conditionalFormatting>
  <conditionalFormatting sqref="L105:M106">
    <cfRule type="expression" dxfId="182" priority="292">
      <formula>HideProposed</formula>
    </cfRule>
  </conditionalFormatting>
  <conditionalFormatting sqref="K109:M110">
    <cfRule type="expression" dxfId="181" priority="338">
      <formula>HideProposed</formula>
    </cfRule>
  </conditionalFormatting>
  <conditionalFormatting sqref="L115:M115">
    <cfRule type="expression" dxfId="180" priority="291">
      <formula>HideProposed</formula>
    </cfRule>
  </conditionalFormatting>
  <conditionalFormatting sqref="L118:M119">
    <cfRule type="expression" dxfId="179" priority="290">
      <formula>HideProposed</formula>
    </cfRule>
  </conditionalFormatting>
  <conditionalFormatting sqref="K122:M123">
    <cfRule type="expression" dxfId="178" priority="337">
      <formula>HideProposed</formula>
    </cfRule>
  </conditionalFormatting>
  <conditionalFormatting sqref="L128:M128">
    <cfRule type="expression" dxfId="177" priority="289">
      <formula>HideProposed</formula>
    </cfRule>
  </conditionalFormatting>
  <conditionalFormatting sqref="K131:M132">
    <cfRule type="expression" dxfId="176" priority="336">
      <formula>HideProposed</formula>
    </cfRule>
  </conditionalFormatting>
  <conditionalFormatting sqref="L136:M136">
    <cfRule type="expression" dxfId="175" priority="288">
      <formula>HideProposed</formula>
    </cfRule>
  </conditionalFormatting>
  <conditionalFormatting sqref="K141:M142 L139:M140">
    <cfRule type="expression" dxfId="174" priority="287">
      <formula>HideProposed</formula>
    </cfRule>
  </conditionalFormatting>
  <conditionalFormatting sqref="L146:M146">
    <cfRule type="expression" dxfId="173" priority="286">
      <formula>HideProposed</formula>
    </cfRule>
  </conditionalFormatting>
  <conditionalFormatting sqref="K149:M150">
    <cfRule type="expression" dxfId="172" priority="335">
      <formula>HideProposed</formula>
    </cfRule>
  </conditionalFormatting>
  <conditionalFormatting sqref="L154:M154">
    <cfRule type="expression" dxfId="171" priority="285">
      <formula>HideProposed</formula>
    </cfRule>
  </conditionalFormatting>
  <conditionalFormatting sqref="L157:M158">
    <cfRule type="expression" dxfId="170" priority="284">
      <formula>HideProposed</formula>
    </cfRule>
  </conditionalFormatting>
  <conditionalFormatting sqref="K161:M162">
    <cfRule type="expression" dxfId="169" priority="422">
      <formula>HideProposed</formula>
    </cfRule>
  </conditionalFormatting>
  <conditionalFormatting sqref="K10:R12 K13:M13 O13:Q13 K14:R15 L16:M17 O16:R17 K56:R57 K59:M59 O58:R59 K60:R62 O63:R63 K64:R65 O66:R67 K68:R69 O70:R71 L58:M58 K63:M63 K66:M67">
    <cfRule type="expression" dxfId="168" priority="516">
      <formula>HideProposed</formula>
    </cfRule>
  </conditionalFormatting>
  <conditionalFormatting sqref="K23:R24 K18:R21">
    <cfRule type="expression" dxfId="167" priority="476">
      <formula>HideProposed</formula>
    </cfRule>
  </conditionalFormatting>
  <conditionalFormatting sqref="K27:R30 K32:R33">
    <cfRule type="expression" dxfId="166" priority="473">
      <formula>HideProposed</formula>
    </cfRule>
  </conditionalFormatting>
  <conditionalFormatting sqref="K36:R40 K44:R45">
    <cfRule type="expression" dxfId="165" priority="470">
      <formula>HideProposed</formula>
    </cfRule>
  </conditionalFormatting>
  <conditionalFormatting sqref="K52:R54">
    <cfRule type="expression" dxfId="164" priority="464">
      <formula>HideProposed</formula>
    </cfRule>
  </conditionalFormatting>
  <conditionalFormatting sqref="K72:R75 K77:R78 K81:R82">
    <cfRule type="expression" dxfId="163" priority="449">
      <formula>HideProposed</formula>
    </cfRule>
  </conditionalFormatting>
  <conditionalFormatting sqref="K85:R88 K90:R91 K94:R95">
    <cfRule type="expression" dxfId="162" priority="446">
      <formula>HideProposed</formula>
    </cfRule>
  </conditionalFormatting>
  <conditionalFormatting sqref="K98:R101 K103:R104 K107:R108">
    <cfRule type="expression" dxfId="161" priority="443">
      <formula>HideProposed</formula>
    </cfRule>
  </conditionalFormatting>
  <conditionalFormatting sqref="K111:R114 K116:R117 K120:R121">
    <cfRule type="expression" dxfId="160" priority="440">
      <formula>HideProposed</formula>
    </cfRule>
  </conditionalFormatting>
  <conditionalFormatting sqref="K124:R127">
    <cfRule type="expression" dxfId="159" priority="437">
      <formula>HideProposed</formula>
    </cfRule>
  </conditionalFormatting>
  <conditionalFormatting sqref="K129:R130">
    <cfRule type="expression" dxfId="158" priority="438">
      <formula>HideProposed</formula>
    </cfRule>
  </conditionalFormatting>
  <conditionalFormatting sqref="K133:R135 K137:R138">
    <cfRule type="expression" dxfId="157" priority="431">
      <formula>HideProposed</formula>
    </cfRule>
  </conditionalFormatting>
  <conditionalFormatting sqref="K143:R145">
    <cfRule type="expression" dxfId="156" priority="424">
      <formula>HideProposed</formula>
    </cfRule>
  </conditionalFormatting>
  <conditionalFormatting sqref="K147:R148">
    <cfRule type="expression" dxfId="155" priority="428">
      <formula>HideProposed</formula>
    </cfRule>
  </conditionalFormatting>
  <conditionalFormatting sqref="K151:R153">
    <cfRule type="expression" dxfId="154" priority="421">
      <formula>HideProposed</formula>
    </cfRule>
  </conditionalFormatting>
  <conditionalFormatting sqref="K155:R156 K159:R160">
    <cfRule type="expression" dxfId="153" priority="417">
      <formula>HideProposed</formula>
    </cfRule>
  </conditionalFormatting>
  <conditionalFormatting sqref="O22:R22">
    <cfRule type="expression" dxfId="152" priority="416">
      <formula>HideProposed</formula>
    </cfRule>
  </conditionalFormatting>
  <conditionalFormatting sqref="O25:R26">
    <cfRule type="expression" dxfId="151" priority="414">
      <formula>HideProposed</formula>
    </cfRule>
  </conditionalFormatting>
  <conditionalFormatting sqref="O31:R31">
    <cfRule type="expression" dxfId="150" priority="413">
      <formula>HideProposed</formula>
    </cfRule>
  </conditionalFormatting>
  <conditionalFormatting sqref="O34:R35">
    <cfRule type="expression" dxfId="149" priority="411">
      <formula>HideProposed</formula>
    </cfRule>
  </conditionalFormatting>
  <conditionalFormatting sqref="O41:R43">
    <cfRule type="expression" dxfId="148" priority="410">
      <formula>HideProposed</formula>
    </cfRule>
  </conditionalFormatting>
  <conditionalFormatting sqref="O46:R51">
    <cfRule type="expression" dxfId="147" priority="409">
      <formula>HideProposed</formula>
    </cfRule>
  </conditionalFormatting>
  <conditionalFormatting sqref="O55:R55">
    <cfRule type="expression" dxfId="146" priority="408">
      <formula>HideProposed</formula>
    </cfRule>
  </conditionalFormatting>
  <conditionalFormatting sqref="O76:R76">
    <cfRule type="expression" dxfId="145" priority="407">
      <formula>HideProposed</formula>
    </cfRule>
  </conditionalFormatting>
  <conditionalFormatting sqref="O79:R80">
    <cfRule type="expression" dxfId="144" priority="406">
      <formula>HideProposed</formula>
    </cfRule>
  </conditionalFormatting>
  <conditionalFormatting sqref="O83:R84">
    <cfRule type="expression" dxfId="143" priority="405">
      <formula>HideProposed</formula>
    </cfRule>
  </conditionalFormatting>
  <conditionalFormatting sqref="O89:R89">
    <cfRule type="expression" dxfId="142" priority="404">
      <formula>HideProposed</formula>
    </cfRule>
  </conditionalFormatting>
  <conditionalFormatting sqref="O92:R93">
    <cfRule type="expression" dxfId="141" priority="403">
      <formula>HideProposed</formula>
    </cfRule>
  </conditionalFormatting>
  <conditionalFormatting sqref="O96:R97">
    <cfRule type="expression" dxfId="140" priority="402">
      <formula>HideProposed</formula>
    </cfRule>
  </conditionalFormatting>
  <conditionalFormatting sqref="O102:R102">
    <cfRule type="expression" dxfId="139" priority="401">
      <formula>HideProposed</formula>
    </cfRule>
  </conditionalFormatting>
  <conditionalFormatting sqref="O105:R106">
    <cfRule type="expression" dxfId="138" priority="400">
      <formula>HideProposed</formula>
    </cfRule>
  </conditionalFormatting>
  <conditionalFormatting sqref="O109:R110">
    <cfRule type="expression" dxfId="137" priority="399">
      <formula>HideProposed</formula>
    </cfRule>
  </conditionalFormatting>
  <conditionalFormatting sqref="O115:R115">
    <cfRule type="expression" dxfId="136" priority="398">
      <formula>HideProposed</formula>
    </cfRule>
  </conditionalFormatting>
  <conditionalFormatting sqref="O118:R119">
    <cfRule type="expression" dxfId="135" priority="397">
      <formula>HideProposed</formula>
    </cfRule>
  </conditionalFormatting>
  <conditionalFormatting sqref="O122:R123">
    <cfRule type="expression" dxfId="134" priority="396">
      <formula>HideProposed</formula>
    </cfRule>
  </conditionalFormatting>
  <conditionalFormatting sqref="O128:R128">
    <cfRule type="expression" dxfId="133" priority="395">
      <formula>HideProposed</formula>
    </cfRule>
  </conditionalFormatting>
  <conditionalFormatting sqref="O131:R132">
    <cfRule type="expression" dxfId="132" priority="394">
      <formula>HideProposed</formula>
    </cfRule>
  </conditionalFormatting>
  <conditionalFormatting sqref="O136:R136">
    <cfRule type="expression" dxfId="131" priority="393">
      <formula>HideProposed</formula>
    </cfRule>
  </conditionalFormatting>
  <conditionalFormatting sqref="O139:R142">
    <cfRule type="expression" dxfId="130" priority="392">
      <formula>HideProposed</formula>
    </cfRule>
  </conditionalFormatting>
  <conditionalFormatting sqref="O146:R146">
    <cfRule type="expression" dxfId="129" priority="391">
      <formula>HideProposed</formula>
    </cfRule>
  </conditionalFormatting>
  <conditionalFormatting sqref="O149:R150">
    <cfRule type="expression" dxfId="128" priority="390">
      <formula>HideProposed</formula>
    </cfRule>
  </conditionalFormatting>
  <conditionalFormatting sqref="O154:R154">
    <cfRule type="expression" dxfId="127" priority="389">
      <formula>HideProposed</formula>
    </cfRule>
  </conditionalFormatting>
  <conditionalFormatting sqref="O157:R158">
    <cfRule type="expression" dxfId="126" priority="388">
      <formula>HideProposed</formula>
    </cfRule>
  </conditionalFormatting>
  <conditionalFormatting sqref="O161:R162">
    <cfRule type="expression" dxfId="125" priority="387">
      <formula>HideProposed</formula>
    </cfRule>
  </conditionalFormatting>
  <conditionalFormatting sqref="T10:T12 T14:T15 T56:T57 T64:T65 T68:T69">
    <cfRule type="expression" dxfId="124" priority="372">
      <formula>HideProposed</formula>
    </cfRule>
  </conditionalFormatting>
  <conditionalFormatting sqref="T18:T21 T23:T24">
    <cfRule type="expression" dxfId="123" priority="371">
      <formula>HideProposed</formula>
    </cfRule>
  </conditionalFormatting>
  <conditionalFormatting sqref="T27:T30">
    <cfRule type="expression" dxfId="122" priority="356">
      <formula>HideProposed</formula>
    </cfRule>
  </conditionalFormatting>
  <conditionalFormatting sqref="T32:T33">
    <cfRule type="expression" dxfId="121" priority="370">
      <formula>HideProposed</formula>
    </cfRule>
  </conditionalFormatting>
  <conditionalFormatting sqref="T36:T40">
    <cfRule type="expression" dxfId="120" priority="355">
      <formula>HideProposed</formula>
    </cfRule>
  </conditionalFormatting>
  <conditionalFormatting sqref="T44:T45">
    <cfRule type="expression" dxfId="119" priority="369">
      <formula>HideProposed</formula>
    </cfRule>
  </conditionalFormatting>
  <conditionalFormatting sqref="T51:T54">
    <cfRule type="expression" dxfId="118" priority="354">
      <formula>HideProposed</formula>
    </cfRule>
  </conditionalFormatting>
  <conditionalFormatting sqref="T59:T62">
    <cfRule type="expression" dxfId="117" priority="353">
      <formula>HideProposed</formula>
    </cfRule>
  </conditionalFormatting>
  <conditionalFormatting sqref="T72:T75">
    <cfRule type="expression" dxfId="116" priority="352">
      <formula>HideProposed</formula>
    </cfRule>
  </conditionalFormatting>
  <conditionalFormatting sqref="T77:T78 T81:T82">
    <cfRule type="expression" dxfId="115" priority="367">
      <formula>HideProposed</formula>
    </cfRule>
  </conditionalFormatting>
  <conditionalFormatting sqref="T85:T88">
    <cfRule type="expression" dxfId="114" priority="351">
      <formula>HideProposed</formula>
    </cfRule>
  </conditionalFormatting>
  <conditionalFormatting sqref="T90:T91 T94:T95">
    <cfRule type="expression" dxfId="113" priority="366">
      <formula>HideProposed</formula>
    </cfRule>
  </conditionalFormatting>
  <conditionalFormatting sqref="T98:T101">
    <cfRule type="expression" dxfId="112" priority="350">
      <formula>HideProposed</formula>
    </cfRule>
  </conditionalFormatting>
  <conditionalFormatting sqref="T103:T104 T107:T108">
    <cfRule type="expression" dxfId="111" priority="365">
      <formula>HideProposed</formula>
    </cfRule>
  </conditionalFormatting>
  <conditionalFormatting sqref="T111:T114">
    <cfRule type="expression" dxfId="110" priority="349">
      <formula>HideProposed</formula>
    </cfRule>
  </conditionalFormatting>
  <conditionalFormatting sqref="T116:T117 T120:T121">
    <cfRule type="expression" dxfId="109" priority="364">
      <formula>HideProposed</formula>
    </cfRule>
  </conditionalFormatting>
  <conditionalFormatting sqref="T124:T127">
    <cfRule type="expression" dxfId="108" priority="348">
      <formula>HideProposed</formula>
    </cfRule>
  </conditionalFormatting>
  <conditionalFormatting sqref="T129:T130">
    <cfRule type="expression" dxfId="107" priority="363">
      <formula>HideProposed</formula>
    </cfRule>
  </conditionalFormatting>
  <conditionalFormatting sqref="T132:T135">
    <cfRule type="expression" dxfId="106" priority="347">
      <formula>HideProposed</formula>
    </cfRule>
  </conditionalFormatting>
  <conditionalFormatting sqref="T137:T138">
    <cfRule type="expression" dxfId="105" priority="361">
      <formula>HideProposed</formula>
    </cfRule>
  </conditionalFormatting>
  <conditionalFormatting sqref="T142:T145">
    <cfRule type="expression" dxfId="104" priority="346">
      <formula>HideProposed</formula>
    </cfRule>
  </conditionalFormatting>
  <conditionalFormatting sqref="T147:T148">
    <cfRule type="expression" dxfId="103" priority="360">
      <formula>HideProposed</formula>
    </cfRule>
  </conditionalFormatting>
  <conditionalFormatting sqref="T150:T153">
    <cfRule type="expression" dxfId="102" priority="345">
      <formula>HideProposed</formula>
    </cfRule>
  </conditionalFormatting>
  <conditionalFormatting sqref="T155:T156 T159:T160">
    <cfRule type="expression" dxfId="101" priority="357">
      <formula>HideProposed</formula>
    </cfRule>
  </conditionalFormatting>
  <conditionalFormatting sqref="T162">
    <cfRule type="expression" dxfId="100" priority="344">
      <formula>HideProposed</formula>
    </cfRule>
  </conditionalFormatting>
  <conditionalFormatting sqref="K58">
    <cfRule type="expression" dxfId="99" priority="96">
      <formula>HideProposed</formula>
    </cfRule>
  </conditionalFormatting>
  <conditionalFormatting sqref="K16:K17">
    <cfRule type="expression" dxfId="98" priority="95">
      <formula>HideProposed</formula>
    </cfRule>
  </conditionalFormatting>
  <conditionalFormatting sqref="W13:W19 W22:W28 W31:W162">
    <cfRule type="expression" dxfId="97" priority="74">
      <formula>HideProposed</formula>
    </cfRule>
  </conditionalFormatting>
  <conditionalFormatting sqref="K22">
    <cfRule type="expression" dxfId="96" priority="73">
      <formula>HideProposed</formula>
    </cfRule>
  </conditionalFormatting>
  <conditionalFormatting sqref="K31">
    <cfRule type="expression" dxfId="95" priority="72">
      <formula>HideProposed</formula>
    </cfRule>
  </conditionalFormatting>
  <conditionalFormatting sqref="K41:K43">
    <cfRule type="expression" dxfId="94" priority="71">
      <formula>HideProposed</formula>
    </cfRule>
  </conditionalFormatting>
  <conditionalFormatting sqref="K55">
    <cfRule type="expression" dxfId="93" priority="70">
      <formula>HideProposed</formula>
    </cfRule>
  </conditionalFormatting>
  <conditionalFormatting sqref="K76">
    <cfRule type="expression" dxfId="92" priority="69">
      <formula>HideProposed</formula>
    </cfRule>
  </conditionalFormatting>
  <conditionalFormatting sqref="K79:K80">
    <cfRule type="expression" dxfId="91" priority="68">
      <formula>HideProposed</formula>
    </cfRule>
  </conditionalFormatting>
  <conditionalFormatting sqref="K89">
    <cfRule type="expression" dxfId="90" priority="67">
      <formula>HideProposed</formula>
    </cfRule>
  </conditionalFormatting>
  <conditionalFormatting sqref="K92:K93">
    <cfRule type="expression" dxfId="89" priority="66">
      <formula>HideProposed</formula>
    </cfRule>
  </conditionalFormatting>
  <conditionalFormatting sqref="K102">
    <cfRule type="expression" dxfId="88" priority="65">
      <formula>HideProposed</formula>
    </cfRule>
  </conditionalFormatting>
  <conditionalFormatting sqref="K105:K106">
    <cfRule type="expression" dxfId="87" priority="64">
      <formula>HideProposed</formula>
    </cfRule>
  </conditionalFormatting>
  <conditionalFormatting sqref="K115">
    <cfRule type="expression" dxfId="86" priority="63">
      <formula>HideProposed</formula>
    </cfRule>
  </conditionalFormatting>
  <conditionalFormatting sqref="K118:K119">
    <cfRule type="expression" dxfId="85" priority="62">
      <formula>HideProposed</formula>
    </cfRule>
  </conditionalFormatting>
  <conditionalFormatting sqref="K128">
    <cfRule type="expression" dxfId="84" priority="61">
      <formula>HideProposed</formula>
    </cfRule>
  </conditionalFormatting>
  <conditionalFormatting sqref="K136">
    <cfRule type="expression" dxfId="83" priority="60">
      <formula>HideProposed</formula>
    </cfRule>
  </conditionalFormatting>
  <conditionalFormatting sqref="K139:K140">
    <cfRule type="expression" dxfId="82" priority="59">
      <formula>HideProposed</formula>
    </cfRule>
  </conditionalFormatting>
  <conditionalFormatting sqref="K146">
    <cfRule type="expression" dxfId="81" priority="58">
      <formula>HideProposed</formula>
    </cfRule>
  </conditionalFormatting>
  <conditionalFormatting sqref="K154">
    <cfRule type="expression" dxfId="80" priority="57">
      <formula>HideProposed</formula>
    </cfRule>
  </conditionalFormatting>
  <conditionalFormatting sqref="K157:K158">
    <cfRule type="expression" dxfId="79" priority="56">
      <formula>HideProposed</formula>
    </cfRule>
  </conditionalFormatting>
  <conditionalFormatting sqref="K25">
    <cfRule type="expression" dxfId="78" priority="55">
      <formula>HideProposed</formula>
    </cfRule>
  </conditionalFormatting>
  <conditionalFormatting sqref="K26">
    <cfRule type="expression" dxfId="77" priority="54">
      <formula>HideProposed</formula>
    </cfRule>
  </conditionalFormatting>
  <conditionalFormatting sqref="R13">
    <cfRule type="expression" dxfId="76" priority="51">
      <formula>HideProposed</formula>
    </cfRule>
  </conditionalFormatting>
  <conditionalFormatting sqref="V20:V21">
    <cfRule type="expression" dxfId="75" priority="14">
      <formula>HideProposed</formula>
    </cfRule>
  </conditionalFormatting>
  <conditionalFormatting sqref="V30">
    <cfRule type="expression" dxfId="74" priority="12">
      <formula>HideProposed</formula>
    </cfRule>
  </conditionalFormatting>
  <conditionalFormatting sqref="K34">
    <cfRule type="expression" dxfId="73" priority="11">
      <formula>HideProposed</formula>
    </cfRule>
  </conditionalFormatting>
  <conditionalFormatting sqref="K35">
    <cfRule type="expression" dxfId="72" priority="10">
      <formula>HideProposed</formula>
    </cfRule>
  </conditionalFormatting>
  <conditionalFormatting sqref="V29">
    <cfRule type="expression" dxfId="71" priority="9">
      <formula>HideProposed</formula>
    </cfRule>
  </conditionalFormatting>
  <conditionalFormatting sqref="L183:L185">
    <cfRule type="expression" dxfId="70" priority="6">
      <formula>HideProposed</formula>
    </cfRule>
  </conditionalFormatting>
  <conditionalFormatting sqref="K188:L193">
    <cfRule type="expression" dxfId="69" priority="7">
      <formula>HideProposed</formula>
    </cfRule>
  </conditionalFormatting>
  <conditionalFormatting sqref="K180:L182 K186:L187">
    <cfRule type="expression" dxfId="68" priority="8">
      <formula>HideProposed</formula>
    </cfRule>
  </conditionalFormatting>
  <conditionalFormatting sqref="K183:K185">
    <cfRule type="expression" dxfId="67" priority="5">
      <formula>HideProposed</formula>
    </cfRule>
  </conditionalFormatting>
  <conditionalFormatting sqref="BK14:BK15 BK56:BK57 BK64:BK65 BK68:BK69 BK23:BK24 BK32:BK33 BK36:BK40 BK44:BK45 BK51:BK54 BK59:BK62 BK72:BK75 BK77:BK78 BK81:BK82 BK85:BK88 BK90:BK91 BK94:BK95 BK98:BK101 BK103:BK104 BK107:BK108 BK111:BK114 BK116:BK117 BK120:BK121 BK124:BK127 BK129:BK130 BK132:BK135 BK137:BK138 BK142:BK145 BK147:BK148 BK150:BK153 BK155:BK156 BK159:BK160 BK162 BK27:BK30 BK18:BK21">
    <cfRule type="expression" dxfId="66" priority="2">
      <formula>HideProposed</formula>
    </cfRule>
  </conditionalFormatting>
  <conditionalFormatting sqref="BL9:BN162">
    <cfRule type="expression" dxfId="65" priority="1">
      <formula>HideProposed</formula>
    </cfRule>
  </conditionalFormatting>
  <pageMargins left="0.7" right="0.7" top="0.75" bottom="0.75" header="0.3" footer="0.3"/>
  <pageSetup scale="49" fitToHeight="0" orientation="portrait" blackAndWhite="1" r:id="rId1"/>
  <headerFooter scaleWithDoc="0">
    <oddHeader>&amp;LDocket NEPR-AP-2023-0003
&amp;RSchedule M-1
Page &amp;P of &amp;N</oddHeader>
    <oddFooter>&amp;R&amp;"Times New Roman,Regular"&amp;8Rendered: &amp;D &amp;T</oddFooter>
  </headerFooter>
  <rowBreaks count="2" manualBreakCount="2">
    <brk id="60" min="1" max="17" man="1"/>
    <brk id="112" min="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ED809-3BFB-4456-8683-A7A8EE99A5AA}">
  <sheetPr codeName="Sheet14">
    <tabColor theme="3" tint="0.79998168889431442"/>
  </sheetPr>
  <dimension ref="A1:BF194"/>
  <sheetViews>
    <sheetView topLeftCell="E95" workbookViewId="0">
      <selection activeCell="AW139" sqref="AP14:AW139"/>
    </sheetView>
  </sheetViews>
  <sheetFormatPr defaultColWidth="8" defaultRowHeight="13.2"/>
  <cols>
    <col min="1" max="1" width="2.19921875" style="838" customWidth="1"/>
    <col min="2" max="2" width="41.796875" style="838" customWidth="1"/>
    <col min="3" max="3" width="1.5" style="838" customWidth="1"/>
    <col min="4" max="4" width="21" style="838" customWidth="1"/>
    <col min="5" max="5" width="10.296875" style="838" customWidth="1"/>
    <col min="6" max="6" width="7.796875" style="838" customWidth="1"/>
    <col min="7" max="7" width="1.5" style="838" customWidth="1"/>
    <col min="8" max="8" width="14.5" style="838" customWidth="1"/>
    <col min="9" max="9" width="1.5" style="838" customWidth="1"/>
    <col min="10" max="10" width="12" style="838" customWidth="1"/>
    <col min="11" max="11" width="10.296875" style="838" customWidth="1"/>
    <col min="12" max="12" width="8.5" style="838" customWidth="1"/>
    <col min="13" max="13" width="1.5" style="838" customWidth="1"/>
    <col min="14" max="14" width="18.296875" style="838" customWidth="1"/>
    <col min="15" max="15" width="1.5" style="838" customWidth="1"/>
    <col min="16" max="16" width="12.796875" style="838" customWidth="1"/>
    <col min="17" max="17" width="2" style="838" customWidth="1"/>
    <col min="18" max="18" width="12" style="838" customWidth="1"/>
    <col min="19" max="19" width="2" style="838" customWidth="1"/>
    <col min="20" max="20" width="21.296875" style="773" customWidth="1"/>
    <col min="21" max="21" width="1.19921875" style="838" customWidth="1"/>
    <col min="22" max="22" width="17" style="773" customWidth="1"/>
    <col min="23" max="23" width="19.5" style="773" customWidth="1"/>
    <col min="24" max="28" width="8.296875" style="773" customWidth="1"/>
    <col min="29" max="29" width="1.796875" style="773" customWidth="1"/>
    <col min="30" max="30" width="8.296875" style="789" customWidth="1"/>
    <col min="31" max="31" width="12" style="838" customWidth="1"/>
    <col min="32" max="32" width="8" style="838" customWidth="1"/>
    <col min="33" max="34" width="12.19921875" style="838" customWidth="1"/>
    <col min="35" max="40" width="12.69921875" style="838" customWidth="1"/>
    <col min="41" max="41" width="0.8984375" style="838" customWidth="1"/>
    <col min="42" max="43" width="12.19921875" style="838" customWidth="1"/>
    <col min="44" max="49" width="12.69921875" style="838" customWidth="1"/>
    <col min="50" max="50" width="1.296875" style="838" customWidth="1"/>
    <col min="51" max="52" width="12.19921875" style="838" customWidth="1"/>
    <col min="53" max="58" width="12.69921875" style="838" customWidth="1"/>
    <col min="59" max="16384" width="8" style="11"/>
  </cols>
  <sheetData>
    <row r="1" spans="1:58">
      <c r="B1" s="692"/>
      <c r="C1" s="839"/>
      <c r="D1" s="839"/>
      <c r="E1" s="839"/>
      <c r="F1" s="839"/>
      <c r="G1" s="839"/>
      <c r="H1" s="839"/>
      <c r="I1" s="839"/>
      <c r="J1" s="839"/>
      <c r="K1" s="839"/>
      <c r="L1" s="839"/>
      <c r="M1" s="839"/>
      <c r="N1" s="839"/>
      <c r="O1" s="839"/>
      <c r="P1" s="839"/>
      <c r="Q1" s="840"/>
      <c r="R1" s="840"/>
    </row>
    <row r="2" spans="1:58">
      <c r="B2" s="1575" t="s">
        <v>635</v>
      </c>
      <c r="C2" s="1576"/>
      <c r="D2" s="1573"/>
      <c r="E2" s="839"/>
      <c r="F2" s="839"/>
      <c r="G2" s="839"/>
      <c r="H2" s="839"/>
      <c r="I2" s="839"/>
      <c r="J2" s="839"/>
      <c r="K2" s="839"/>
      <c r="L2" s="839"/>
      <c r="M2" s="839"/>
      <c r="N2" s="839"/>
      <c r="O2" s="839"/>
      <c r="P2" s="839"/>
      <c r="Q2" s="840"/>
      <c r="R2" s="840"/>
    </row>
    <row r="3" spans="1:58">
      <c r="B3" s="779" t="s">
        <v>526</v>
      </c>
      <c r="D3" s="991">
        <f>'Lists and Mapping'!C10</f>
        <v>2027</v>
      </c>
      <c r="E3" s="692"/>
      <c r="F3" s="692"/>
      <c r="G3" s="692"/>
      <c r="H3" s="692"/>
      <c r="I3" s="692"/>
      <c r="J3" s="692"/>
      <c r="K3" s="692"/>
      <c r="L3" s="692"/>
      <c r="M3" s="692"/>
      <c r="N3" s="692"/>
      <c r="O3" s="692"/>
      <c r="P3" s="692"/>
      <c r="Q3" s="840"/>
      <c r="R3" s="840"/>
    </row>
    <row r="4" spans="1:58">
      <c r="B4" s="779" t="s">
        <v>334</v>
      </c>
      <c r="D4" s="991" t="str">
        <f>'Lists and Mapping'!C12</f>
        <v>PREB Approved, Reconciliation in FY27</v>
      </c>
      <c r="E4" s="840"/>
      <c r="F4" s="840"/>
      <c r="G4" s="840"/>
      <c r="H4" s="840"/>
      <c r="I4" s="840"/>
      <c r="J4" s="840"/>
      <c r="K4" s="840"/>
      <c r="L4" s="840"/>
      <c r="M4" s="840"/>
      <c r="N4" s="840"/>
      <c r="O4" s="840"/>
      <c r="P4" s="840"/>
      <c r="Q4" s="840"/>
      <c r="R4" s="840"/>
    </row>
    <row r="5" spans="1:58">
      <c r="B5" s="779" t="s">
        <v>529</v>
      </c>
      <c r="D5" s="991" t="str">
        <f>'Lists and Mapping'!C13</f>
        <v>PREB FY2027</v>
      </c>
      <c r="H5" s="773"/>
      <c r="I5" s="773"/>
      <c r="J5" s="1217" t="s">
        <v>556</v>
      </c>
      <c r="K5" s="994">
        <f>'Revenue Requirement'!E11</f>
        <v>1.4931E-2</v>
      </c>
      <c r="L5" s="987" t="s">
        <v>559</v>
      </c>
    </row>
    <row r="6" spans="1:58">
      <c r="B6" s="779" t="s">
        <v>532</v>
      </c>
      <c r="D6" s="995" t="str">
        <f>'Lists and Mapping'!$C$14</f>
        <v>PREB FY2027</v>
      </c>
      <c r="H6" s="773"/>
      <c r="I6" s="773"/>
      <c r="J6" s="1217" t="s">
        <v>557</v>
      </c>
      <c r="K6" s="994">
        <f>'Revenue Requirement'!E12</f>
        <v>1.9191E-2</v>
      </c>
      <c r="L6" s="795" t="s">
        <v>560</v>
      </c>
    </row>
    <row r="7" spans="1:58" ht="13.5" customHeight="1">
      <c r="B7" s="784" t="s">
        <v>693</v>
      </c>
      <c r="C7" s="997"/>
      <c r="D7" s="998" t="b">
        <f>Dashboard!$C$3</f>
        <v>1</v>
      </c>
      <c r="E7" s="841"/>
      <c r="F7" s="841"/>
      <c r="G7" s="841"/>
      <c r="H7" s="773"/>
      <c r="I7" s="773"/>
      <c r="J7" s="1217" t="s">
        <v>558</v>
      </c>
      <c r="K7" s="697">
        <f>'Revenue Requirement'!E13</f>
        <v>3.4122E-2</v>
      </c>
      <c r="L7" s="841"/>
      <c r="M7" s="841"/>
      <c r="N7" s="1601" t="s">
        <v>455</v>
      </c>
      <c r="O7" s="1602"/>
      <c r="P7" s="1602"/>
      <c r="Q7" s="1602"/>
      <c r="R7" s="1603"/>
      <c r="T7" s="1000" t="s">
        <v>528</v>
      </c>
      <c r="X7" s="1580" t="s">
        <v>636</v>
      </c>
      <c r="Y7" s="1581"/>
      <c r="Z7" s="1581"/>
      <c r="AA7" s="1581"/>
      <c r="AB7" s="1582"/>
      <c r="AD7" s="789" t="s">
        <v>523</v>
      </c>
      <c r="AG7" s="1598" t="s">
        <v>637</v>
      </c>
      <c r="AH7" s="1599"/>
      <c r="AI7" s="1599"/>
      <c r="AJ7" s="1599"/>
      <c r="AK7" s="1599"/>
      <c r="AL7" s="1599"/>
      <c r="AM7" s="1599"/>
      <c r="AN7" s="1600"/>
      <c r="AP7" s="1598" t="s">
        <v>591</v>
      </c>
      <c r="AQ7" s="1599"/>
      <c r="AR7" s="1599"/>
      <c r="AS7" s="1599"/>
      <c r="AT7" s="1599"/>
      <c r="AU7" s="1599"/>
      <c r="AV7" s="1599"/>
      <c r="AW7" s="1600"/>
      <c r="AY7" s="1598" t="s">
        <v>592</v>
      </c>
      <c r="AZ7" s="1599"/>
      <c r="BA7" s="1599"/>
      <c r="BB7" s="1599"/>
      <c r="BC7" s="1599"/>
      <c r="BD7" s="1599"/>
      <c r="BE7" s="1599"/>
      <c r="BF7" s="1600"/>
    </row>
    <row r="8" spans="1:58" ht="79.2">
      <c r="B8" s="841"/>
      <c r="C8" s="842"/>
      <c r="D8" s="1218" t="s">
        <v>456</v>
      </c>
      <c r="E8" s="1219" t="s">
        <v>340</v>
      </c>
      <c r="F8" s="1219"/>
      <c r="G8" s="1219"/>
      <c r="H8" s="1219" t="s">
        <v>340</v>
      </c>
      <c r="I8" s="1219"/>
      <c r="J8" s="1219" t="s">
        <v>456</v>
      </c>
      <c r="K8" s="1219" t="s">
        <v>454</v>
      </c>
      <c r="L8" s="1220"/>
      <c r="M8" s="842"/>
      <c r="N8" s="1218" t="s">
        <v>454</v>
      </c>
      <c r="O8" s="1219"/>
      <c r="P8" s="1221" t="s">
        <v>346</v>
      </c>
      <c r="Q8" s="1221"/>
      <c r="R8" s="1222"/>
      <c r="T8" s="1008" t="s">
        <v>543</v>
      </c>
      <c r="W8" s="1223" t="s">
        <v>540</v>
      </c>
      <c r="X8" s="1224" t="s">
        <v>534</v>
      </c>
      <c r="Y8" s="1225" t="s">
        <v>604</v>
      </c>
      <c r="Z8" s="1010" t="s">
        <v>594</v>
      </c>
      <c r="AA8" s="1011" t="s">
        <v>595</v>
      </c>
      <c r="AB8" s="1012" t="s">
        <v>596</v>
      </c>
      <c r="AD8" s="1226" t="s">
        <v>522</v>
      </c>
      <c r="AE8" s="1226" t="s">
        <v>525</v>
      </c>
      <c r="AG8" s="1227" t="s">
        <v>688</v>
      </c>
      <c r="AH8" s="1228" t="s">
        <v>158</v>
      </c>
      <c r="AI8" s="1229"/>
      <c r="AJ8" s="1230" t="s">
        <v>630</v>
      </c>
      <c r="AK8" s="1230" t="s">
        <v>631</v>
      </c>
      <c r="AL8" s="1231" t="s">
        <v>588</v>
      </c>
      <c r="AM8" s="1230" t="s">
        <v>587</v>
      </c>
      <c r="AN8" s="1232" t="s">
        <v>590</v>
      </c>
      <c r="AP8" s="1233" t="s">
        <v>688</v>
      </c>
      <c r="AQ8" s="1234" t="s">
        <v>158</v>
      </c>
      <c r="AR8" s="1235"/>
      <c r="AS8" s="1236" t="s">
        <v>630</v>
      </c>
      <c r="AT8" s="1236" t="s">
        <v>631</v>
      </c>
      <c r="AU8" s="1237" t="s">
        <v>588</v>
      </c>
      <c r="AV8" s="1236" t="s">
        <v>587</v>
      </c>
      <c r="AW8" s="1238" t="s">
        <v>590</v>
      </c>
      <c r="AY8" s="1233" t="s">
        <v>688</v>
      </c>
      <c r="AZ8" s="1234" t="s">
        <v>158</v>
      </c>
      <c r="BA8" s="1235"/>
      <c r="BB8" s="1236" t="s">
        <v>630</v>
      </c>
      <c r="BC8" s="1236" t="s">
        <v>631</v>
      </c>
      <c r="BD8" s="1237" t="s">
        <v>588</v>
      </c>
      <c r="BE8" s="1236" t="s">
        <v>587</v>
      </c>
      <c r="BF8" s="1238" t="s">
        <v>590</v>
      </c>
    </row>
    <row r="9" spans="1:58">
      <c r="B9" s="843" t="s">
        <v>457</v>
      </c>
      <c r="C9" s="844"/>
      <c r="D9" s="1239" t="s">
        <v>458</v>
      </c>
      <c r="E9" s="844" t="s">
        <v>459</v>
      </c>
      <c r="F9" s="844"/>
      <c r="G9" s="844"/>
      <c r="H9" s="844" t="s">
        <v>345</v>
      </c>
      <c r="I9" s="844"/>
      <c r="J9" s="844" t="s">
        <v>458</v>
      </c>
      <c r="K9" s="844" t="s">
        <v>459</v>
      </c>
      <c r="L9" s="1240"/>
      <c r="M9" s="844"/>
      <c r="N9" s="1239" t="s">
        <v>345</v>
      </c>
      <c r="O9" s="844"/>
      <c r="P9" s="844" t="s">
        <v>460</v>
      </c>
      <c r="Q9" s="844"/>
      <c r="R9" s="1240" t="s">
        <v>342</v>
      </c>
      <c r="T9" s="1023" t="s">
        <v>345</v>
      </c>
      <c r="W9" s="1241"/>
      <c r="X9" s="1242"/>
      <c r="Y9" s="1242"/>
      <c r="Z9" s="1242"/>
      <c r="AA9" s="1242"/>
      <c r="AB9" s="1243"/>
      <c r="AG9" s="1244"/>
      <c r="AN9" s="780"/>
      <c r="AP9" s="1245"/>
      <c r="AQ9" s="1246"/>
      <c r="AR9" s="1246"/>
      <c r="AS9" s="1246"/>
      <c r="AT9" s="1246"/>
      <c r="AU9" s="1246"/>
      <c r="AV9" s="1246"/>
      <c r="AW9" s="1247"/>
      <c r="AY9" s="1245"/>
      <c r="AZ9" s="1246"/>
      <c r="BA9" s="1246"/>
      <c r="BB9" s="1246"/>
      <c r="BC9" s="1246"/>
      <c r="BD9" s="1246"/>
      <c r="BE9" s="1246"/>
      <c r="BF9" s="1247"/>
    </row>
    <row r="10" spans="1:58">
      <c r="C10" s="839"/>
      <c r="D10" s="1248"/>
      <c r="E10" s="839"/>
      <c r="F10" s="839"/>
      <c r="G10" s="839"/>
      <c r="H10" s="839"/>
      <c r="I10" s="839"/>
      <c r="J10" s="839"/>
      <c r="K10" s="839"/>
      <c r="L10" s="1249"/>
      <c r="M10" s="839"/>
      <c r="N10" s="1248"/>
      <c r="O10" s="839"/>
      <c r="P10" s="839"/>
      <c r="Q10" s="839"/>
      <c r="R10" s="1249"/>
      <c r="T10" s="1038"/>
      <c r="V10" s="789" t="s">
        <v>538</v>
      </c>
      <c r="W10" s="1250" t="b">
        <f>INDEX($X10:$AB10,MATCH($D$6,$X$8:$AB$8,0))</f>
        <v>1</v>
      </c>
      <c r="X10" s="839" t="b">
        <f>TRUE()</f>
        <v>1</v>
      </c>
      <c r="Y10" s="839" t="b">
        <f>TRUE()</f>
        <v>1</v>
      </c>
      <c r="Z10" s="839" t="b">
        <f>TRUE()</f>
        <v>1</v>
      </c>
      <c r="AA10" s="839" t="b">
        <f>TRUE()</f>
        <v>1</v>
      </c>
      <c r="AB10" s="1249" t="b">
        <f>TRUE()</f>
        <v>1</v>
      </c>
      <c r="AG10" s="1244"/>
      <c r="AN10" s="780"/>
      <c r="AP10" s="1245"/>
      <c r="AQ10" s="1246"/>
      <c r="AR10" s="1246"/>
      <c r="AS10" s="1246"/>
      <c r="AT10" s="1246"/>
      <c r="AU10" s="1246"/>
      <c r="AV10" s="1246"/>
      <c r="AW10" s="1247"/>
      <c r="AY10" s="1245"/>
      <c r="AZ10" s="1246"/>
      <c r="BA10" s="1246"/>
      <c r="BB10" s="1246"/>
      <c r="BC10" s="1246"/>
      <c r="BD10" s="1246"/>
      <c r="BE10" s="1246"/>
      <c r="BF10" s="1247"/>
    </row>
    <row r="11" spans="1:58" s="3" customFormat="1">
      <c r="A11" s="692"/>
      <c r="B11" s="797" t="s">
        <v>499</v>
      </c>
      <c r="C11" s="797"/>
      <c r="D11" s="1036"/>
      <c r="E11" s="795"/>
      <c r="F11" s="795"/>
      <c r="G11" s="795"/>
      <c r="H11" s="795"/>
      <c r="I11" s="795"/>
      <c r="J11" s="795"/>
      <c r="K11" s="795"/>
      <c r="L11" s="1037"/>
      <c r="M11" s="795"/>
      <c r="N11" s="1036"/>
      <c r="O11" s="795"/>
      <c r="P11" s="795"/>
      <c r="Q11" s="795"/>
      <c r="R11" s="1037"/>
      <c r="S11" s="692"/>
      <c r="T11" s="1038"/>
      <c r="U11" s="692"/>
      <c r="V11" s="789"/>
      <c r="W11" s="1041"/>
      <c r="X11" s="795"/>
      <c r="Y11" s="795"/>
      <c r="Z11" s="795"/>
      <c r="AA11" s="795"/>
      <c r="AB11" s="1037"/>
      <c r="AC11" s="773"/>
      <c r="AD11" s="789"/>
      <c r="AE11" s="692"/>
      <c r="AF11" s="692"/>
      <c r="AG11" s="890"/>
      <c r="AH11" s="692"/>
      <c r="AI11" s="692"/>
      <c r="AJ11" s="692"/>
      <c r="AK11" s="692"/>
      <c r="AL11" s="692"/>
      <c r="AM11" s="692"/>
      <c r="AN11" s="891"/>
      <c r="AO11" s="692"/>
      <c r="AP11" s="1251"/>
      <c r="AQ11" s="1252"/>
      <c r="AR11" s="1252"/>
      <c r="AS11" s="1252"/>
      <c r="AT11" s="1252"/>
      <c r="AU11" s="1252"/>
      <c r="AV11" s="1252"/>
      <c r="AW11" s="1253"/>
      <c r="AX11" s="692"/>
      <c r="AY11" s="1251"/>
      <c r="AZ11" s="1252"/>
      <c r="BA11" s="1252"/>
      <c r="BB11" s="1252"/>
      <c r="BC11" s="1252"/>
      <c r="BD11" s="1252"/>
      <c r="BE11" s="1252"/>
      <c r="BF11" s="1253"/>
    </row>
    <row r="12" spans="1:58" s="3" customFormat="1">
      <c r="A12" s="692"/>
      <c r="B12" s="795"/>
      <c r="C12" s="795"/>
      <c r="D12" s="1036"/>
      <c r="E12" s="795"/>
      <c r="F12" s="795"/>
      <c r="G12" s="795"/>
      <c r="H12" s="795"/>
      <c r="I12" s="795"/>
      <c r="J12" s="795"/>
      <c r="K12" s="795"/>
      <c r="L12" s="1037"/>
      <c r="M12" s="795"/>
      <c r="N12" s="1036"/>
      <c r="O12" s="795"/>
      <c r="P12" s="795"/>
      <c r="Q12" s="795"/>
      <c r="R12" s="1037"/>
      <c r="S12" s="692"/>
      <c r="T12" s="1041"/>
      <c r="U12" s="692"/>
      <c r="V12" s="773"/>
      <c r="W12" s="1041"/>
      <c r="X12" s="795"/>
      <c r="Y12" s="795"/>
      <c r="Z12" s="795"/>
      <c r="AA12" s="795"/>
      <c r="AB12" s="1037"/>
      <c r="AC12" s="773"/>
      <c r="AD12" s="789"/>
      <c r="AE12" s="692"/>
      <c r="AF12" s="692"/>
      <c r="AG12" s="890"/>
      <c r="AH12" s="692"/>
      <c r="AI12" s="692"/>
      <c r="AJ12" s="692"/>
      <c r="AK12" s="692"/>
      <c r="AL12" s="692"/>
      <c r="AM12" s="692"/>
      <c r="AN12" s="891"/>
      <c r="AO12" s="692"/>
      <c r="AP12" s="1251"/>
      <c r="AQ12" s="1252"/>
      <c r="AR12" s="1252"/>
      <c r="AS12" s="1252"/>
      <c r="AT12" s="1252"/>
      <c r="AU12" s="1252"/>
      <c r="AV12" s="1252"/>
      <c r="AW12" s="1253"/>
      <c r="AX12" s="692"/>
      <c r="AY12" s="1251"/>
      <c r="AZ12" s="1252"/>
      <c r="BA12" s="1252"/>
      <c r="BB12" s="1252"/>
      <c r="BC12" s="1252"/>
      <c r="BD12" s="1252"/>
      <c r="BE12" s="1252"/>
      <c r="BF12" s="1253"/>
    </row>
    <row r="13" spans="1:58" s="3" customFormat="1">
      <c r="A13" s="692"/>
      <c r="B13" s="846" t="s">
        <v>462</v>
      </c>
      <c r="C13" s="795"/>
      <c r="D13" s="1042"/>
      <c r="E13" s="802"/>
      <c r="F13" s="795"/>
      <c r="G13" s="795"/>
      <c r="H13" s="795"/>
      <c r="I13" s="795"/>
      <c r="J13" s="1066"/>
      <c r="K13" s="802"/>
      <c r="L13" s="1037"/>
      <c r="M13" s="795"/>
      <c r="N13" s="1036"/>
      <c r="O13" s="795"/>
      <c r="P13" s="795"/>
      <c r="Q13" s="795"/>
      <c r="R13" s="1037"/>
      <c r="S13" s="692"/>
      <c r="T13" s="1049"/>
      <c r="U13" s="692"/>
      <c r="V13" s="773"/>
      <c r="W13" s="1254"/>
      <c r="X13" s="802"/>
      <c r="Y13" s="802"/>
      <c r="Z13" s="802"/>
      <c r="AA13" s="802"/>
      <c r="AB13" s="1068"/>
      <c r="AC13" s="773"/>
      <c r="AD13" s="789"/>
      <c r="AE13" s="692"/>
      <c r="AF13" s="692"/>
      <c r="AG13" s="890"/>
      <c r="AH13" s="692"/>
      <c r="AI13" s="692"/>
      <c r="AJ13" s="692"/>
      <c r="AK13" s="692"/>
      <c r="AL13" s="692"/>
      <c r="AM13" s="692"/>
      <c r="AN13" s="891"/>
      <c r="AO13" s="692"/>
      <c r="AP13" s="1251"/>
      <c r="AQ13" s="1252"/>
      <c r="AR13" s="1252"/>
      <c r="AS13" s="1252"/>
      <c r="AT13" s="1252"/>
      <c r="AU13" s="1252"/>
      <c r="AV13" s="1252"/>
      <c r="AW13" s="1253"/>
      <c r="AX13" s="692"/>
      <c r="AY13" s="1251"/>
      <c r="AZ13" s="1252"/>
      <c r="BA13" s="1252"/>
      <c r="BB13" s="1252"/>
      <c r="BC13" s="1252"/>
      <c r="BD13" s="1252"/>
      <c r="BE13" s="1252"/>
      <c r="BF13" s="1253"/>
    </row>
    <row r="14" spans="1:58" s="3" customFormat="1">
      <c r="A14" s="692"/>
      <c r="B14" s="847" t="s">
        <v>500</v>
      </c>
      <c r="C14" s="795"/>
      <c r="D14" s="1042">
        <f>'Billing Units'!T5</f>
        <v>1981200</v>
      </c>
      <c r="E14" s="836">
        <f>'Rate Inputs'!T5+IF($D$7,$K$7,0)</f>
        <v>0.131912</v>
      </c>
      <c r="F14" s="806" t="s">
        <v>157</v>
      </c>
      <c r="G14" s="795"/>
      <c r="H14" s="1043">
        <f>ROUND(E14*D14,0)</f>
        <v>261344</v>
      </c>
      <c r="I14" s="795"/>
      <c r="J14" s="1073">
        <f>'Billing Units'!V5</f>
        <v>1981200</v>
      </c>
      <c r="K14" s="1180">
        <f>IF($W$10,W14,(1+($T$16-$H$16)/$H$16)*E14)</f>
        <v>0.11941080456831198</v>
      </c>
      <c r="L14" s="1072" t="s">
        <v>157</v>
      </c>
      <c r="M14" s="795"/>
      <c r="N14" s="1046">
        <f>ROUND(K14*J14,0)</f>
        <v>236577</v>
      </c>
      <c r="O14" s="795"/>
      <c r="P14" s="1047">
        <f>IF(AND(N14=0,NOT(H14=0)),0,N14-H14)</f>
        <v>-24767</v>
      </c>
      <c r="Q14" s="1043"/>
      <c r="R14" s="1074">
        <f>IF(D14=0,0,ROUND((N14-H14)/H14,9))</f>
        <v>-9.4767816000000005E-2</v>
      </c>
      <c r="S14" s="692"/>
      <c r="T14" s="1041"/>
      <c r="U14" s="838"/>
      <c r="V14" s="773"/>
      <c r="W14" s="1250">
        <f>INDEX($X14:$AB14,MATCH($D$6,$X$8:$AB$8,0))</f>
        <v>0.11941080456831198</v>
      </c>
      <c r="X14" s="1255">
        <v>9.7790000000000002E-2</v>
      </c>
      <c r="Y14" s="1255">
        <v>0.131912</v>
      </c>
      <c r="Z14" s="1527">
        <v>0.1304367150704106</v>
      </c>
      <c r="AA14" s="1180">
        <f>AV14</f>
        <v>0.11941080456831198</v>
      </c>
      <c r="AB14" s="1256">
        <f>BE14</f>
        <v>0.11299722598735207</v>
      </c>
      <c r="AC14" s="773"/>
      <c r="AD14" s="789"/>
      <c r="AE14" s="692"/>
      <c r="AF14" s="692"/>
      <c r="AG14" s="1042">
        <f t="shared" ref="AG14:AG45" si="0">IF(J14="","",J14)</f>
        <v>1981200</v>
      </c>
      <c r="AH14" s="1257">
        <f t="shared" ref="AH14:AH45" si="1">IF(E14="","",E14)</f>
        <v>0.131912</v>
      </c>
      <c r="AI14" s="1073" t="s">
        <v>157</v>
      </c>
      <c r="AJ14" s="1258">
        <f t="shared" ref="AJ14:AJ15" si="2">IFERROR(IF(AG14*AH14 = 0, "", AG14*AH14) * IF(AI14 = "per month",12,1),"")</f>
        <v>261344.05439999999</v>
      </c>
      <c r="AK14" s="1258"/>
      <c r="AL14" s="1073"/>
      <c r="AM14" s="1257">
        <f>AH14*$AL$16</f>
        <v>0.11823249146844783</v>
      </c>
      <c r="AN14" s="1259">
        <f>IFERROR(IF(AG14*AM14 = 0, "", AG14*AM14) * IF(AI14 = "per month",12,1),"")</f>
        <v>234242.21209728884</v>
      </c>
      <c r="AO14" s="692"/>
      <c r="AP14" s="1260">
        <v>1981200</v>
      </c>
      <c r="AQ14" s="1261">
        <v>9.7790000000000002E-2</v>
      </c>
      <c r="AR14" s="1262" t="s">
        <v>157</v>
      </c>
      <c r="AS14" s="1263">
        <v>193741.54800000001</v>
      </c>
      <c r="AT14" s="1263"/>
      <c r="AU14" s="1262"/>
      <c r="AV14" s="1261">
        <v>0.11941080456831198</v>
      </c>
      <c r="AW14" s="1264">
        <v>236576.68601073968</v>
      </c>
      <c r="AX14" s="692"/>
      <c r="AY14" s="1260">
        <v>1981200</v>
      </c>
      <c r="AZ14" s="1261">
        <v>9.7790000000000002E-2</v>
      </c>
      <c r="BA14" s="1262" t="s">
        <v>157</v>
      </c>
      <c r="BB14" s="1263">
        <v>193741.54800000001</v>
      </c>
      <c r="BC14" s="1263"/>
      <c r="BD14" s="1262"/>
      <c r="BE14" s="1261">
        <v>0.11299722598735207</v>
      </c>
      <c r="BF14" s="1264">
        <v>223870.10412614193</v>
      </c>
    </row>
    <row r="15" spans="1:58" s="3" customFormat="1" ht="13.8" thickBot="1">
      <c r="A15" s="692"/>
      <c r="B15" s="849" t="s">
        <v>501</v>
      </c>
      <c r="C15" s="1265"/>
      <c r="D15" s="1266">
        <f>'Billing Units'!T6</f>
        <v>1127957.5656600648</v>
      </c>
      <c r="E15" s="851">
        <f>'Rate Inputs'!T6+IF($D$7,$K$7,0)</f>
        <v>0.12191200000000001</v>
      </c>
      <c r="F15" s="851" t="s">
        <v>157</v>
      </c>
      <c r="G15" s="851"/>
      <c r="H15" s="1267">
        <f>ROUND(E15*D15,0)</f>
        <v>137512</v>
      </c>
      <c r="I15" s="1265"/>
      <c r="J15" s="1268">
        <f>'Billing Units'!V6</f>
        <v>1127957.5656600648</v>
      </c>
      <c r="K15" s="1269">
        <f>IF($W$10,W15,(1+($T$16-$H$16)/$H$16)*E15)</f>
        <v>0.10719986228706523</v>
      </c>
      <c r="L15" s="1270" t="s">
        <v>157</v>
      </c>
      <c r="M15" s="851"/>
      <c r="N15" s="1271">
        <f>ROUND(K15*J15,0)</f>
        <v>120917</v>
      </c>
      <c r="O15" s="1267"/>
      <c r="P15" s="1272">
        <f>IF(AND(N15=0,NOT(H15=0)),0,N15-H15)</f>
        <v>-16595</v>
      </c>
      <c r="Q15" s="1267"/>
      <c r="R15" s="1273">
        <f>IF(D15=0,0,ROUND((N15-H15)/H15,9))</f>
        <v>-0.12068037700000001</v>
      </c>
      <c r="S15" s="692"/>
      <c r="T15" s="1041"/>
      <c r="U15" s="838"/>
      <c r="V15" s="773"/>
      <c r="W15" s="1274">
        <f>INDEX($X15:$AB15,MATCH($D$6,$X$8:$AB$8,0))</f>
        <v>0.10719986228706523</v>
      </c>
      <c r="X15" s="1275">
        <v>8.7790000000000007E-2</v>
      </c>
      <c r="Y15" s="1275">
        <v>0.12191200000000001</v>
      </c>
      <c r="Z15" s="1528">
        <v>0.12054855363927389</v>
      </c>
      <c r="AA15" s="1269">
        <f>AV15</f>
        <v>0.10719986228706523</v>
      </c>
      <c r="AB15" s="1276">
        <f>BE15</f>
        <v>0.10144213589763411</v>
      </c>
      <c r="AC15" s="773"/>
      <c r="AD15" s="789"/>
      <c r="AE15" s="692">
        <f>E15/E14</f>
        <v>0.92419188549942388</v>
      </c>
      <c r="AF15" s="692"/>
      <c r="AG15" s="1266">
        <f t="shared" si="0"/>
        <v>1127957.5656600648</v>
      </c>
      <c r="AH15" s="1277">
        <f t="shared" si="1"/>
        <v>0.12191200000000001</v>
      </c>
      <c r="AI15" s="1268" t="s">
        <v>157</v>
      </c>
      <c r="AJ15" s="1278">
        <f t="shared" si="2"/>
        <v>137511.56274474983</v>
      </c>
      <c r="AK15" s="1278"/>
      <c r="AL15" s="1268"/>
      <c r="AM15" s="1277">
        <f>AH15*$AL$16</f>
        <v>0.10926950921751935</v>
      </c>
      <c r="AN15" s="1279">
        <f>IFERROR(IF(AG15*AM15 = 0, "", AG15*AM15) * IF(AI15 = "per month",12,1),"")</f>
        <v>123251.36961786314</v>
      </c>
      <c r="AO15" s="692"/>
      <c r="AP15" s="1280">
        <v>1127957.5656600648</v>
      </c>
      <c r="AQ15" s="1281">
        <v>8.7790000000000007E-2</v>
      </c>
      <c r="AR15" s="1282" t="s">
        <v>157</v>
      </c>
      <c r="AS15" s="1283">
        <v>99023.3946892971</v>
      </c>
      <c r="AT15" s="1283"/>
      <c r="AU15" s="1282"/>
      <c r="AV15" s="1281">
        <v>0.10719986228706523</v>
      </c>
      <c r="AW15" s="1284">
        <v>120916.89570441228</v>
      </c>
      <c r="AX15" s="692"/>
      <c r="AY15" s="1280">
        <v>1127957.5656600648</v>
      </c>
      <c r="AZ15" s="1281">
        <v>8.7790000000000007E-2</v>
      </c>
      <c r="BA15" s="1282" t="s">
        <v>157</v>
      </c>
      <c r="BB15" s="1283">
        <v>99023.3946892971</v>
      </c>
      <c r="BC15" s="1283"/>
      <c r="BD15" s="1282"/>
      <c r="BE15" s="1281">
        <v>0.10144213589763411</v>
      </c>
      <c r="BF15" s="1284">
        <v>114422.42466245285</v>
      </c>
    </row>
    <row r="16" spans="1:58" s="3" customFormat="1" ht="14.4" thickTop="1" thickBot="1">
      <c r="A16" s="692"/>
      <c r="B16" s="852" t="s">
        <v>502</v>
      </c>
      <c r="C16" s="1265"/>
      <c r="D16" s="1266">
        <f>SUM(D14:D15)</f>
        <v>3109157.565660065</v>
      </c>
      <c r="E16" s="851"/>
      <c r="F16" s="851"/>
      <c r="G16" s="851"/>
      <c r="H16" s="1267">
        <f>SUM(H14,H15)</f>
        <v>398856</v>
      </c>
      <c r="I16" s="1265"/>
      <c r="J16" s="1268">
        <f>SUM(J14:J15)</f>
        <v>3109157.565660065</v>
      </c>
      <c r="K16" s="1285"/>
      <c r="L16" s="1270"/>
      <c r="M16" s="851"/>
      <c r="N16" s="1271">
        <f>SUM(N14,N15)</f>
        <v>357494</v>
      </c>
      <c r="O16" s="1267"/>
      <c r="P16" s="1272">
        <f>IF(AND(N16=0,NOT(H16=0)),0,N16-H16)</f>
        <v>-41362</v>
      </c>
      <c r="Q16" s="1267"/>
      <c r="R16" s="1273">
        <f>IF(D16=0,0,ROUND((N16-H16)/H16,9))</f>
        <v>-0.103701587</v>
      </c>
      <c r="S16" s="692"/>
      <c r="T16" s="1087">
        <f>INDEX('Revenue Summary'!$R$10:$R$38,MATCH(AD16,'Revenue Summary'!$B$10:$B$38,0))</f>
        <v>357493.58171515202</v>
      </c>
      <c r="U16" s="838"/>
      <c r="V16" s="773"/>
      <c r="W16" s="1286"/>
      <c r="X16" s="1285"/>
      <c r="Y16" s="1285"/>
      <c r="Z16" s="1285"/>
      <c r="AA16" s="1285"/>
      <c r="AB16" s="1287"/>
      <c r="AC16" s="773"/>
      <c r="AD16" s="789" t="str" cm="1">
        <f t="array" ref="AD16">INDEX(_xlfn.TEXTSPLIT(B16," "),2)</f>
        <v>LP-13</v>
      </c>
      <c r="AE16" s="692"/>
      <c r="AF16" s="692"/>
      <c r="AG16" s="1266">
        <f t="shared" si="0"/>
        <v>3109157.565660065</v>
      </c>
      <c r="AH16" s="1277" t="str">
        <f t="shared" si="1"/>
        <v/>
      </c>
      <c r="AI16" s="1268"/>
      <c r="AJ16" s="1288">
        <f>SUM(AJ14:AJ15)</f>
        <v>398855.61714474985</v>
      </c>
      <c r="AK16" s="1278">
        <f>T16</f>
        <v>357493.58171515202</v>
      </c>
      <c r="AL16" s="1289">
        <f>AK16/AJ16</f>
        <v>0.89629822509284851</v>
      </c>
      <c r="AM16" s="1277"/>
      <c r="AN16" s="1290">
        <f>SUM(AN14:AN15)</f>
        <v>357493.58171515196</v>
      </c>
      <c r="AO16" s="692"/>
      <c r="AP16" s="1280">
        <v>3109157.565660065</v>
      </c>
      <c r="AQ16" s="1281" t="s">
        <v>608</v>
      </c>
      <c r="AR16" s="1282"/>
      <c r="AS16" s="1283">
        <v>292764.94268929714</v>
      </c>
      <c r="AT16" s="1283">
        <v>357493.58171515202</v>
      </c>
      <c r="AU16" s="1291">
        <v>1.2210942281246751</v>
      </c>
      <c r="AV16" s="1281"/>
      <c r="AW16" s="1284">
        <v>357493.58171515196</v>
      </c>
      <c r="AX16" s="692"/>
      <c r="AY16" s="1280">
        <v>3109157.565660065</v>
      </c>
      <c r="AZ16" s="1281" t="s">
        <v>608</v>
      </c>
      <c r="BA16" s="1282"/>
      <c r="BB16" s="1283">
        <v>292764.94268929714</v>
      </c>
      <c r="BC16" s="1283">
        <v>338292.52878859482</v>
      </c>
      <c r="BD16" s="1291">
        <v>1.1555090089717974</v>
      </c>
      <c r="BE16" s="1281"/>
      <c r="BF16" s="1284">
        <v>338292.52878859476</v>
      </c>
    </row>
    <row r="17" spans="1:58" s="3" customFormat="1" ht="13.8" thickTop="1">
      <c r="A17" s="692"/>
      <c r="B17" s="829"/>
      <c r="C17" s="795"/>
      <c r="D17" s="1042"/>
      <c r="E17" s="806"/>
      <c r="F17" s="806"/>
      <c r="G17" s="806"/>
      <c r="H17" s="1043"/>
      <c r="I17" s="795"/>
      <c r="J17" s="1073"/>
      <c r="K17" s="802"/>
      <c r="L17" s="1072"/>
      <c r="M17" s="806"/>
      <c r="N17" s="1046"/>
      <c r="O17" s="1043"/>
      <c r="P17" s="1047"/>
      <c r="Q17" s="1043"/>
      <c r="R17" s="1074"/>
      <c r="S17" s="692"/>
      <c r="T17" s="1049"/>
      <c r="U17" s="838"/>
      <c r="V17" s="773"/>
      <c r="W17" s="1254"/>
      <c r="X17" s="802"/>
      <c r="Y17" s="802"/>
      <c r="Z17" s="802"/>
      <c r="AA17" s="802"/>
      <c r="AB17" s="1068"/>
      <c r="AC17" s="773"/>
      <c r="AD17" s="789"/>
      <c r="AE17" s="692"/>
      <c r="AF17" s="692"/>
      <c r="AG17" s="1042" t="str">
        <f t="shared" si="0"/>
        <v/>
      </c>
      <c r="AH17" s="1257" t="str">
        <f t="shared" si="1"/>
        <v/>
      </c>
      <c r="AI17" s="1073"/>
      <c r="AJ17" s="1258" t="str">
        <f t="shared" ref="AJ17:AJ22" si="3">IFERROR(IF(AG17*AH17 = 0, "", AG17*AH17) * IF(AI17 = "per month",12,1),"")</f>
        <v/>
      </c>
      <c r="AK17" s="1258"/>
      <c r="AL17" s="1073"/>
      <c r="AM17" s="1257"/>
      <c r="AN17" s="1259" t="str">
        <f t="shared" ref="AN17:AN22" si="4">IFERROR(IF(AK17*AL17 = 0, "", AK17*AL17) * IF(AM17 = "per month",12,1),"")</f>
        <v/>
      </c>
      <c r="AO17" s="692"/>
      <c r="AP17" s="1260" t="s">
        <v>608</v>
      </c>
      <c r="AQ17" s="1261" t="s">
        <v>608</v>
      </c>
      <c r="AR17" s="1262"/>
      <c r="AS17" s="1263" t="s">
        <v>608</v>
      </c>
      <c r="AT17" s="1263"/>
      <c r="AU17" s="1262"/>
      <c r="AV17" s="1261"/>
      <c r="AW17" s="1264" t="s">
        <v>608</v>
      </c>
      <c r="AX17" s="692"/>
      <c r="AY17" s="1260" t="s">
        <v>608</v>
      </c>
      <c r="AZ17" s="1261" t="s">
        <v>608</v>
      </c>
      <c r="BA17" s="1262"/>
      <c r="BB17" s="1263" t="s">
        <v>608</v>
      </c>
      <c r="BC17" s="1263"/>
      <c r="BD17" s="1262"/>
      <c r="BE17" s="1261"/>
      <c r="BF17" s="1264" t="s">
        <v>608</v>
      </c>
    </row>
    <row r="18" spans="1:58">
      <c r="D18" s="1244"/>
      <c r="L18" s="780"/>
      <c r="N18" s="1292"/>
      <c r="P18" s="1293"/>
      <c r="R18" s="1294"/>
      <c r="T18" s="1038"/>
      <c r="W18" s="1295"/>
      <c r="X18" s="838"/>
      <c r="Y18" s="838"/>
      <c r="Z18" s="838"/>
      <c r="AA18" s="838"/>
      <c r="AB18" s="780"/>
      <c r="AG18" s="1244" t="str">
        <f t="shared" si="0"/>
        <v/>
      </c>
      <c r="AH18" s="1296" t="str">
        <f t="shared" si="1"/>
        <v/>
      </c>
      <c r="AJ18" s="1297" t="str">
        <f t="shared" si="3"/>
        <v/>
      </c>
      <c r="AK18" s="1297"/>
      <c r="AM18" s="1296"/>
      <c r="AN18" s="1298" t="str">
        <f t="shared" si="4"/>
        <v/>
      </c>
      <c r="AP18" s="1245" t="s">
        <v>608</v>
      </c>
      <c r="AQ18" s="1299" t="s">
        <v>608</v>
      </c>
      <c r="AR18" s="1246"/>
      <c r="AS18" s="1300" t="s">
        <v>608</v>
      </c>
      <c r="AT18" s="1300"/>
      <c r="AU18" s="1246"/>
      <c r="AV18" s="1299"/>
      <c r="AW18" s="1301" t="s">
        <v>608</v>
      </c>
      <c r="AY18" s="1245" t="s">
        <v>608</v>
      </c>
      <c r="AZ18" s="1299" t="s">
        <v>608</v>
      </c>
      <c r="BA18" s="1246"/>
      <c r="BB18" s="1300" t="s">
        <v>608</v>
      </c>
      <c r="BC18" s="1300"/>
      <c r="BD18" s="1246"/>
      <c r="BE18" s="1299"/>
      <c r="BF18" s="1301" t="s">
        <v>608</v>
      </c>
    </row>
    <row r="19" spans="1:58">
      <c r="B19" s="854" t="s">
        <v>503</v>
      </c>
      <c r="D19" s="1244"/>
      <c r="L19" s="780"/>
      <c r="N19" s="1292"/>
      <c r="P19" s="1293"/>
      <c r="R19" s="1294"/>
      <c r="T19" s="1041"/>
      <c r="W19" s="1295"/>
      <c r="X19" s="838"/>
      <c r="Y19" s="838"/>
      <c r="Z19" s="838"/>
      <c r="AA19" s="838"/>
      <c r="AB19" s="780"/>
      <c r="AG19" s="1244" t="str">
        <f t="shared" si="0"/>
        <v/>
      </c>
      <c r="AH19" s="1296" t="str">
        <f t="shared" si="1"/>
        <v/>
      </c>
      <c r="AJ19" s="1297" t="str">
        <f t="shared" si="3"/>
        <v/>
      </c>
      <c r="AK19" s="1297"/>
      <c r="AM19" s="1296"/>
      <c r="AN19" s="1298" t="str">
        <f t="shared" si="4"/>
        <v/>
      </c>
      <c r="AP19" s="1245" t="s">
        <v>608</v>
      </c>
      <c r="AQ19" s="1299" t="s">
        <v>608</v>
      </c>
      <c r="AR19" s="1246"/>
      <c r="AS19" s="1300" t="s">
        <v>608</v>
      </c>
      <c r="AT19" s="1300"/>
      <c r="AU19" s="1246"/>
      <c r="AV19" s="1299"/>
      <c r="AW19" s="1301" t="s">
        <v>608</v>
      </c>
      <c r="AY19" s="1245" t="s">
        <v>608</v>
      </c>
      <c r="AZ19" s="1299" t="s">
        <v>608</v>
      </c>
      <c r="BA19" s="1246"/>
      <c r="BB19" s="1300" t="s">
        <v>608</v>
      </c>
      <c r="BC19" s="1300"/>
      <c r="BD19" s="1246"/>
      <c r="BE19" s="1299"/>
      <c r="BF19" s="1301" t="s">
        <v>608</v>
      </c>
    </row>
    <row r="20" spans="1:58">
      <c r="B20" s="854"/>
      <c r="D20" s="1244"/>
      <c r="L20" s="780"/>
      <c r="N20" s="1292"/>
      <c r="P20" s="1293"/>
      <c r="R20" s="1294"/>
      <c r="T20" s="1108"/>
      <c r="V20" s="692"/>
      <c r="W20" s="1295"/>
      <c r="X20" s="838"/>
      <c r="Y20" s="838"/>
      <c r="Z20" s="838"/>
      <c r="AA20" s="838"/>
      <c r="AB20" s="780"/>
      <c r="AC20" s="692"/>
      <c r="AG20" s="1244" t="str">
        <f t="shared" si="0"/>
        <v/>
      </c>
      <c r="AH20" s="1296" t="str">
        <f t="shared" si="1"/>
        <v/>
      </c>
      <c r="AJ20" s="1297" t="str">
        <f t="shared" si="3"/>
        <v/>
      </c>
      <c r="AK20" s="1297"/>
      <c r="AM20" s="1296"/>
      <c r="AN20" s="1298" t="str">
        <f t="shared" si="4"/>
        <v/>
      </c>
      <c r="AP20" s="1245" t="s">
        <v>608</v>
      </c>
      <c r="AQ20" s="1299" t="s">
        <v>608</v>
      </c>
      <c r="AR20" s="1246"/>
      <c r="AS20" s="1300" t="s">
        <v>608</v>
      </c>
      <c r="AT20" s="1300"/>
      <c r="AU20" s="1246"/>
      <c r="AV20" s="1299"/>
      <c r="AW20" s="1301" t="s">
        <v>608</v>
      </c>
      <c r="AY20" s="1245" t="s">
        <v>608</v>
      </c>
      <c r="AZ20" s="1299" t="s">
        <v>608</v>
      </c>
      <c r="BA20" s="1246"/>
      <c r="BB20" s="1300" t="s">
        <v>608</v>
      </c>
      <c r="BC20" s="1300"/>
      <c r="BD20" s="1246"/>
      <c r="BE20" s="1299"/>
      <c r="BF20" s="1301" t="s">
        <v>608</v>
      </c>
    </row>
    <row r="21" spans="1:58">
      <c r="B21" s="855" t="s">
        <v>2</v>
      </c>
      <c r="D21" s="1244"/>
      <c r="L21" s="780"/>
      <c r="N21" s="1292"/>
      <c r="P21" s="1293"/>
      <c r="R21" s="1294"/>
      <c r="T21" s="1108"/>
      <c r="V21" s="692"/>
      <c r="W21" s="1295"/>
      <c r="X21" s="838"/>
      <c r="Y21" s="838"/>
      <c r="Z21" s="838"/>
      <c r="AA21" s="838"/>
      <c r="AB21" s="780"/>
      <c r="AC21" s="692"/>
      <c r="AG21" s="1244" t="str">
        <f t="shared" si="0"/>
        <v/>
      </c>
      <c r="AH21" s="1296" t="str">
        <f t="shared" si="1"/>
        <v/>
      </c>
      <c r="AJ21" s="1297" t="str">
        <f t="shared" si="3"/>
        <v/>
      </c>
      <c r="AK21" s="1297"/>
      <c r="AM21" s="1296"/>
      <c r="AN21" s="1298" t="str">
        <f t="shared" si="4"/>
        <v/>
      </c>
      <c r="AP21" s="1245" t="s">
        <v>608</v>
      </c>
      <c r="AQ21" s="1299" t="s">
        <v>608</v>
      </c>
      <c r="AR21" s="1246"/>
      <c r="AS21" s="1300" t="s">
        <v>608</v>
      </c>
      <c r="AT21" s="1300"/>
      <c r="AU21" s="1246"/>
      <c r="AV21" s="1299"/>
      <c r="AW21" s="1301" t="s">
        <v>608</v>
      </c>
      <c r="AY21" s="1245" t="s">
        <v>608</v>
      </c>
      <c r="AZ21" s="1299" t="s">
        <v>608</v>
      </c>
      <c r="BA21" s="1246"/>
      <c r="BB21" s="1300" t="s">
        <v>608</v>
      </c>
      <c r="BC21" s="1300"/>
      <c r="BD21" s="1246"/>
      <c r="BE21" s="1299"/>
      <c r="BF21" s="1301" t="s">
        <v>608</v>
      </c>
    </row>
    <row r="22" spans="1:58">
      <c r="B22" s="854"/>
      <c r="D22" s="1244"/>
      <c r="L22" s="780"/>
      <c r="N22" s="1292"/>
      <c r="P22" s="1293"/>
      <c r="R22" s="1294"/>
      <c r="T22" s="1123"/>
      <c r="V22" s="692"/>
      <c r="W22" s="1295"/>
      <c r="X22" s="838"/>
      <c r="Y22" s="838"/>
      <c r="Z22" s="838"/>
      <c r="AA22" s="838"/>
      <c r="AB22" s="780"/>
      <c r="AC22" s="692"/>
      <c r="AG22" s="1244" t="str">
        <f t="shared" si="0"/>
        <v/>
      </c>
      <c r="AH22" s="1296" t="str">
        <f t="shared" si="1"/>
        <v/>
      </c>
      <c r="AJ22" s="1297" t="str">
        <f t="shared" si="3"/>
        <v/>
      </c>
      <c r="AK22" s="1297"/>
      <c r="AM22" s="1296"/>
      <c r="AN22" s="1298" t="str">
        <f t="shared" si="4"/>
        <v/>
      </c>
      <c r="AP22" s="1245" t="s">
        <v>608</v>
      </c>
      <c r="AQ22" s="1299" t="s">
        <v>608</v>
      </c>
      <c r="AR22" s="1246"/>
      <c r="AS22" s="1300" t="s">
        <v>608</v>
      </c>
      <c r="AT22" s="1300"/>
      <c r="AU22" s="1246"/>
      <c r="AV22" s="1299"/>
      <c r="AW22" s="1301" t="s">
        <v>608</v>
      </c>
      <c r="AY22" s="1245" t="s">
        <v>608</v>
      </c>
      <c r="AZ22" s="1299" t="s">
        <v>608</v>
      </c>
      <c r="BA22" s="1246"/>
      <c r="BB22" s="1300" t="s">
        <v>608</v>
      </c>
      <c r="BC22" s="1300"/>
      <c r="BD22" s="1246"/>
      <c r="BE22" s="1299"/>
      <c r="BF22" s="1301" t="s">
        <v>608</v>
      </c>
    </row>
    <row r="23" spans="1:58">
      <c r="B23" s="856" t="s">
        <v>472</v>
      </c>
      <c r="D23" s="1042">
        <f>SUM('Billing Determinant Forecast'!F79,'Billing Determinant Forecast'!F87)*1000000</f>
        <v>247879709.2753191</v>
      </c>
      <c r="E23" s="838">
        <f>IF($D$7,$K$7,0)</f>
        <v>3.4122E-2</v>
      </c>
      <c r="F23" s="838" t="s">
        <v>157</v>
      </c>
      <c r="H23" s="1043">
        <f>ROUND(E23*D23,0)</f>
        <v>8458151</v>
      </c>
      <c r="L23" s="780"/>
      <c r="N23" s="1292"/>
      <c r="P23" s="1293"/>
      <c r="R23" s="1294"/>
      <c r="T23" s="1108"/>
      <c r="V23" s="692"/>
      <c r="W23" s="1295"/>
      <c r="X23" s="838"/>
      <c r="Y23" s="838"/>
      <c r="Z23" s="838"/>
      <c r="AA23" s="838"/>
      <c r="AB23" s="780"/>
      <c r="AC23" s="692"/>
      <c r="AG23" s="1244" t="str">
        <f t="shared" si="0"/>
        <v/>
      </c>
      <c r="AH23" s="1296">
        <f t="shared" si="1"/>
        <v>3.4122E-2</v>
      </c>
      <c r="AI23" s="838" t="s">
        <v>157</v>
      </c>
      <c r="AJ23" s="1297" t="str">
        <f t="shared" ref="AJ23:AJ86" si="5">IFERROR(IF(AG23*AH23 = 0, "", AG23*AH23) * IF(OR(AI23 = "per month",AI23 = "per booth",AI23 = "per bus shelter",AI23 = "per strobe light"),12,1),"")</f>
        <v/>
      </c>
      <c r="AK23" s="1297"/>
      <c r="AM23" s="1296"/>
      <c r="AN23" s="1298" t="str">
        <f t="shared" ref="AN23:AN86" si="6">IFERROR(IF(AG23*AM23 = 0, "", AG23*AM23) * IF(AI23 = "per month",12,1),"")</f>
        <v/>
      </c>
      <c r="AP23" s="1245" t="s">
        <v>608</v>
      </c>
      <c r="AQ23" s="1299">
        <v>0</v>
      </c>
      <c r="AR23" s="1246" t="s">
        <v>157</v>
      </c>
      <c r="AS23" s="1300" t="s">
        <v>608</v>
      </c>
      <c r="AT23" s="1300"/>
      <c r="AU23" s="1246"/>
      <c r="AV23" s="1299"/>
      <c r="AW23" s="1301" t="s">
        <v>608</v>
      </c>
      <c r="AY23" s="1245" t="s">
        <v>608</v>
      </c>
      <c r="AZ23" s="1299">
        <v>0</v>
      </c>
      <c r="BA23" s="1246" t="s">
        <v>157</v>
      </c>
      <c r="BB23" s="1300" t="s">
        <v>608</v>
      </c>
      <c r="BC23" s="1300"/>
      <c r="BD23" s="1246"/>
      <c r="BE23" s="1299"/>
      <c r="BF23" s="1301" t="s">
        <v>608</v>
      </c>
    </row>
    <row r="24" spans="1:58">
      <c r="B24" s="854"/>
      <c r="D24" s="1244"/>
      <c r="L24" s="780"/>
      <c r="N24" s="1292"/>
      <c r="P24" s="1293"/>
      <c r="R24" s="1294"/>
      <c r="T24" s="1108"/>
      <c r="V24" s="692"/>
      <c r="W24" s="1295"/>
      <c r="X24" s="838"/>
      <c r="Y24" s="838"/>
      <c r="Z24" s="838"/>
      <c r="AA24" s="838"/>
      <c r="AB24" s="780"/>
      <c r="AC24" s="692"/>
      <c r="AG24" s="1244" t="str">
        <f t="shared" si="0"/>
        <v/>
      </c>
      <c r="AH24" s="1296" t="str">
        <f t="shared" si="1"/>
        <v/>
      </c>
      <c r="AJ24" s="1297" t="str">
        <f t="shared" si="5"/>
        <v/>
      </c>
      <c r="AK24" s="1297"/>
      <c r="AM24" s="1296"/>
      <c r="AN24" s="1298" t="str">
        <f t="shared" si="6"/>
        <v/>
      </c>
      <c r="AP24" s="1245" t="s">
        <v>608</v>
      </c>
      <c r="AQ24" s="1299" t="s">
        <v>608</v>
      </c>
      <c r="AR24" s="1246"/>
      <c r="AS24" s="1300" t="s">
        <v>608</v>
      </c>
      <c r="AT24" s="1300"/>
      <c r="AU24" s="1246"/>
      <c r="AV24" s="1299"/>
      <c r="AW24" s="1301" t="s">
        <v>608</v>
      </c>
      <c r="AY24" s="1245" t="s">
        <v>608</v>
      </c>
      <c r="AZ24" s="1299" t="s">
        <v>608</v>
      </c>
      <c r="BA24" s="1246"/>
      <c r="BB24" s="1300" t="s">
        <v>608</v>
      </c>
      <c r="BC24" s="1300"/>
      <c r="BD24" s="1246"/>
      <c r="BE24" s="1299"/>
      <c r="BF24" s="1301" t="s">
        <v>608</v>
      </c>
    </row>
    <row r="25" spans="1:58">
      <c r="B25" s="856" t="s">
        <v>70</v>
      </c>
      <c r="D25" s="1244"/>
      <c r="L25" s="780"/>
      <c r="N25" s="1292"/>
      <c r="P25" s="1293"/>
      <c r="R25" s="1294"/>
      <c r="T25" s="1123"/>
      <c r="V25" s="692"/>
      <c r="W25" s="1295"/>
      <c r="X25" s="838"/>
      <c r="Y25" s="838"/>
      <c r="Z25" s="838"/>
      <c r="AA25" s="838"/>
      <c r="AB25" s="780"/>
      <c r="AC25" s="692"/>
      <c r="AG25" s="1244" t="str">
        <f t="shared" si="0"/>
        <v/>
      </c>
      <c r="AH25" s="1296" t="str">
        <f t="shared" si="1"/>
        <v/>
      </c>
      <c r="AJ25" s="1297" t="str">
        <f t="shared" si="5"/>
        <v/>
      </c>
      <c r="AK25" s="1297"/>
      <c r="AM25" s="1296"/>
      <c r="AN25" s="1298" t="str">
        <f t="shared" si="6"/>
        <v/>
      </c>
      <c r="AP25" s="1245" t="s">
        <v>608</v>
      </c>
      <c r="AQ25" s="1299" t="s">
        <v>608</v>
      </c>
      <c r="AR25" s="1246"/>
      <c r="AS25" s="1300" t="s">
        <v>608</v>
      </c>
      <c r="AT25" s="1300"/>
      <c r="AU25" s="1246"/>
      <c r="AV25" s="1299"/>
      <c r="AW25" s="1301" t="s">
        <v>608</v>
      </c>
      <c r="AY25" s="1245" t="s">
        <v>608</v>
      </c>
      <c r="AZ25" s="1299" t="s">
        <v>608</v>
      </c>
      <c r="BA25" s="1246"/>
      <c r="BB25" s="1300" t="s">
        <v>608</v>
      </c>
      <c r="BC25" s="1300"/>
      <c r="BD25" s="1246"/>
      <c r="BE25" s="1299"/>
      <c r="BF25" s="1301" t="s">
        <v>608</v>
      </c>
    </row>
    <row r="26" spans="1:58">
      <c r="B26" s="857" t="s">
        <v>504</v>
      </c>
      <c r="D26" s="1244"/>
      <c r="L26" s="780"/>
      <c r="N26" s="1292"/>
      <c r="P26" s="1293"/>
      <c r="R26" s="1294"/>
      <c r="T26" s="1123"/>
      <c r="V26" s="692"/>
      <c r="W26" s="1295"/>
      <c r="X26" s="838"/>
      <c r="Y26" s="838"/>
      <c r="Z26" s="838"/>
      <c r="AA26" s="838"/>
      <c r="AB26" s="780"/>
      <c r="AC26" s="692"/>
      <c r="AG26" s="1244" t="str">
        <f t="shared" si="0"/>
        <v/>
      </c>
      <c r="AH26" s="1296" t="str">
        <f t="shared" si="1"/>
        <v/>
      </c>
      <c r="AJ26" s="1297" t="str">
        <f t="shared" si="5"/>
        <v/>
      </c>
      <c r="AK26" s="1297"/>
      <c r="AM26" s="1296"/>
      <c r="AN26" s="1298" t="str">
        <f t="shared" si="6"/>
        <v/>
      </c>
      <c r="AP26" s="1245" t="s">
        <v>608</v>
      </c>
      <c r="AQ26" s="1299" t="s">
        <v>608</v>
      </c>
      <c r="AR26" s="1246"/>
      <c r="AS26" s="1300" t="s">
        <v>608</v>
      </c>
      <c r="AT26" s="1300"/>
      <c r="AU26" s="1246"/>
      <c r="AV26" s="1299"/>
      <c r="AW26" s="1301" t="s">
        <v>608</v>
      </c>
      <c r="AY26" s="1245" t="s">
        <v>608</v>
      </c>
      <c r="AZ26" s="1299" t="s">
        <v>608</v>
      </c>
      <c r="BA26" s="1246"/>
      <c r="BB26" s="1300" t="s">
        <v>608</v>
      </c>
      <c r="BC26" s="1300"/>
      <c r="BD26" s="1246"/>
      <c r="BE26" s="1299"/>
      <c r="BF26" s="1301" t="s">
        <v>608</v>
      </c>
    </row>
    <row r="27" spans="1:58">
      <c r="B27" s="858" t="s">
        <v>75</v>
      </c>
      <c r="D27" s="1244">
        <f>ROUND('Billing Units'!T16,0)</f>
        <v>11</v>
      </c>
      <c r="E27" s="860">
        <f>'Rate Inputs'!T16</f>
        <v>5.9</v>
      </c>
      <c r="F27" s="838" t="str">
        <f>'Rate Inputs'!U16</f>
        <v>per month</v>
      </c>
      <c r="H27" s="860">
        <f>D27*E27*12</f>
        <v>778.80000000000007</v>
      </c>
      <c r="J27" s="1330">
        <f>IF($D$3=2026,D27,'Billing Units'!V16)</f>
        <v>11</v>
      </c>
      <c r="K27" s="1303">
        <f>W27</f>
        <v>6.8949880228761256</v>
      </c>
      <c r="L27" s="1304" t="str">
        <f>'Rate Inputs'!W16</f>
        <v>per month</v>
      </c>
      <c r="N27" s="1305">
        <f>J27*K27*12</f>
        <v>910.13841901964861</v>
      </c>
      <c r="P27" s="1047">
        <f>IF(AND(N27=0,NOT(H27=0)),0,N27-H27)</f>
        <v>131.33841901964854</v>
      </c>
      <c r="Q27" s="1043"/>
      <c r="R27" s="1074">
        <f>IF(D27=0,0,ROUND((N27-H27)/H27,9))</f>
        <v>0.16864203799999999</v>
      </c>
      <c r="T27" s="1123"/>
      <c r="V27" s="692"/>
      <c r="W27" s="1306">
        <f t="shared" ref="W27:W33" si="7">INDEX($X27:$AB27,MATCH($D$6,$X$8:$AB$8,0))</f>
        <v>6.8949880228761256</v>
      </c>
      <c r="X27" s="1307">
        <v>5.9</v>
      </c>
      <c r="Y27" s="1308">
        <f t="shared" ref="Y27:Y33" si="8">X27+$H$191</f>
        <v>7.3521846420473835</v>
      </c>
      <c r="Z27" s="1308">
        <f>Y27-$H$194</f>
        <v>7.2284645285183915</v>
      </c>
      <c r="AA27" s="1308">
        <f t="shared" ref="AA27:AA33" si="9">AV27</f>
        <v>6.8949880228761256</v>
      </c>
      <c r="AB27" s="1309">
        <f t="shared" ref="AB27:AB33" si="10">BE27</f>
        <v>6.5246815877247224</v>
      </c>
      <c r="AC27" s="692"/>
      <c r="AG27" s="1310">
        <f t="shared" si="0"/>
        <v>11</v>
      </c>
      <c r="AH27" s="1296">
        <f t="shared" si="1"/>
        <v>5.9</v>
      </c>
      <c r="AI27" s="1302" t="s">
        <v>160</v>
      </c>
      <c r="AJ27" s="1297">
        <f t="shared" si="5"/>
        <v>778.80000000000007</v>
      </c>
      <c r="AK27" s="1297"/>
      <c r="AL27" s="1302"/>
      <c r="AM27" s="1296">
        <f>IF(AH27="","",AH27*$AL$137)</f>
        <v>6.8306942074173307</v>
      </c>
      <c r="AN27" s="1298">
        <f t="shared" si="6"/>
        <v>901.65163537908757</v>
      </c>
      <c r="AP27" s="1311">
        <v>11</v>
      </c>
      <c r="AQ27" s="1299">
        <v>5.9</v>
      </c>
      <c r="AR27" s="1312" t="s">
        <v>160</v>
      </c>
      <c r="AS27" s="1300">
        <v>778.80000000000007</v>
      </c>
      <c r="AT27" s="1300"/>
      <c r="AU27" s="1312"/>
      <c r="AV27" s="1299">
        <v>6.8949880228761256</v>
      </c>
      <c r="AW27" s="1301">
        <v>910.13841901964861</v>
      </c>
      <c r="AY27" s="1311">
        <v>11</v>
      </c>
      <c r="AZ27" s="1299">
        <v>5.9</v>
      </c>
      <c r="BA27" s="1312" t="s">
        <v>160</v>
      </c>
      <c r="BB27" s="1300">
        <v>778.80000000000007</v>
      </c>
      <c r="BC27" s="1300"/>
      <c r="BD27" s="1312"/>
      <c r="BE27" s="1299">
        <v>6.5246815877247224</v>
      </c>
      <c r="BF27" s="1301">
        <v>861.25796957966327</v>
      </c>
    </row>
    <row r="28" spans="1:58">
      <c r="B28" s="858" t="s">
        <v>80</v>
      </c>
      <c r="D28" s="1244">
        <f>ROUND('Billing Units'!T17,0)</f>
        <v>10011</v>
      </c>
      <c r="E28" s="860">
        <f>'Rate Inputs'!T17</f>
        <v>6.32</v>
      </c>
      <c r="F28" s="838" t="str">
        <f>'Rate Inputs'!U17</f>
        <v>per month</v>
      </c>
      <c r="H28" s="860">
        <f t="shared" ref="H28:H33" si="11">D28*E28*12</f>
        <v>759234.24</v>
      </c>
      <c r="J28" s="1330">
        <f>IF($D$3=2026,D28,'Billing Units'!V17)</f>
        <v>10011</v>
      </c>
      <c r="K28" s="1303">
        <f t="shared" ref="K28:K33" si="12">W28</f>
        <v>7.3858176787418834</v>
      </c>
      <c r="L28" s="1304" t="str">
        <f>'Rate Inputs'!W17</f>
        <v>per month</v>
      </c>
      <c r="N28" s="1305">
        <f t="shared" ref="N28:N33" si="13">J28*K28*12</f>
        <v>887273.04938262003</v>
      </c>
      <c r="P28" s="1047">
        <f t="shared" ref="P28:P33" si="14">IF(AND(N28=0,NOT(H28=0)),0,N28-H28)</f>
        <v>128038.80938262003</v>
      </c>
      <c r="Q28" s="1043"/>
      <c r="R28" s="1074">
        <f t="shared" ref="R28:R33" si="15">IF(D28=0,0,ROUND((N28-H28)/H28,9))</f>
        <v>0.16864203799999999</v>
      </c>
      <c r="T28" s="1123"/>
      <c r="V28" s="692"/>
      <c r="W28" s="1306">
        <f t="shared" si="7"/>
        <v>7.3858176787418834</v>
      </c>
      <c r="X28" s="1307">
        <v>6.32</v>
      </c>
      <c r="Y28" s="1308">
        <f t="shared" si="8"/>
        <v>7.7721846420473835</v>
      </c>
      <c r="Z28" s="1308">
        <f t="shared" ref="Z28:Z33" si="16">Y28-$H$194</f>
        <v>7.6484645285183914</v>
      </c>
      <c r="AA28" s="1308">
        <f t="shared" si="9"/>
        <v>7.3858176787418834</v>
      </c>
      <c r="AB28" s="1309">
        <f t="shared" si="10"/>
        <v>6.9891504465119061</v>
      </c>
      <c r="AC28" s="692"/>
      <c r="AG28" s="1310">
        <f t="shared" si="0"/>
        <v>10011</v>
      </c>
      <c r="AH28" s="1296">
        <f t="shared" si="1"/>
        <v>6.32</v>
      </c>
      <c r="AI28" s="1302" t="s">
        <v>160</v>
      </c>
      <c r="AJ28" s="1297">
        <f t="shared" si="5"/>
        <v>759234.24</v>
      </c>
      <c r="AK28" s="1297"/>
      <c r="AL28" s="1302"/>
      <c r="AM28" s="1296">
        <f t="shared" ref="AM28:AM91" si="17">IF(AH28="","",AH28*$AL$137)</f>
        <v>7.3169470154029712</v>
      </c>
      <c r="AN28" s="1298">
        <f t="shared" si="6"/>
        <v>878999.47885438974</v>
      </c>
      <c r="AP28" s="1311">
        <v>10011</v>
      </c>
      <c r="AQ28" s="1299">
        <v>6.32</v>
      </c>
      <c r="AR28" s="1312" t="s">
        <v>160</v>
      </c>
      <c r="AS28" s="1300">
        <v>759234.24</v>
      </c>
      <c r="AT28" s="1300"/>
      <c r="AU28" s="1312"/>
      <c r="AV28" s="1299">
        <v>7.3858176787418834</v>
      </c>
      <c r="AW28" s="1301">
        <v>887273.04938262003</v>
      </c>
      <c r="AY28" s="1311">
        <v>10011</v>
      </c>
      <c r="AZ28" s="1299">
        <v>6.32</v>
      </c>
      <c r="BA28" s="1312" t="s">
        <v>160</v>
      </c>
      <c r="BB28" s="1300">
        <v>759234.24</v>
      </c>
      <c r="BC28" s="1300"/>
      <c r="BD28" s="1312"/>
      <c r="BE28" s="1299">
        <v>6.9891504465119061</v>
      </c>
      <c r="BF28" s="1301">
        <v>839620.62144036836</v>
      </c>
    </row>
    <row r="29" spans="1:58">
      <c r="B29" s="858" t="s">
        <v>83</v>
      </c>
      <c r="D29" s="1244">
        <f>ROUND('Billing Units'!T18,0)</f>
        <v>74170</v>
      </c>
      <c r="E29" s="860">
        <f>'Rate Inputs'!T18</f>
        <v>7.05</v>
      </c>
      <c r="F29" s="838" t="str">
        <f>'Rate Inputs'!U18</f>
        <v>per month</v>
      </c>
      <c r="H29" s="860">
        <f t="shared" si="11"/>
        <v>6274782</v>
      </c>
      <c r="J29" s="1330">
        <f>IF($D$3=2026,D29,'Billing Units'!V18)</f>
        <v>74170</v>
      </c>
      <c r="K29" s="1303">
        <f t="shared" si="12"/>
        <v>8.238926366318081</v>
      </c>
      <c r="L29" s="1304" t="str">
        <f>'Rate Inputs'!W18</f>
        <v>per month</v>
      </c>
      <c r="N29" s="1305">
        <f t="shared" si="13"/>
        <v>7332974.023077745</v>
      </c>
      <c r="P29" s="1047">
        <f t="shared" si="14"/>
        <v>1058192.023077745</v>
      </c>
      <c r="Q29" s="1043"/>
      <c r="R29" s="1074">
        <f t="shared" si="15"/>
        <v>0.16864203799999999</v>
      </c>
      <c r="T29" s="1123"/>
      <c r="V29" s="692"/>
      <c r="W29" s="1306">
        <f t="shared" si="7"/>
        <v>8.238926366318081</v>
      </c>
      <c r="X29" s="1307">
        <v>7.05</v>
      </c>
      <c r="Y29" s="1308">
        <f t="shared" si="8"/>
        <v>8.5021846420473821</v>
      </c>
      <c r="Z29" s="1308">
        <f t="shared" si="16"/>
        <v>8.378464528518391</v>
      </c>
      <c r="AA29" s="1308">
        <f t="shared" si="9"/>
        <v>8.238926366318081</v>
      </c>
      <c r="AB29" s="1309">
        <f t="shared" si="10"/>
        <v>7.7964415582134388</v>
      </c>
      <c r="AC29" s="692"/>
      <c r="AG29" s="1310">
        <f t="shared" si="0"/>
        <v>74170</v>
      </c>
      <c r="AH29" s="1296">
        <f t="shared" si="1"/>
        <v>7.05</v>
      </c>
      <c r="AI29" s="1302" t="s">
        <v>160</v>
      </c>
      <c r="AJ29" s="1297">
        <f t="shared" si="5"/>
        <v>6274782</v>
      </c>
      <c r="AK29" s="1297"/>
      <c r="AL29" s="1302"/>
      <c r="AM29" s="1296">
        <f t="shared" si="17"/>
        <v>8.1621007054732502</v>
      </c>
      <c r="AN29" s="1298">
        <f t="shared" si="6"/>
        <v>7264596.1118994113</v>
      </c>
      <c r="AP29" s="1311">
        <v>74170</v>
      </c>
      <c r="AQ29" s="1299">
        <v>7.05</v>
      </c>
      <c r="AR29" s="1312" t="s">
        <v>160</v>
      </c>
      <c r="AS29" s="1300">
        <v>6274782</v>
      </c>
      <c r="AT29" s="1300"/>
      <c r="AU29" s="1312"/>
      <c r="AV29" s="1299">
        <v>8.238926366318081</v>
      </c>
      <c r="AW29" s="1301">
        <v>7332974.023077745</v>
      </c>
      <c r="AY29" s="1311">
        <v>74170</v>
      </c>
      <c r="AZ29" s="1299">
        <v>7.05</v>
      </c>
      <c r="BA29" s="1312" t="s">
        <v>160</v>
      </c>
      <c r="BB29" s="1300">
        <v>6274782</v>
      </c>
      <c r="BC29" s="1300"/>
      <c r="BD29" s="1312"/>
      <c r="BE29" s="1299">
        <v>7.7964415582134388</v>
      </c>
      <c r="BF29" s="1301">
        <v>6939144.8444722891</v>
      </c>
    </row>
    <row r="30" spans="1:58">
      <c r="B30" s="858" t="s">
        <v>85</v>
      </c>
      <c r="D30" s="1244">
        <f>ROUND('Billing Units'!T19,0)</f>
        <v>610</v>
      </c>
      <c r="E30" s="860">
        <f>'Rate Inputs'!T19</f>
        <v>7.89</v>
      </c>
      <c r="F30" s="838" t="str">
        <f>'Rate Inputs'!U19</f>
        <v>per month</v>
      </c>
      <c r="H30" s="860">
        <f t="shared" si="11"/>
        <v>57754.799999999996</v>
      </c>
      <c r="J30" s="1330">
        <f>IF($D$3=2026,D30,'Billing Units'!V19)</f>
        <v>610</v>
      </c>
      <c r="K30" s="1303">
        <f t="shared" si="12"/>
        <v>9.2205856780495967</v>
      </c>
      <c r="L30" s="1304" t="str">
        <f>'Rate Inputs'!W19</f>
        <v>per month</v>
      </c>
      <c r="N30" s="1305">
        <f t="shared" si="13"/>
        <v>67494.687163323048</v>
      </c>
      <c r="P30" s="1047">
        <f t="shared" si="14"/>
        <v>9739.8871633230519</v>
      </c>
      <c r="Q30" s="1043"/>
      <c r="R30" s="1074">
        <f t="shared" si="15"/>
        <v>0.16864203799999999</v>
      </c>
      <c r="T30" s="1123"/>
      <c r="V30" s="692"/>
      <c r="W30" s="1306">
        <f t="shared" si="7"/>
        <v>9.2205856780495967</v>
      </c>
      <c r="X30" s="1307">
        <v>7.89</v>
      </c>
      <c r="Y30" s="1308">
        <f t="shared" si="8"/>
        <v>9.342184642047382</v>
      </c>
      <c r="Z30" s="1308">
        <f t="shared" si="16"/>
        <v>9.2184645285183908</v>
      </c>
      <c r="AA30" s="1308">
        <f t="shared" si="9"/>
        <v>9.2205856780495967</v>
      </c>
      <c r="AB30" s="1309">
        <f t="shared" si="10"/>
        <v>8.7253792757878053</v>
      </c>
      <c r="AC30" s="692"/>
      <c r="AG30" s="1310">
        <f t="shared" si="0"/>
        <v>610</v>
      </c>
      <c r="AH30" s="1296">
        <f t="shared" si="1"/>
        <v>7.89</v>
      </c>
      <c r="AI30" s="1302" t="s">
        <v>160</v>
      </c>
      <c r="AJ30" s="1297">
        <f t="shared" si="5"/>
        <v>57754.799999999996</v>
      </c>
      <c r="AK30" s="1297"/>
      <c r="AL30" s="1302"/>
      <c r="AM30" s="1296">
        <f t="shared" si="17"/>
        <v>9.1346063214445312</v>
      </c>
      <c r="AN30" s="1298">
        <f t="shared" si="6"/>
        <v>66865.318272973964</v>
      </c>
      <c r="AP30" s="1311">
        <v>610</v>
      </c>
      <c r="AQ30" s="1299">
        <v>7.89</v>
      </c>
      <c r="AR30" s="1312" t="s">
        <v>160</v>
      </c>
      <c r="AS30" s="1300">
        <v>57754.799999999996</v>
      </c>
      <c r="AT30" s="1300"/>
      <c r="AU30" s="1312"/>
      <c r="AV30" s="1299">
        <v>9.2205856780495967</v>
      </c>
      <c r="AW30" s="1301">
        <v>67494.687163323048</v>
      </c>
      <c r="AY30" s="1311">
        <v>610</v>
      </c>
      <c r="AZ30" s="1299">
        <v>7.89</v>
      </c>
      <c r="BA30" s="1312" t="s">
        <v>160</v>
      </c>
      <c r="BB30" s="1300">
        <v>57754.799999999996</v>
      </c>
      <c r="BC30" s="1300"/>
      <c r="BD30" s="1312"/>
      <c r="BE30" s="1299">
        <v>8.7253792757878053</v>
      </c>
      <c r="BF30" s="1301">
        <v>63869.776298766737</v>
      </c>
    </row>
    <row r="31" spans="1:58">
      <c r="B31" s="858" t="s">
        <v>87</v>
      </c>
      <c r="D31" s="1244">
        <f>ROUND('Billing Units'!T20,0)</f>
        <v>18448</v>
      </c>
      <c r="E31" s="860">
        <f>'Rate Inputs'!T20</f>
        <v>12.16</v>
      </c>
      <c r="F31" s="838" t="str">
        <f>'Rate Inputs'!U20</f>
        <v>per month</v>
      </c>
      <c r="H31" s="860">
        <f t="shared" si="11"/>
        <v>2691932.1600000001</v>
      </c>
      <c r="J31" s="1330">
        <f>IF($D$3=2026,D31,'Billing Units'!V20)</f>
        <v>18448</v>
      </c>
      <c r="K31" s="1303">
        <f t="shared" si="12"/>
        <v>14.210687179351471</v>
      </c>
      <c r="L31" s="1304" t="str">
        <f>'Rate Inputs'!W20</f>
        <v>per month</v>
      </c>
      <c r="N31" s="1305">
        <f t="shared" si="13"/>
        <v>3145905.0850161114</v>
      </c>
      <c r="P31" s="1047">
        <f t="shared" si="14"/>
        <v>453972.92501611123</v>
      </c>
      <c r="Q31" s="1043"/>
      <c r="R31" s="1074">
        <f t="shared" si="15"/>
        <v>0.16864203799999999</v>
      </c>
      <c r="T31" s="1123"/>
      <c r="V31" s="692"/>
      <c r="W31" s="1306">
        <f t="shared" si="7"/>
        <v>14.210687179351471</v>
      </c>
      <c r="X31" s="1307">
        <v>12.16</v>
      </c>
      <c r="Y31" s="1308">
        <f t="shared" si="8"/>
        <v>13.612184642047383</v>
      </c>
      <c r="Z31" s="1308">
        <f t="shared" si="16"/>
        <v>13.488464528518392</v>
      </c>
      <c r="AA31" s="1308">
        <f t="shared" si="9"/>
        <v>14.210687179351471</v>
      </c>
      <c r="AB31" s="1309">
        <f t="shared" si="10"/>
        <v>13.447479340124174</v>
      </c>
      <c r="AC31" s="692"/>
      <c r="AG31" s="1310">
        <f t="shared" si="0"/>
        <v>18448</v>
      </c>
      <c r="AH31" s="1296">
        <f t="shared" si="1"/>
        <v>12.16</v>
      </c>
      <c r="AI31" s="1302" t="s">
        <v>160</v>
      </c>
      <c r="AJ31" s="1297">
        <f t="shared" si="5"/>
        <v>2691932.1600000001</v>
      </c>
      <c r="AK31" s="1297"/>
      <c r="AL31" s="1302"/>
      <c r="AM31" s="1296">
        <f t="shared" si="17"/>
        <v>14.078176535965209</v>
      </c>
      <c r="AN31" s="1298">
        <f t="shared" si="6"/>
        <v>3116570.4088258343</v>
      </c>
      <c r="AP31" s="1311">
        <v>18448</v>
      </c>
      <c r="AQ31" s="1299">
        <v>12.16</v>
      </c>
      <c r="AR31" s="1312" t="s">
        <v>160</v>
      </c>
      <c r="AS31" s="1300">
        <v>2691932.1600000001</v>
      </c>
      <c r="AT31" s="1300"/>
      <c r="AU31" s="1312"/>
      <c r="AV31" s="1299">
        <v>14.210687179351471</v>
      </c>
      <c r="AW31" s="1301">
        <v>3145905.0850161114</v>
      </c>
      <c r="AY31" s="1311">
        <v>18448</v>
      </c>
      <c r="AZ31" s="1299">
        <v>12.16</v>
      </c>
      <c r="BA31" s="1312" t="s">
        <v>160</v>
      </c>
      <c r="BB31" s="1300">
        <v>2691932.1600000001</v>
      </c>
      <c r="BC31" s="1300"/>
      <c r="BD31" s="1312"/>
      <c r="BE31" s="1299">
        <v>13.447479340124174</v>
      </c>
      <c r="BF31" s="1301">
        <v>2976949.186399329</v>
      </c>
    </row>
    <row r="32" spans="1:58">
      <c r="B32" s="858" t="s">
        <v>91</v>
      </c>
      <c r="D32" s="1244">
        <f>ROUND('Billing Units'!T21,0)</f>
        <v>746</v>
      </c>
      <c r="E32" s="860">
        <f>'Rate Inputs'!T21</f>
        <v>13.32</v>
      </c>
      <c r="F32" s="838" t="str">
        <f>'Rate Inputs'!U21</f>
        <v>per month</v>
      </c>
      <c r="H32" s="860">
        <f t="shared" si="11"/>
        <v>119240.63999999998</v>
      </c>
      <c r="J32" s="1330">
        <f>IF($D$3=2026,D32,'Billing Units'!V21)</f>
        <v>746</v>
      </c>
      <c r="K32" s="1303">
        <f t="shared" si="12"/>
        <v>15.566311943171184</v>
      </c>
      <c r="L32" s="1304" t="str">
        <f>'Rate Inputs'!W21</f>
        <v>per month</v>
      </c>
      <c r="N32" s="1305">
        <f t="shared" si="13"/>
        <v>139349.62451526846</v>
      </c>
      <c r="P32" s="1047">
        <f t="shared" si="14"/>
        <v>20108.984515268472</v>
      </c>
      <c r="Q32" s="1043"/>
      <c r="R32" s="1074">
        <f t="shared" si="15"/>
        <v>0.16864203799999999</v>
      </c>
      <c r="T32" s="1123"/>
      <c r="V32" s="692"/>
      <c r="W32" s="1306">
        <f t="shared" si="7"/>
        <v>15.566311943171184</v>
      </c>
      <c r="X32" s="1307">
        <v>13.32</v>
      </c>
      <c r="Y32" s="1308">
        <f t="shared" si="8"/>
        <v>14.772184642047383</v>
      </c>
      <c r="Z32" s="1308">
        <f t="shared" si="16"/>
        <v>14.648464528518392</v>
      </c>
      <c r="AA32" s="1308">
        <f t="shared" si="9"/>
        <v>15.566311943171184</v>
      </c>
      <c r="AB32" s="1309">
        <f t="shared" si="10"/>
        <v>14.730298092964967</v>
      </c>
      <c r="AC32" s="692"/>
      <c r="AG32" s="1310">
        <f t="shared" si="0"/>
        <v>746</v>
      </c>
      <c r="AH32" s="1296">
        <f t="shared" si="1"/>
        <v>13.32</v>
      </c>
      <c r="AI32" s="1302" t="s">
        <v>160</v>
      </c>
      <c r="AJ32" s="1297">
        <f t="shared" si="5"/>
        <v>119240.63999999998</v>
      </c>
      <c r="AK32" s="1297"/>
      <c r="AL32" s="1302"/>
      <c r="AM32" s="1296">
        <f t="shared" si="17"/>
        <v>15.421160481830311</v>
      </c>
      <c r="AN32" s="1298">
        <f t="shared" si="6"/>
        <v>138050.22863334493</v>
      </c>
      <c r="AP32" s="1311">
        <v>746</v>
      </c>
      <c r="AQ32" s="1299">
        <v>13.32</v>
      </c>
      <c r="AR32" s="1312" t="s">
        <v>160</v>
      </c>
      <c r="AS32" s="1300">
        <v>119240.63999999998</v>
      </c>
      <c r="AT32" s="1300"/>
      <c r="AU32" s="1312"/>
      <c r="AV32" s="1299">
        <v>15.566311943171184</v>
      </c>
      <c r="AW32" s="1301">
        <v>139349.62451526846</v>
      </c>
      <c r="AY32" s="1311">
        <v>746</v>
      </c>
      <c r="AZ32" s="1299">
        <v>13.32</v>
      </c>
      <c r="BA32" s="1312" t="s">
        <v>160</v>
      </c>
      <c r="BB32" s="1300">
        <v>119240.63999999998</v>
      </c>
      <c r="BC32" s="1300"/>
      <c r="BD32" s="1312"/>
      <c r="BE32" s="1299">
        <v>14.730298092964967</v>
      </c>
      <c r="BF32" s="1301">
        <v>131865.62852822238</v>
      </c>
    </row>
    <row r="33" spans="2:58">
      <c r="B33" s="858" t="s">
        <v>93</v>
      </c>
      <c r="D33" s="1244">
        <f>ROUND('Billing Units'!T22,0)</f>
        <v>1136</v>
      </c>
      <c r="E33" s="860">
        <f>'Rate Inputs'!T22</f>
        <v>18.16</v>
      </c>
      <c r="F33" s="838" t="str">
        <f>'Rate Inputs'!U22</f>
        <v>per month</v>
      </c>
      <c r="H33" s="860">
        <f t="shared" si="11"/>
        <v>247557.12</v>
      </c>
      <c r="J33" s="1330">
        <f>IF($D$3=2026,D33,'Billing Units'!V22)</f>
        <v>1136</v>
      </c>
      <c r="K33" s="1303">
        <f t="shared" si="12"/>
        <v>21.222539406005158</v>
      </c>
      <c r="L33" s="1304" t="str">
        <f>'Rate Inputs'!W22</f>
        <v>per month</v>
      </c>
      <c r="N33" s="1305">
        <f t="shared" si="13"/>
        <v>289305.65718266228</v>
      </c>
      <c r="P33" s="1047">
        <f t="shared" si="14"/>
        <v>41748.537182662287</v>
      </c>
      <c r="Q33" s="1043"/>
      <c r="R33" s="1074">
        <f t="shared" si="15"/>
        <v>0.16864203799999999</v>
      </c>
      <c r="T33" s="1123"/>
      <c r="V33" s="692"/>
      <c r="W33" s="1306">
        <f t="shared" si="7"/>
        <v>21.222539406005158</v>
      </c>
      <c r="X33" s="1307">
        <v>18.16</v>
      </c>
      <c r="Y33" s="1308">
        <f t="shared" si="8"/>
        <v>19.612184642047382</v>
      </c>
      <c r="Z33" s="1308">
        <f t="shared" si="16"/>
        <v>19.488464528518389</v>
      </c>
      <c r="AA33" s="1308">
        <f t="shared" si="9"/>
        <v>21.222539406005158</v>
      </c>
      <c r="AB33" s="1309">
        <f t="shared" si="10"/>
        <v>20.082748751369653</v>
      </c>
      <c r="AC33" s="692"/>
      <c r="AG33" s="1310">
        <f t="shared" si="0"/>
        <v>1136</v>
      </c>
      <c r="AH33" s="1296">
        <f t="shared" si="1"/>
        <v>18.16</v>
      </c>
      <c r="AI33" s="1302" t="s">
        <v>160</v>
      </c>
      <c r="AJ33" s="1297">
        <f t="shared" si="5"/>
        <v>247557.12</v>
      </c>
      <c r="AK33" s="1297"/>
      <c r="AL33" s="1302"/>
      <c r="AM33" s="1296">
        <f t="shared" si="17"/>
        <v>21.024645221474358</v>
      </c>
      <c r="AN33" s="1298">
        <f t="shared" si="6"/>
        <v>286607.96365913848</v>
      </c>
      <c r="AP33" s="1311">
        <v>1136</v>
      </c>
      <c r="AQ33" s="1299">
        <v>18.16</v>
      </c>
      <c r="AR33" s="1312" t="s">
        <v>160</v>
      </c>
      <c r="AS33" s="1300">
        <v>247557.12</v>
      </c>
      <c r="AT33" s="1300"/>
      <c r="AU33" s="1312"/>
      <c r="AV33" s="1299">
        <v>21.222539406005158</v>
      </c>
      <c r="AW33" s="1301">
        <v>289305.65718266228</v>
      </c>
      <c r="AY33" s="1311">
        <v>1136</v>
      </c>
      <c r="AZ33" s="1299">
        <v>18.16</v>
      </c>
      <c r="BA33" s="1312" t="s">
        <v>160</v>
      </c>
      <c r="BB33" s="1300">
        <v>247557.12</v>
      </c>
      <c r="BC33" s="1300"/>
      <c r="BD33" s="1312"/>
      <c r="BE33" s="1299">
        <v>20.082748751369653</v>
      </c>
      <c r="BF33" s="1301">
        <v>273768.03097867116</v>
      </c>
    </row>
    <row r="34" spans="2:58">
      <c r="B34" s="861"/>
      <c r="D34" s="1313"/>
      <c r="E34" s="860"/>
      <c r="F34" s="862"/>
      <c r="H34" s="860"/>
      <c r="K34" s="860"/>
      <c r="L34" s="1314"/>
      <c r="N34" s="1305"/>
      <c r="P34" s="1293"/>
      <c r="R34" s="1294"/>
      <c r="T34" s="1123"/>
      <c r="V34" s="1155"/>
      <c r="W34" s="1306"/>
      <c r="X34" s="860"/>
      <c r="Y34" s="860"/>
      <c r="Z34" s="860"/>
      <c r="AA34" s="860"/>
      <c r="AB34" s="1304"/>
      <c r="AC34" s="692"/>
      <c r="AG34" s="1244" t="str">
        <f t="shared" si="0"/>
        <v/>
      </c>
      <c r="AH34" s="1296" t="str">
        <f t="shared" si="1"/>
        <v/>
      </c>
      <c r="AJ34" s="1297" t="str">
        <f t="shared" si="5"/>
        <v/>
      </c>
      <c r="AK34" s="1297"/>
      <c r="AM34" s="1296" t="str">
        <f t="shared" si="17"/>
        <v/>
      </c>
      <c r="AN34" s="1298" t="str">
        <f t="shared" si="6"/>
        <v/>
      </c>
      <c r="AP34" s="1245" t="s">
        <v>608</v>
      </c>
      <c r="AQ34" s="1299" t="s">
        <v>608</v>
      </c>
      <c r="AR34" s="1246"/>
      <c r="AS34" s="1300" t="s">
        <v>608</v>
      </c>
      <c r="AT34" s="1300"/>
      <c r="AU34" s="1246"/>
      <c r="AV34" s="1299" t="s">
        <v>608</v>
      </c>
      <c r="AW34" s="1301" t="s">
        <v>608</v>
      </c>
      <c r="AY34" s="1245" t="s">
        <v>608</v>
      </c>
      <c r="AZ34" s="1299" t="s">
        <v>608</v>
      </c>
      <c r="BA34" s="1246"/>
      <c r="BB34" s="1300" t="s">
        <v>608</v>
      </c>
      <c r="BC34" s="1300"/>
      <c r="BD34" s="1246"/>
      <c r="BE34" s="1299" t="s">
        <v>608</v>
      </c>
      <c r="BF34" s="1301" t="s">
        <v>608</v>
      </c>
    </row>
    <row r="35" spans="2:58">
      <c r="B35" s="856" t="s">
        <v>94</v>
      </c>
      <c r="D35" s="1313"/>
      <c r="E35" s="860"/>
      <c r="F35" s="862"/>
      <c r="H35" s="860"/>
      <c r="K35" s="860"/>
      <c r="L35" s="1314"/>
      <c r="N35" s="1305"/>
      <c r="P35" s="1293"/>
      <c r="R35" s="1294"/>
      <c r="T35" s="1123"/>
      <c r="V35" s="1155"/>
      <c r="W35" s="1306"/>
      <c r="X35" s="860"/>
      <c r="Y35" s="860"/>
      <c r="Z35" s="860"/>
      <c r="AA35" s="860"/>
      <c r="AB35" s="1304"/>
      <c r="AC35" s="692"/>
      <c r="AG35" s="1244" t="str">
        <f t="shared" si="0"/>
        <v/>
      </c>
      <c r="AH35" s="1296" t="str">
        <f t="shared" si="1"/>
        <v/>
      </c>
      <c r="AJ35" s="1297" t="str">
        <f t="shared" si="5"/>
        <v/>
      </c>
      <c r="AK35" s="1297"/>
      <c r="AM35" s="1296" t="str">
        <f t="shared" si="17"/>
        <v/>
      </c>
      <c r="AN35" s="1298" t="str">
        <f t="shared" si="6"/>
        <v/>
      </c>
      <c r="AP35" s="1245" t="s">
        <v>608</v>
      </c>
      <c r="AQ35" s="1299" t="s">
        <v>608</v>
      </c>
      <c r="AR35" s="1246"/>
      <c r="AS35" s="1300" t="s">
        <v>608</v>
      </c>
      <c r="AT35" s="1300"/>
      <c r="AU35" s="1246"/>
      <c r="AV35" s="1299" t="s">
        <v>608</v>
      </c>
      <c r="AW35" s="1301" t="s">
        <v>608</v>
      </c>
      <c r="AY35" s="1245" t="s">
        <v>608</v>
      </c>
      <c r="AZ35" s="1299" t="s">
        <v>608</v>
      </c>
      <c r="BA35" s="1246"/>
      <c r="BB35" s="1300" t="s">
        <v>608</v>
      </c>
      <c r="BC35" s="1300"/>
      <c r="BD35" s="1246"/>
      <c r="BE35" s="1299" t="s">
        <v>608</v>
      </c>
      <c r="BF35" s="1301" t="s">
        <v>608</v>
      </c>
    </row>
    <row r="36" spans="2:58">
      <c r="B36" s="857" t="s">
        <v>504</v>
      </c>
      <c r="D36" s="1313"/>
      <c r="E36" s="860"/>
      <c r="F36" s="862"/>
      <c r="H36" s="860"/>
      <c r="K36" s="860"/>
      <c r="L36" s="1314"/>
      <c r="N36" s="1305"/>
      <c r="P36" s="1293"/>
      <c r="R36" s="1294"/>
      <c r="T36" s="1123"/>
      <c r="V36" s="692"/>
      <c r="W36" s="1306"/>
      <c r="X36" s="860"/>
      <c r="Y36" s="860"/>
      <c r="Z36" s="860"/>
      <c r="AA36" s="860"/>
      <c r="AB36" s="1304"/>
      <c r="AC36" s="692"/>
      <c r="AG36" s="1244" t="str">
        <f t="shared" si="0"/>
        <v/>
      </c>
      <c r="AH36" s="1296" t="str">
        <f t="shared" si="1"/>
        <v/>
      </c>
      <c r="AJ36" s="1297" t="str">
        <f t="shared" si="5"/>
        <v/>
      </c>
      <c r="AK36" s="1297"/>
      <c r="AM36" s="1296" t="str">
        <f t="shared" si="17"/>
        <v/>
      </c>
      <c r="AN36" s="1298" t="str">
        <f t="shared" si="6"/>
        <v/>
      </c>
      <c r="AP36" s="1245" t="s">
        <v>608</v>
      </c>
      <c r="AQ36" s="1299" t="s">
        <v>608</v>
      </c>
      <c r="AR36" s="1246"/>
      <c r="AS36" s="1300" t="s">
        <v>608</v>
      </c>
      <c r="AT36" s="1300"/>
      <c r="AU36" s="1246"/>
      <c r="AV36" s="1299" t="s">
        <v>608</v>
      </c>
      <c r="AW36" s="1301" t="s">
        <v>608</v>
      </c>
      <c r="AY36" s="1245" t="s">
        <v>608</v>
      </c>
      <c r="AZ36" s="1299" t="s">
        <v>608</v>
      </c>
      <c r="BA36" s="1246"/>
      <c r="BB36" s="1300" t="s">
        <v>608</v>
      </c>
      <c r="BC36" s="1300"/>
      <c r="BD36" s="1246"/>
      <c r="BE36" s="1299" t="s">
        <v>608</v>
      </c>
      <c r="BF36" s="1301" t="s">
        <v>608</v>
      </c>
    </row>
    <row r="37" spans="2:58">
      <c r="B37" s="858" t="s">
        <v>75</v>
      </c>
      <c r="D37" s="1244">
        <f>ROUND('Billing Units'!T26,0)</f>
        <v>35</v>
      </c>
      <c r="E37" s="860">
        <f>'Rate Inputs'!T26</f>
        <v>8.9499999999999993</v>
      </c>
      <c r="F37" s="860" t="str">
        <f>'Rate Inputs'!U26</f>
        <v>per month</v>
      </c>
      <c r="H37" s="860">
        <f t="shared" ref="H37:H42" si="18">D37*E37*12</f>
        <v>3759</v>
      </c>
      <c r="J37" s="1330">
        <f>IF($D$3=2026,D37,'Billing Units'!V26)</f>
        <v>35</v>
      </c>
      <c r="K37" s="1303">
        <f t="shared" ref="K37:K42" si="19">W37</f>
        <v>10.459346238091747</v>
      </c>
      <c r="L37" s="1304" t="str">
        <f>'Rate Inputs'!W26</f>
        <v>per month</v>
      </c>
      <c r="N37" s="1305">
        <f t="shared" ref="N37:N42" si="20">J37*K37*12</f>
        <v>4392.9254199985335</v>
      </c>
      <c r="P37" s="1047">
        <f t="shared" ref="P37" si="21">IF(AND(N37=0,NOT(H37=0)),0,N37-H37)</f>
        <v>633.92541999853347</v>
      </c>
      <c r="Q37" s="1043"/>
      <c r="R37" s="1074">
        <f t="shared" ref="R37" si="22">IF(D37=0,0,ROUND((N37-H37)/H37,9))</f>
        <v>0.16864203799999999</v>
      </c>
      <c r="T37" s="1123"/>
      <c r="V37" s="692"/>
      <c r="W37" s="1306">
        <f t="shared" ref="W37:W42" si="23">INDEX($X37:$AB37,MATCH($D$6,$X$8:$AB$8,0))</f>
        <v>10.459346238091747</v>
      </c>
      <c r="X37" s="1307">
        <v>8.9499999999999993</v>
      </c>
      <c r="Y37" s="1308">
        <f t="shared" ref="Y37:Y42" si="24">X37+$H$191</f>
        <v>10.402184642047382</v>
      </c>
      <c r="Z37" s="1308">
        <f t="shared" ref="Z37:Z42" si="25">Y37-$H$194</f>
        <v>10.278464528518391</v>
      </c>
      <c r="AA37" s="1308">
        <f t="shared" ref="AA37:AA42" si="26">AV37</f>
        <v>10.459346238091747</v>
      </c>
      <c r="AB37" s="1309">
        <f t="shared" ref="AB37:AB42" si="27">BE37</f>
        <v>9.8976102051078403</v>
      </c>
      <c r="AC37" s="692"/>
      <c r="AG37" s="1310">
        <f t="shared" si="0"/>
        <v>35</v>
      </c>
      <c r="AH37" s="1296">
        <f t="shared" si="1"/>
        <v>8.9499999999999993</v>
      </c>
      <c r="AI37" s="1302" t="s">
        <v>160</v>
      </c>
      <c r="AJ37" s="1297">
        <f t="shared" si="5"/>
        <v>3759</v>
      </c>
      <c r="AK37" s="1297"/>
      <c r="AL37" s="1302"/>
      <c r="AM37" s="1296">
        <f t="shared" si="17"/>
        <v>10.361815789217813</v>
      </c>
      <c r="AN37" s="1298">
        <f t="shared" si="6"/>
        <v>4351.9626314714815</v>
      </c>
      <c r="AP37" s="1311">
        <v>35</v>
      </c>
      <c r="AQ37" s="1299">
        <v>8.9499999999999993</v>
      </c>
      <c r="AR37" s="1312" t="s">
        <v>160</v>
      </c>
      <c r="AS37" s="1300">
        <v>3759</v>
      </c>
      <c r="AT37" s="1300"/>
      <c r="AU37" s="1312"/>
      <c r="AV37" s="1299">
        <v>10.459346238091747</v>
      </c>
      <c r="AW37" s="1301">
        <v>4392.9254199985335</v>
      </c>
      <c r="AY37" s="1311">
        <v>35</v>
      </c>
      <c r="AZ37" s="1299">
        <v>8.9499999999999993</v>
      </c>
      <c r="BA37" s="1312" t="s">
        <v>160</v>
      </c>
      <c r="BB37" s="1300">
        <v>3759</v>
      </c>
      <c r="BC37" s="1300"/>
      <c r="BD37" s="1312"/>
      <c r="BE37" s="1299">
        <v>9.8976102051078403</v>
      </c>
      <c r="BF37" s="1301">
        <v>4156.9962861452932</v>
      </c>
    </row>
    <row r="38" spans="2:58">
      <c r="B38" s="858" t="s">
        <v>80</v>
      </c>
      <c r="D38" s="1315">
        <v>57291</v>
      </c>
      <c r="E38" s="860">
        <f>'Rate Inputs'!T27</f>
        <v>9.32</v>
      </c>
      <c r="F38" s="860" t="str">
        <f>'Rate Inputs'!U27</f>
        <v>per month</v>
      </c>
      <c r="H38" s="860">
        <f t="shared" si="18"/>
        <v>6407425.4399999995</v>
      </c>
      <c r="J38" s="1330">
        <f>IF($D$3=2026,D38,'Billing Units'!V27)</f>
        <v>48238</v>
      </c>
      <c r="K38" s="1303">
        <f t="shared" si="19"/>
        <v>10.891743792068727</v>
      </c>
      <c r="L38" s="1304" t="str">
        <f>'Rate Inputs'!W27</f>
        <v>per month</v>
      </c>
      <c r="N38" s="1305">
        <f t="shared" si="20"/>
        <v>6304751.244501736</v>
      </c>
      <c r="P38" s="1047">
        <f t="shared" ref="P38:P42" si="28">IF(AND(N38=0,NOT(H38=0)),0,N38-H38)</f>
        <v>-102674.19549826346</v>
      </c>
      <c r="Q38" s="1043"/>
      <c r="R38" s="1074">
        <f t="shared" ref="R38:R42" si="29">IF(D38=0,0,ROUND((N38-H38)/H38,9))</f>
        <v>-1.6024251E-2</v>
      </c>
      <c r="T38" s="1123"/>
      <c r="V38" s="692"/>
      <c r="W38" s="1306">
        <f t="shared" si="23"/>
        <v>10.891743792068727</v>
      </c>
      <c r="X38" s="1307">
        <v>9.32</v>
      </c>
      <c r="Y38" s="1308">
        <f t="shared" si="24"/>
        <v>10.772184642047383</v>
      </c>
      <c r="Z38" s="1308">
        <f t="shared" si="25"/>
        <v>10.648464528518392</v>
      </c>
      <c r="AA38" s="1308">
        <f t="shared" si="26"/>
        <v>10.891743792068727</v>
      </c>
      <c r="AB38" s="1309">
        <f t="shared" si="27"/>
        <v>10.306785152134646</v>
      </c>
      <c r="AC38" s="692"/>
      <c r="AG38" s="1310">
        <f t="shared" si="0"/>
        <v>48238</v>
      </c>
      <c r="AH38" s="1296">
        <f t="shared" si="1"/>
        <v>9.32</v>
      </c>
      <c r="AI38" s="1302" t="s">
        <v>160</v>
      </c>
      <c r="AJ38" s="1297">
        <f t="shared" si="5"/>
        <v>5394937.9199999999</v>
      </c>
      <c r="AK38" s="1297"/>
      <c r="AL38" s="1302"/>
      <c r="AM38" s="1296">
        <f t="shared" si="17"/>
        <v>10.790181358157545</v>
      </c>
      <c r="AN38" s="1298">
        <f t="shared" si="6"/>
        <v>6245961.2202576436</v>
      </c>
      <c r="AP38" s="1311">
        <v>48238</v>
      </c>
      <c r="AQ38" s="1299">
        <v>9.32</v>
      </c>
      <c r="AR38" s="1312" t="s">
        <v>160</v>
      </c>
      <c r="AS38" s="1300">
        <v>5394937.9199999999</v>
      </c>
      <c r="AT38" s="1300"/>
      <c r="AU38" s="1312"/>
      <c r="AV38" s="1299">
        <v>10.891743792068727</v>
      </c>
      <c r="AW38" s="1301">
        <v>6304751.244501736</v>
      </c>
      <c r="AY38" s="1311">
        <v>48238</v>
      </c>
      <c r="AZ38" s="1299">
        <v>9.32</v>
      </c>
      <c r="BA38" s="1312" t="s">
        <v>160</v>
      </c>
      <c r="BB38" s="1300">
        <v>5394937.9199999999</v>
      </c>
      <c r="BC38" s="1300"/>
      <c r="BD38" s="1312"/>
      <c r="BE38" s="1299">
        <v>10.306785152134646</v>
      </c>
      <c r="BF38" s="1301">
        <v>5966144.4260240532</v>
      </c>
    </row>
    <row r="39" spans="2:58">
      <c r="B39" s="858" t="s">
        <v>83</v>
      </c>
      <c r="D39" s="1315">
        <v>262102</v>
      </c>
      <c r="E39" s="860">
        <f>'Rate Inputs'!T28</f>
        <v>10.1</v>
      </c>
      <c r="F39" s="860" t="str">
        <f>'Rate Inputs'!U28</f>
        <v>per month</v>
      </c>
      <c r="H39" s="860">
        <f t="shared" si="18"/>
        <v>31766762.399999999</v>
      </c>
      <c r="J39" s="1330">
        <f>IF($D$3=2026,D39,'Billing Units'!V28)</f>
        <v>239243</v>
      </c>
      <c r="K39" s="1303">
        <f t="shared" si="19"/>
        <v>11.803284581533704</v>
      </c>
      <c r="L39" s="1304" t="str">
        <f>'Rate Inputs'!W28</f>
        <v>per month</v>
      </c>
      <c r="N39" s="1305">
        <f t="shared" si="20"/>
        <v>33886238.557678416</v>
      </c>
      <c r="P39" s="1047">
        <f t="shared" si="28"/>
        <v>2119476.1576784179</v>
      </c>
      <c r="Q39" s="1043"/>
      <c r="R39" s="1074">
        <f t="shared" si="29"/>
        <v>6.6719929999999997E-2</v>
      </c>
      <c r="T39" s="1123"/>
      <c r="V39" s="692"/>
      <c r="W39" s="1306">
        <f t="shared" si="23"/>
        <v>11.803284581533704</v>
      </c>
      <c r="X39" s="1307">
        <v>10.1</v>
      </c>
      <c r="Y39" s="1308">
        <f t="shared" si="24"/>
        <v>11.552184642047383</v>
      </c>
      <c r="Z39" s="1308">
        <f t="shared" si="25"/>
        <v>11.428464528518392</v>
      </c>
      <c r="AA39" s="1308">
        <f t="shared" si="26"/>
        <v>11.803284581533704</v>
      </c>
      <c r="AB39" s="1309">
        <f t="shared" si="27"/>
        <v>11.169370175596558</v>
      </c>
      <c r="AC39" s="692"/>
      <c r="AG39" s="1310">
        <f t="shared" si="0"/>
        <v>239243</v>
      </c>
      <c r="AH39" s="1296">
        <f t="shared" si="1"/>
        <v>10.1</v>
      </c>
      <c r="AI39" s="1302" t="s">
        <v>160</v>
      </c>
      <c r="AJ39" s="1297">
        <f t="shared" si="5"/>
        <v>28996251.599999998</v>
      </c>
      <c r="AK39" s="1297"/>
      <c r="AL39" s="1302"/>
      <c r="AM39" s="1296">
        <f t="shared" si="17"/>
        <v>11.693222287273734</v>
      </c>
      <c r="AN39" s="1298">
        <f t="shared" si="6"/>
        <v>33570258.956090763</v>
      </c>
      <c r="AP39" s="1311">
        <v>239243</v>
      </c>
      <c r="AQ39" s="1299">
        <v>10.1</v>
      </c>
      <c r="AR39" s="1312" t="s">
        <v>160</v>
      </c>
      <c r="AS39" s="1300">
        <v>28996251.599999998</v>
      </c>
      <c r="AT39" s="1300"/>
      <c r="AU39" s="1312"/>
      <c r="AV39" s="1299">
        <v>11.803284581533704</v>
      </c>
      <c r="AW39" s="1301">
        <v>33886238.557678416</v>
      </c>
      <c r="AY39" s="1311">
        <v>239243</v>
      </c>
      <c r="AZ39" s="1299">
        <v>10.1</v>
      </c>
      <c r="BA39" s="1312" t="s">
        <v>160</v>
      </c>
      <c r="BB39" s="1300">
        <v>28996251.599999998</v>
      </c>
      <c r="BC39" s="1300"/>
      <c r="BD39" s="1312"/>
      <c r="BE39" s="1299">
        <v>11.169370175596558</v>
      </c>
      <c r="BF39" s="1301">
        <v>32066323.547042966</v>
      </c>
    </row>
    <row r="40" spans="2:58">
      <c r="B40" s="858" t="s">
        <v>85</v>
      </c>
      <c r="D40" s="1244">
        <f>ROUND('Billing Units'!T29,0)</f>
        <v>736</v>
      </c>
      <c r="E40" s="860">
        <f>'Rate Inputs'!T29</f>
        <v>10.89</v>
      </c>
      <c r="F40" s="860" t="str">
        <f>'Rate Inputs'!U29</f>
        <v>per month</v>
      </c>
      <c r="H40" s="860">
        <f t="shared" si="18"/>
        <v>96180.48000000001</v>
      </c>
      <c r="J40" s="1330">
        <f>IF($D$3=2026,D40,'Billing Units'!V29)</f>
        <v>736</v>
      </c>
      <c r="K40" s="1303">
        <f t="shared" si="19"/>
        <v>12.726511791376442</v>
      </c>
      <c r="L40" s="1304" t="str">
        <f>'Rate Inputs'!W29</f>
        <v>per month</v>
      </c>
      <c r="N40" s="1305">
        <f t="shared" si="20"/>
        <v>112400.55214143672</v>
      </c>
      <c r="P40" s="1047">
        <f t="shared" si="28"/>
        <v>16220.072141436714</v>
      </c>
      <c r="Q40" s="1043"/>
      <c r="R40" s="1074">
        <f t="shared" si="29"/>
        <v>0.16864203799999999</v>
      </c>
      <c r="T40" s="1123"/>
      <c r="V40" s="692"/>
      <c r="W40" s="1306">
        <f t="shared" si="23"/>
        <v>12.726511791376442</v>
      </c>
      <c r="X40" s="1307">
        <v>10.89</v>
      </c>
      <c r="Y40" s="1308">
        <f t="shared" si="24"/>
        <v>12.342184642047384</v>
      </c>
      <c r="Z40" s="1308">
        <f t="shared" si="25"/>
        <v>12.218464528518393</v>
      </c>
      <c r="AA40" s="1308">
        <f t="shared" si="26"/>
        <v>12.726511791376442</v>
      </c>
      <c r="AB40" s="1309">
        <f t="shared" si="27"/>
        <v>12.043013981410546</v>
      </c>
      <c r="AC40" s="692"/>
      <c r="AG40" s="1310">
        <f t="shared" si="0"/>
        <v>736</v>
      </c>
      <c r="AH40" s="1296">
        <f t="shared" si="1"/>
        <v>10.89</v>
      </c>
      <c r="AI40" s="1302" t="s">
        <v>160</v>
      </c>
      <c r="AJ40" s="1297">
        <f t="shared" si="5"/>
        <v>96180.48000000001</v>
      </c>
      <c r="AK40" s="1297"/>
      <c r="AL40" s="1302"/>
      <c r="AM40" s="1296">
        <f t="shared" si="17"/>
        <v>12.607840664199106</v>
      </c>
      <c r="AN40" s="1298">
        <f t="shared" si="6"/>
        <v>111352.4487462065</v>
      </c>
      <c r="AP40" s="1311">
        <v>736</v>
      </c>
      <c r="AQ40" s="1299">
        <v>10.89</v>
      </c>
      <c r="AR40" s="1312" t="s">
        <v>160</v>
      </c>
      <c r="AS40" s="1300">
        <v>96180.48000000001</v>
      </c>
      <c r="AT40" s="1300"/>
      <c r="AU40" s="1312"/>
      <c r="AV40" s="1299">
        <v>12.726511791376442</v>
      </c>
      <c r="AW40" s="1301">
        <v>112400.55214143672</v>
      </c>
      <c r="AY40" s="1311">
        <v>736</v>
      </c>
      <c r="AZ40" s="1299">
        <v>10.89</v>
      </c>
      <c r="BA40" s="1312" t="s">
        <v>160</v>
      </c>
      <c r="BB40" s="1300">
        <v>96180.48000000001</v>
      </c>
      <c r="BC40" s="1300"/>
      <c r="BD40" s="1312"/>
      <c r="BE40" s="1299">
        <v>12.043013981410546</v>
      </c>
      <c r="BF40" s="1301">
        <v>106363.89948381795</v>
      </c>
    </row>
    <row r="41" spans="2:58">
      <c r="B41" s="858" t="s">
        <v>87</v>
      </c>
      <c r="D41" s="1244">
        <f>ROUND('Billing Units'!T30,0)</f>
        <v>36502</v>
      </c>
      <c r="E41" s="860">
        <f>'Rate Inputs'!T30</f>
        <v>13.16</v>
      </c>
      <c r="F41" s="860" t="str">
        <f>'Rate Inputs'!U30</f>
        <v>per month</v>
      </c>
      <c r="H41" s="860">
        <f t="shared" si="18"/>
        <v>5764395.8399999999</v>
      </c>
      <c r="J41" s="1330">
        <f>IF($D$3=2026,D41,'Billing Units'!V30)</f>
        <v>36502</v>
      </c>
      <c r="K41" s="1303">
        <f t="shared" si="19"/>
        <v>15.379329217127085</v>
      </c>
      <c r="L41" s="1304" t="str">
        <f>'Rate Inputs'!W30</f>
        <v>per month</v>
      </c>
      <c r="N41" s="1305">
        <f t="shared" si="20"/>
        <v>6736515.301002874</v>
      </c>
      <c r="P41" s="1047">
        <f t="shared" si="28"/>
        <v>972119.46100287419</v>
      </c>
      <c r="Q41" s="1043"/>
      <c r="R41" s="1074">
        <f t="shared" si="29"/>
        <v>0.16864203799999999</v>
      </c>
      <c r="T41" s="1123"/>
      <c r="V41" s="692"/>
      <c r="W41" s="1306">
        <f t="shared" si="23"/>
        <v>15.379329217127085</v>
      </c>
      <c r="X41" s="1307">
        <v>13.16</v>
      </c>
      <c r="Y41" s="1308">
        <f t="shared" si="24"/>
        <v>14.612184642047383</v>
      </c>
      <c r="Z41" s="1308">
        <f t="shared" si="25"/>
        <v>14.488464528518392</v>
      </c>
      <c r="AA41" s="1308">
        <f t="shared" si="26"/>
        <v>15.379329217127085</v>
      </c>
      <c r="AB41" s="1309">
        <f t="shared" si="27"/>
        <v>14.553357575331752</v>
      </c>
      <c r="AC41" s="692"/>
      <c r="AG41" s="1310">
        <f t="shared" si="0"/>
        <v>36502</v>
      </c>
      <c r="AH41" s="1296">
        <f t="shared" si="1"/>
        <v>13.16</v>
      </c>
      <c r="AI41" s="1302" t="s">
        <v>160</v>
      </c>
      <c r="AJ41" s="1297">
        <f t="shared" si="5"/>
        <v>5764395.8399999999</v>
      </c>
      <c r="AK41" s="1297"/>
      <c r="AL41" s="1302"/>
      <c r="AM41" s="1296">
        <f t="shared" si="17"/>
        <v>15.235921316883401</v>
      </c>
      <c r="AN41" s="1298">
        <f t="shared" si="6"/>
        <v>6673699.1989065344</v>
      </c>
      <c r="AP41" s="1311">
        <v>36502</v>
      </c>
      <c r="AQ41" s="1299">
        <v>13.16</v>
      </c>
      <c r="AR41" s="1312" t="s">
        <v>160</v>
      </c>
      <c r="AS41" s="1300">
        <v>5764395.8399999999</v>
      </c>
      <c r="AT41" s="1300"/>
      <c r="AU41" s="1312"/>
      <c r="AV41" s="1299">
        <v>15.379329217127085</v>
      </c>
      <c r="AW41" s="1301">
        <v>6736515.301002874</v>
      </c>
      <c r="AY41" s="1311">
        <v>36502</v>
      </c>
      <c r="AZ41" s="1299">
        <v>13.16</v>
      </c>
      <c r="BA41" s="1312" t="s">
        <v>160</v>
      </c>
      <c r="BB41" s="1300">
        <v>5764395.8399999999</v>
      </c>
      <c r="BC41" s="1300"/>
      <c r="BD41" s="1312"/>
      <c r="BE41" s="1299">
        <v>14.553357575331752</v>
      </c>
      <c r="BF41" s="1301">
        <v>6374719.8985771164</v>
      </c>
    </row>
    <row r="42" spans="2:58">
      <c r="B42" s="858" t="s">
        <v>91</v>
      </c>
      <c r="D42" s="1244">
        <f>ROUND('Billing Units'!T31,0)</f>
        <v>139</v>
      </c>
      <c r="E42" s="860">
        <f>'Rate Inputs'!T31</f>
        <v>14.32</v>
      </c>
      <c r="F42" s="860" t="str">
        <f>'Rate Inputs'!U31</f>
        <v>per month</v>
      </c>
      <c r="H42" s="860">
        <f t="shared" si="18"/>
        <v>23885.760000000002</v>
      </c>
      <c r="J42" s="1330">
        <f>IF($D$3=2026,D42,'Billing Units'!V31)</f>
        <v>139</v>
      </c>
      <c r="K42" s="1303">
        <f t="shared" si="19"/>
        <v>16.734953980946798</v>
      </c>
      <c r="L42" s="1304" t="str">
        <f>'Rate Inputs'!W31</f>
        <v>per month</v>
      </c>
      <c r="N42" s="1305">
        <f t="shared" si="20"/>
        <v>27913.903240219261</v>
      </c>
      <c r="P42" s="1047">
        <f t="shared" si="28"/>
        <v>4028.1432402192586</v>
      </c>
      <c r="Q42" s="1043"/>
      <c r="R42" s="1074">
        <f t="shared" si="29"/>
        <v>0.16864203799999999</v>
      </c>
      <c r="T42" s="1123"/>
      <c r="V42" s="692"/>
      <c r="W42" s="1306">
        <f t="shared" si="23"/>
        <v>16.734953980946798</v>
      </c>
      <c r="X42" s="1307">
        <v>14.32</v>
      </c>
      <c r="Y42" s="1308">
        <f t="shared" si="24"/>
        <v>15.772184642047383</v>
      </c>
      <c r="Z42" s="1308">
        <f t="shared" si="25"/>
        <v>15.648464528518392</v>
      </c>
      <c r="AA42" s="1308">
        <f t="shared" si="26"/>
        <v>16.734953980946798</v>
      </c>
      <c r="AB42" s="1309">
        <f t="shared" si="27"/>
        <v>15.836176328172545</v>
      </c>
      <c r="AC42" s="692"/>
      <c r="AG42" s="1310">
        <f t="shared" si="0"/>
        <v>139</v>
      </c>
      <c r="AH42" s="1296">
        <f t="shared" si="1"/>
        <v>14.32</v>
      </c>
      <c r="AI42" s="1302" t="s">
        <v>160</v>
      </c>
      <c r="AJ42" s="1297">
        <f t="shared" si="5"/>
        <v>23885.760000000002</v>
      </c>
      <c r="AK42" s="1297"/>
      <c r="AL42" s="1302"/>
      <c r="AM42" s="1296">
        <f t="shared" si="17"/>
        <v>16.578905262748503</v>
      </c>
      <c r="AN42" s="1298">
        <f t="shared" si="6"/>
        <v>27653.6139782645</v>
      </c>
      <c r="AP42" s="1311">
        <v>139</v>
      </c>
      <c r="AQ42" s="1299">
        <v>14.32</v>
      </c>
      <c r="AR42" s="1312" t="s">
        <v>160</v>
      </c>
      <c r="AS42" s="1300">
        <v>23885.760000000002</v>
      </c>
      <c r="AT42" s="1300"/>
      <c r="AU42" s="1312"/>
      <c r="AV42" s="1299">
        <v>16.734953980946798</v>
      </c>
      <c r="AW42" s="1301">
        <v>27913.903240219261</v>
      </c>
      <c r="AY42" s="1311">
        <v>139</v>
      </c>
      <c r="AZ42" s="1299">
        <v>14.32</v>
      </c>
      <c r="BA42" s="1312" t="s">
        <v>160</v>
      </c>
      <c r="BB42" s="1300">
        <v>23885.760000000002</v>
      </c>
      <c r="BC42" s="1300"/>
      <c r="BD42" s="1312"/>
      <c r="BE42" s="1299">
        <v>15.836176328172545</v>
      </c>
      <c r="BF42" s="1301">
        <v>26414.742115391808</v>
      </c>
    </row>
    <row r="43" spans="2:58">
      <c r="B43" s="858"/>
      <c r="D43" s="1313"/>
      <c r="E43" s="860"/>
      <c r="F43" s="860"/>
      <c r="H43" s="860"/>
      <c r="J43" s="1302"/>
      <c r="K43" s="860"/>
      <c r="L43" s="1304"/>
      <c r="N43" s="1305"/>
      <c r="P43" s="1047"/>
      <c r="Q43" s="1043"/>
      <c r="R43" s="1074"/>
      <c r="T43" s="1123"/>
      <c r="V43" s="692"/>
      <c r="W43" s="1306"/>
      <c r="X43" s="860"/>
      <c r="Y43" s="860"/>
      <c r="Z43" s="860"/>
      <c r="AA43" s="860"/>
      <c r="AB43" s="1304"/>
      <c r="AC43" s="692"/>
      <c r="AG43" s="1310" t="str">
        <f t="shared" si="0"/>
        <v/>
      </c>
      <c r="AH43" s="1296" t="str">
        <f t="shared" si="1"/>
        <v/>
      </c>
      <c r="AI43" s="1302"/>
      <c r="AJ43" s="1297" t="str">
        <f t="shared" si="5"/>
        <v/>
      </c>
      <c r="AK43" s="1297"/>
      <c r="AL43" s="1302"/>
      <c r="AM43" s="1296" t="str">
        <f t="shared" si="17"/>
        <v/>
      </c>
      <c r="AN43" s="1298" t="str">
        <f t="shared" si="6"/>
        <v/>
      </c>
      <c r="AP43" s="1311" t="s">
        <v>608</v>
      </c>
      <c r="AQ43" s="1299" t="s">
        <v>608</v>
      </c>
      <c r="AR43" s="1312"/>
      <c r="AS43" s="1300" t="s">
        <v>608</v>
      </c>
      <c r="AT43" s="1300"/>
      <c r="AU43" s="1312"/>
      <c r="AV43" s="1299" t="s">
        <v>608</v>
      </c>
      <c r="AW43" s="1301" t="s">
        <v>608</v>
      </c>
      <c r="AY43" s="1311" t="s">
        <v>608</v>
      </c>
      <c r="AZ43" s="1299" t="s">
        <v>608</v>
      </c>
      <c r="BA43" s="1312"/>
      <c r="BB43" s="1300" t="s">
        <v>608</v>
      </c>
      <c r="BC43" s="1300"/>
      <c r="BD43" s="1312"/>
      <c r="BE43" s="1299" t="s">
        <v>608</v>
      </c>
      <c r="BF43" s="1301" t="s">
        <v>608</v>
      </c>
    </row>
    <row r="44" spans="2:58">
      <c r="B44" s="856" t="s">
        <v>144</v>
      </c>
      <c r="D44" s="1313"/>
      <c r="E44" s="860"/>
      <c r="F44" s="862"/>
      <c r="H44" s="860"/>
      <c r="K44" s="860"/>
      <c r="L44" s="1314"/>
      <c r="N44" s="1305"/>
      <c r="P44" s="1293"/>
      <c r="R44" s="1294"/>
      <c r="T44" s="1123"/>
      <c r="V44" s="692"/>
      <c r="W44" s="1306"/>
      <c r="X44" s="860"/>
      <c r="Y44" s="860"/>
      <c r="Z44" s="860"/>
      <c r="AA44" s="860"/>
      <c r="AB44" s="1304"/>
      <c r="AC44" s="692"/>
      <c r="AG44" s="1244" t="str">
        <f t="shared" si="0"/>
        <v/>
      </c>
      <c r="AH44" s="1296" t="str">
        <f t="shared" si="1"/>
        <v/>
      </c>
      <c r="AJ44" s="1297" t="str">
        <f t="shared" si="5"/>
        <v/>
      </c>
      <c r="AK44" s="1297"/>
      <c r="AM44" s="1296" t="str">
        <f t="shared" si="17"/>
        <v/>
      </c>
      <c r="AN44" s="1298" t="str">
        <f t="shared" si="6"/>
        <v/>
      </c>
      <c r="AP44" s="1245" t="s">
        <v>608</v>
      </c>
      <c r="AQ44" s="1299" t="s">
        <v>608</v>
      </c>
      <c r="AR44" s="1246"/>
      <c r="AS44" s="1300" t="s">
        <v>608</v>
      </c>
      <c r="AT44" s="1300"/>
      <c r="AU44" s="1246"/>
      <c r="AV44" s="1299" t="s">
        <v>608</v>
      </c>
      <c r="AW44" s="1301" t="s">
        <v>608</v>
      </c>
      <c r="AY44" s="1245" t="s">
        <v>608</v>
      </c>
      <c r="AZ44" s="1299" t="s">
        <v>608</v>
      </c>
      <c r="BA44" s="1246"/>
      <c r="BB44" s="1300" t="s">
        <v>608</v>
      </c>
      <c r="BC44" s="1300"/>
      <c r="BD44" s="1246"/>
      <c r="BE44" s="1299" t="s">
        <v>608</v>
      </c>
      <c r="BF44" s="1301" t="s">
        <v>608</v>
      </c>
    </row>
    <row r="45" spans="2:58">
      <c r="B45" s="857" t="s">
        <v>504</v>
      </c>
      <c r="D45" s="1316"/>
      <c r="E45" s="864"/>
      <c r="H45" s="1317"/>
      <c r="J45" s="1318"/>
      <c r="K45" s="864"/>
      <c r="L45" s="780"/>
      <c r="N45" s="1292"/>
      <c r="P45" s="1293"/>
      <c r="R45" s="1294"/>
      <c r="T45" s="1123"/>
      <c r="V45" s="692"/>
      <c r="W45" s="1319"/>
      <c r="X45" s="864"/>
      <c r="Y45" s="864"/>
      <c r="Z45" s="864"/>
      <c r="AA45" s="864"/>
      <c r="AB45" s="1320"/>
      <c r="AC45" s="692"/>
      <c r="AG45" s="1316" t="str">
        <f t="shared" si="0"/>
        <v/>
      </c>
      <c r="AH45" s="1296" t="str">
        <f t="shared" si="1"/>
        <v/>
      </c>
      <c r="AI45" s="1318"/>
      <c r="AJ45" s="1297" t="str">
        <f t="shared" si="5"/>
        <v/>
      </c>
      <c r="AK45" s="1297"/>
      <c r="AL45" s="1318"/>
      <c r="AM45" s="1296" t="str">
        <f t="shared" si="17"/>
        <v/>
      </c>
      <c r="AN45" s="1298" t="str">
        <f t="shared" si="6"/>
        <v/>
      </c>
      <c r="AP45" s="1321" t="s">
        <v>608</v>
      </c>
      <c r="AQ45" s="1299" t="s">
        <v>608</v>
      </c>
      <c r="AR45" s="1322"/>
      <c r="AS45" s="1300" t="s">
        <v>608</v>
      </c>
      <c r="AT45" s="1300"/>
      <c r="AU45" s="1322"/>
      <c r="AV45" s="1299" t="s">
        <v>608</v>
      </c>
      <c r="AW45" s="1301" t="s">
        <v>608</v>
      </c>
      <c r="AY45" s="1321" t="s">
        <v>608</v>
      </c>
      <c r="AZ45" s="1299" t="s">
        <v>608</v>
      </c>
      <c r="BA45" s="1322"/>
      <c r="BB45" s="1300" t="s">
        <v>608</v>
      </c>
      <c r="BC45" s="1300"/>
      <c r="BD45" s="1322"/>
      <c r="BE45" s="1299" t="s">
        <v>608</v>
      </c>
      <c r="BF45" s="1301" t="s">
        <v>608</v>
      </c>
    </row>
    <row r="46" spans="2:58">
      <c r="B46" s="857" t="s">
        <v>423</v>
      </c>
      <c r="D46" s="1316">
        <f>'Billing Units'!T96</f>
        <v>0</v>
      </c>
      <c r="E46" s="864">
        <f>'Rate Inputs'!T96</f>
        <v>0</v>
      </c>
      <c r="F46" s="838" t="str">
        <f>'Rate Inputs'!U96</f>
        <v>per month</v>
      </c>
      <c r="H46" s="1317">
        <f>D46*E46</f>
        <v>0</v>
      </c>
      <c r="J46" s="1323">
        <f>IF($D$3=2026,D46,16982)</f>
        <v>16982</v>
      </c>
      <c r="K46" s="1303">
        <f>W46</f>
        <v>7.3950120935766792</v>
      </c>
      <c r="L46" s="1324" t="str">
        <f>'Rate Inputs'!W96</f>
        <v>per month</v>
      </c>
      <c r="N46" s="1292">
        <f>K46*J46*12</f>
        <v>1506985.14447743</v>
      </c>
      <c r="P46" s="1325">
        <f>N46-H46</f>
        <v>1506985.14447743</v>
      </c>
      <c r="R46" s="1074">
        <f t="shared" ref="R46:R48" si="30">IF(D46=0,0,ROUND((N46-H46)/H46,9))</f>
        <v>0</v>
      </c>
      <c r="T46" s="1123"/>
      <c r="V46" s="692"/>
      <c r="W46" s="1326">
        <f>INDEX($X46:$AB46,MATCH($D$6,$X$8:$AB$8,0))</f>
        <v>7.3950120935766792</v>
      </c>
      <c r="X46" s="1327">
        <v>0</v>
      </c>
      <c r="Y46" s="1327">
        <v>0</v>
      </c>
      <c r="Z46" s="1327">
        <f>Y46</f>
        <v>0</v>
      </c>
      <c r="AA46" s="1308">
        <f t="shared" ref="AA46:AA48" si="31">AV46</f>
        <v>7.3950120935766792</v>
      </c>
      <c r="AB46" s="1309">
        <f t="shared" ref="AB46:AB48" si="32">BE46</f>
        <v>6.9978510604917208</v>
      </c>
      <c r="AC46" s="692"/>
      <c r="AG46" s="1316">
        <f t="shared" ref="AG46:AG77" si="33">IF(J46="","",J46)</f>
        <v>16982</v>
      </c>
      <c r="AH46" s="1328">
        <f>AK141</f>
        <v>6.3278676057660022</v>
      </c>
      <c r="AI46" s="1318" t="s">
        <v>160</v>
      </c>
      <c r="AJ46" s="1297">
        <f t="shared" si="5"/>
        <v>1289518.172173419</v>
      </c>
      <c r="AK46" s="1297"/>
      <c r="AL46" s="1318"/>
      <c r="AM46" s="1296">
        <f t="shared" si="17"/>
        <v>7.3260556949168816</v>
      </c>
      <c r="AN46" s="1298">
        <f t="shared" si="6"/>
        <v>1492932.9337329417</v>
      </c>
      <c r="AP46" s="1321">
        <v>16982</v>
      </c>
      <c r="AQ46" s="1299">
        <v>6.3278676057660022</v>
      </c>
      <c r="AR46" s="1322" t="s">
        <v>160</v>
      </c>
      <c r="AS46" s="1300">
        <v>1289518.172173419</v>
      </c>
      <c r="AT46" s="1300"/>
      <c r="AU46" s="1322"/>
      <c r="AV46" s="1299">
        <v>7.3950120935766792</v>
      </c>
      <c r="AW46" s="1301">
        <v>1506985.14447743</v>
      </c>
      <c r="AY46" s="1321">
        <v>16982</v>
      </c>
      <c r="AZ46" s="1299">
        <v>6.3278676057660022</v>
      </c>
      <c r="BA46" s="1322" t="s">
        <v>160</v>
      </c>
      <c r="BB46" s="1300">
        <v>1289518.172173419</v>
      </c>
      <c r="BC46" s="1300"/>
      <c r="BD46" s="1322"/>
      <c r="BE46" s="1299">
        <v>6.9978510604917208</v>
      </c>
      <c r="BF46" s="1301">
        <v>1426050.0805112447</v>
      </c>
    </row>
    <row r="47" spans="2:58">
      <c r="B47" s="857" t="s">
        <v>424</v>
      </c>
      <c r="D47" s="1316">
        <f>'Billing Units'!T97</f>
        <v>0</v>
      </c>
      <c r="E47" s="864">
        <f>'Rate Inputs'!T97</f>
        <v>0</v>
      </c>
      <c r="F47" s="838" t="str">
        <f>'Rate Inputs'!U97</f>
        <v>per month</v>
      </c>
      <c r="H47" s="1317">
        <f>D47*E47</f>
        <v>0</v>
      </c>
      <c r="J47" s="1323">
        <f>IF($D$3=2026,D47,25000)</f>
        <v>25000</v>
      </c>
      <c r="K47" s="1303">
        <f t="shared" ref="K47:K48" si="34">W47</f>
        <v>8.7395597469542583</v>
      </c>
      <c r="L47" s="1324" t="str">
        <f>'Rate Inputs'!W97</f>
        <v>per month</v>
      </c>
      <c r="N47" s="1292">
        <f>K47*J47*12</f>
        <v>2621867.9240862774</v>
      </c>
      <c r="P47" s="1325">
        <f>N47-H47</f>
        <v>2621867.9240862774</v>
      </c>
      <c r="R47" s="1074">
        <f t="shared" si="30"/>
        <v>0</v>
      </c>
      <c r="T47" s="1123"/>
      <c r="V47" s="692"/>
      <c r="W47" s="1326">
        <f>INDEX($X47:$AB47,MATCH($D$6,$X$8:$AB$8,0))</f>
        <v>8.7395597469542583</v>
      </c>
      <c r="X47" s="1327">
        <v>0</v>
      </c>
      <c r="Y47" s="1327">
        <v>0</v>
      </c>
      <c r="Z47" s="1327">
        <f>Y47</f>
        <v>0</v>
      </c>
      <c r="AA47" s="1308">
        <f t="shared" si="31"/>
        <v>8.7395597469542583</v>
      </c>
      <c r="AB47" s="1309">
        <f t="shared" si="32"/>
        <v>8.2701876169447637</v>
      </c>
      <c r="AC47" s="692"/>
      <c r="AG47" s="1316">
        <f t="shared" si="33"/>
        <v>25000</v>
      </c>
      <c r="AH47" s="1328">
        <f t="shared" ref="AH47:AH48" si="35">AK142</f>
        <v>7.4783889886325499</v>
      </c>
      <c r="AI47" s="1318" t="s">
        <v>160</v>
      </c>
      <c r="AJ47" s="1297">
        <f t="shared" si="5"/>
        <v>2243516.6965897647</v>
      </c>
      <c r="AK47" s="1297"/>
      <c r="AL47" s="1318"/>
      <c r="AM47" s="1296">
        <f t="shared" si="17"/>
        <v>8.6580658212654082</v>
      </c>
      <c r="AN47" s="1298">
        <f t="shared" si="6"/>
        <v>2597419.7463796223</v>
      </c>
      <c r="AP47" s="1321">
        <v>25000</v>
      </c>
      <c r="AQ47" s="1299">
        <v>7.4783889886325499</v>
      </c>
      <c r="AR47" s="1322" t="s">
        <v>160</v>
      </c>
      <c r="AS47" s="1300">
        <v>2243516.6965897647</v>
      </c>
      <c r="AT47" s="1300"/>
      <c r="AU47" s="1322"/>
      <c r="AV47" s="1299">
        <v>8.7395597469542583</v>
      </c>
      <c r="AW47" s="1301">
        <v>2621867.9240862774</v>
      </c>
      <c r="AY47" s="1321">
        <v>25000</v>
      </c>
      <c r="AZ47" s="1299">
        <v>7.4783889886325499</v>
      </c>
      <c r="BA47" s="1322" t="s">
        <v>160</v>
      </c>
      <c r="BB47" s="1300">
        <v>2243516.6965897647</v>
      </c>
      <c r="BC47" s="1300"/>
      <c r="BD47" s="1322"/>
      <c r="BE47" s="1299">
        <v>8.2701876169447637</v>
      </c>
      <c r="BF47" s="1301">
        <v>2481056.285083429</v>
      </c>
    </row>
    <row r="48" spans="2:58">
      <c r="B48" s="857" t="s">
        <v>425</v>
      </c>
      <c r="D48" s="1316">
        <f>'Billing Units'!T98</f>
        <v>0</v>
      </c>
      <c r="E48" s="864">
        <f>'Rate Inputs'!T98</f>
        <v>0</v>
      </c>
      <c r="F48" s="838" t="str">
        <f>'Rate Inputs'!U98</f>
        <v>per month</v>
      </c>
      <c r="H48" s="1317">
        <f>D48*E48</f>
        <v>0</v>
      </c>
      <c r="J48" s="1323">
        <f>IF($D$3=2026,D48,75000)</f>
        <v>75000</v>
      </c>
      <c r="K48" s="1303">
        <f t="shared" si="34"/>
        <v>10.756381227020624</v>
      </c>
      <c r="L48" s="1324" t="str">
        <f>'Rate Inputs'!W98</f>
        <v>per month</v>
      </c>
      <c r="N48" s="1292">
        <f>K48*J48*12</f>
        <v>9680743.1043185629</v>
      </c>
      <c r="P48" s="1325">
        <f>N48-H48</f>
        <v>9680743.1043185629</v>
      </c>
      <c r="R48" s="1074">
        <f t="shared" si="30"/>
        <v>0</v>
      </c>
      <c r="T48" s="1123"/>
      <c r="V48" s="692"/>
      <c r="W48" s="1326">
        <f>INDEX($X48:$AB48,MATCH($D$6,$X$8:$AB$8,0))</f>
        <v>10.756381227020624</v>
      </c>
      <c r="X48" s="1327">
        <v>0</v>
      </c>
      <c r="Y48" s="1327">
        <v>0</v>
      </c>
      <c r="Z48" s="1327">
        <f>Y48</f>
        <v>0</v>
      </c>
      <c r="AA48" s="1308">
        <f t="shared" si="31"/>
        <v>10.756381227020624</v>
      </c>
      <c r="AB48" s="1309">
        <f t="shared" si="32"/>
        <v>10.178692451624322</v>
      </c>
      <c r="AC48" s="692"/>
      <c r="AG48" s="1316">
        <f t="shared" si="33"/>
        <v>75000</v>
      </c>
      <c r="AH48" s="1328">
        <f t="shared" si="35"/>
        <v>9.2041710629323674</v>
      </c>
      <c r="AI48" s="1318" t="s">
        <v>160</v>
      </c>
      <c r="AJ48" s="1297">
        <f t="shared" si="5"/>
        <v>8283753.9566391297</v>
      </c>
      <c r="AK48" s="1297"/>
      <c r="AL48" s="1318"/>
      <c r="AM48" s="1296">
        <f t="shared" si="17"/>
        <v>10.656081010788192</v>
      </c>
      <c r="AN48" s="1298">
        <f t="shared" si="6"/>
        <v>9590472.9097093716</v>
      </c>
      <c r="AP48" s="1321">
        <v>75000</v>
      </c>
      <c r="AQ48" s="1299">
        <v>9.2041710629323674</v>
      </c>
      <c r="AR48" s="1322" t="s">
        <v>160</v>
      </c>
      <c r="AS48" s="1300">
        <v>8283753.9566391297</v>
      </c>
      <c r="AT48" s="1300"/>
      <c r="AU48" s="1322"/>
      <c r="AV48" s="1299">
        <v>10.756381227020624</v>
      </c>
      <c r="AW48" s="1301">
        <v>9680743.1043185629</v>
      </c>
      <c r="AY48" s="1321">
        <v>75000</v>
      </c>
      <c r="AZ48" s="1299">
        <v>9.2041710629323674</v>
      </c>
      <c r="BA48" s="1322" t="s">
        <v>160</v>
      </c>
      <c r="BB48" s="1300">
        <v>8283753.9566391297</v>
      </c>
      <c r="BC48" s="1300"/>
      <c r="BD48" s="1322"/>
      <c r="BE48" s="1299">
        <v>10.178692451624322</v>
      </c>
      <c r="BF48" s="1301">
        <v>9160823.2064618897</v>
      </c>
    </row>
    <row r="49" spans="1:58">
      <c r="B49" s="858"/>
      <c r="D49" s="1313"/>
      <c r="E49" s="860"/>
      <c r="F49" s="862"/>
      <c r="H49" s="860"/>
      <c r="K49" s="860"/>
      <c r="L49" s="1314"/>
      <c r="N49" s="1305"/>
      <c r="P49" s="1293"/>
      <c r="R49" s="1294"/>
      <c r="T49" s="1123"/>
      <c r="V49" s="692"/>
      <c r="W49" s="1306"/>
      <c r="X49" s="860"/>
      <c r="Y49" s="860"/>
      <c r="Z49" s="860"/>
      <c r="AA49" s="860"/>
      <c r="AB49" s="1304"/>
      <c r="AC49" s="692"/>
      <c r="AG49" s="1244" t="str">
        <f t="shared" si="33"/>
        <v/>
      </c>
      <c r="AH49" s="1296" t="str">
        <f t="shared" ref="AH49:AH80" si="36">IF(E49="","",E49)</f>
        <v/>
      </c>
      <c r="AJ49" s="1297" t="str">
        <f t="shared" si="5"/>
        <v/>
      </c>
      <c r="AK49" s="1297"/>
      <c r="AM49" s="1296" t="str">
        <f t="shared" si="17"/>
        <v/>
      </c>
      <c r="AN49" s="1298" t="str">
        <f t="shared" si="6"/>
        <v/>
      </c>
      <c r="AP49" s="1245" t="s">
        <v>608</v>
      </c>
      <c r="AQ49" s="1299" t="s">
        <v>608</v>
      </c>
      <c r="AR49" s="1246"/>
      <c r="AS49" s="1300" t="s">
        <v>608</v>
      </c>
      <c r="AT49" s="1300"/>
      <c r="AU49" s="1246"/>
      <c r="AV49" s="1299" t="s">
        <v>608</v>
      </c>
      <c r="AW49" s="1301" t="s">
        <v>608</v>
      </c>
      <c r="AY49" s="1245" t="s">
        <v>608</v>
      </c>
      <c r="AZ49" s="1299" t="s">
        <v>608</v>
      </c>
      <c r="BA49" s="1246"/>
      <c r="BB49" s="1300" t="s">
        <v>608</v>
      </c>
      <c r="BC49" s="1300"/>
      <c r="BD49" s="1246"/>
      <c r="BE49" s="1299" t="s">
        <v>608</v>
      </c>
      <c r="BF49" s="1301" t="s">
        <v>608</v>
      </c>
    </row>
    <row r="50" spans="1:58">
      <c r="B50" s="856" t="s">
        <v>107</v>
      </c>
      <c r="D50" s="1313"/>
      <c r="E50" s="860"/>
      <c r="F50" s="862"/>
      <c r="H50" s="860"/>
      <c r="K50" s="860"/>
      <c r="L50" s="1314"/>
      <c r="N50" s="1305"/>
      <c r="P50" s="1293"/>
      <c r="R50" s="1294"/>
      <c r="T50" s="1123"/>
      <c r="V50" s="692"/>
      <c r="W50" s="1306"/>
      <c r="X50" s="860"/>
      <c r="Y50" s="860"/>
      <c r="Z50" s="860"/>
      <c r="AA50" s="860"/>
      <c r="AB50" s="1304"/>
      <c r="AC50" s="692"/>
      <c r="AG50" s="1244" t="str">
        <f t="shared" si="33"/>
        <v/>
      </c>
      <c r="AH50" s="1296" t="str">
        <f t="shared" si="36"/>
        <v/>
      </c>
      <c r="AJ50" s="1297" t="str">
        <f t="shared" si="5"/>
        <v/>
      </c>
      <c r="AK50" s="1297"/>
      <c r="AM50" s="1296" t="str">
        <f t="shared" si="17"/>
        <v/>
      </c>
      <c r="AN50" s="1298" t="str">
        <f t="shared" si="6"/>
        <v/>
      </c>
      <c r="AP50" s="1245" t="s">
        <v>608</v>
      </c>
      <c r="AQ50" s="1299" t="s">
        <v>608</v>
      </c>
      <c r="AR50" s="1246"/>
      <c r="AS50" s="1300" t="s">
        <v>608</v>
      </c>
      <c r="AT50" s="1300"/>
      <c r="AU50" s="1246"/>
      <c r="AV50" s="1299" t="s">
        <v>608</v>
      </c>
      <c r="AW50" s="1301" t="s">
        <v>608</v>
      </c>
      <c r="AY50" s="1245" t="s">
        <v>608</v>
      </c>
      <c r="AZ50" s="1299" t="s">
        <v>608</v>
      </c>
      <c r="BA50" s="1246"/>
      <c r="BB50" s="1300" t="s">
        <v>608</v>
      </c>
      <c r="BC50" s="1300"/>
      <c r="BD50" s="1246"/>
      <c r="BE50" s="1299" t="s">
        <v>608</v>
      </c>
      <c r="BF50" s="1301" t="s">
        <v>608</v>
      </c>
    </row>
    <row r="51" spans="1:58">
      <c r="B51" s="857" t="s">
        <v>505</v>
      </c>
      <c r="D51" s="1313"/>
      <c r="E51" s="860"/>
      <c r="F51" s="862"/>
      <c r="H51" s="860"/>
      <c r="K51" s="860"/>
      <c r="L51" s="1314"/>
      <c r="N51" s="1305"/>
      <c r="P51" s="1293"/>
      <c r="R51" s="1294"/>
      <c r="T51" s="1123"/>
      <c r="V51" s="692"/>
      <c r="W51" s="1306"/>
      <c r="X51" s="860"/>
      <c r="Y51" s="860"/>
      <c r="Z51" s="860"/>
      <c r="AA51" s="860"/>
      <c r="AB51" s="1304"/>
      <c r="AC51" s="692"/>
      <c r="AG51" s="1244" t="str">
        <f t="shared" si="33"/>
        <v/>
      </c>
      <c r="AH51" s="1296" t="str">
        <f t="shared" si="36"/>
        <v/>
      </c>
      <c r="AJ51" s="1297" t="str">
        <f t="shared" si="5"/>
        <v/>
      </c>
      <c r="AK51" s="1297"/>
      <c r="AM51" s="1296" t="str">
        <f t="shared" si="17"/>
        <v/>
      </c>
      <c r="AN51" s="1298" t="str">
        <f t="shared" si="6"/>
        <v/>
      </c>
      <c r="AP51" s="1245" t="s">
        <v>608</v>
      </c>
      <c r="AQ51" s="1299" t="s">
        <v>608</v>
      </c>
      <c r="AR51" s="1246"/>
      <c r="AS51" s="1300" t="s">
        <v>608</v>
      </c>
      <c r="AT51" s="1300"/>
      <c r="AU51" s="1246"/>
      <c r="AV51" s="1299" t="s">
        <v>608</v>
      </c>
      <c r="AW51" s="1301" t="s">
        <v>608</v>
      </c>
      <c r="AY51" s="1245" t="s">
        <v>608</v>
      </c>
      <c r="AZ51" s="1299" t="s">
        <v>608</v>
      </c>
      <c r="BA51" s="1246"/>
      <c r="BB51" s="1300" t="s">
        <v>608</v>
      </c>
      <c r="BC51" s="1300"/>
      <c r="BD51" s="1246"/>
      <c r="BE51" s="1299" t="s">
        <v>608</v>
      </c>
      <c r="BF51" s="1301" t="s">
        <v>608</v>
      </c>
    </row>
    <row r="52" spans="1:58">
      <c r="B52" s="858" t="s">
        <v>110</v>
      </c>
      <c r="D52" s="1329">
        <v>731</v>
      </c>
      <c r="E52" s="860">
        <f>'Rate Inputs'!T35</f>
        <v>5.82</v>
      </c>
      <c r="F52" s="860" t="str">
        <f>'Rate Inputs'!U35</f>
        <v>per month</v>
      </c>
      <c r="H52" s="860">
        <f t="shared" ref="H52:H56" si="37">D52*E52*12</f>
        <v>51053.04</v>
      </c>
      <c r="J52" s="1330">
        <f>IF($D$3=2026,D52,'Billing Units'!V35)</f>
        <v>0</v>
      </c>
      <c r="K52" s="1303">
        <f t="shared" ref="K52:K62" si="38">W52</f>
        <v>6.8014966598540756</v>
      </c>
      <c r="L52" s="1304" t="str">
        <f>'Rate Inputs'!W35</f>
        <v>per month</v>
      </c>
      <c r="N52" s="1305">
        <f t="shared" ref="N52:N56" si="39">J52*K52*12</f>
        <v>0</v>
      </c>
      <c r="P52" s="1047">
        <f t="shared" ref="P52" si="40">IF(AND(N52=0,NOT(H52=0)),0,N52-H52)</f>
        <v>0</v>
      </c>
      <c r="Q52" s="1043"/>
      <c r="R52" s="1074">
        <f t="shared" ref="R52" si="41">IF(D52=0,0,ROUND((N52-H52)/H52,9))</f>
        <v>-1</v>
      </c>
      <c r="T52" s="1331"/>
      <c r="W52" s="1306">
        <f>INDEX($X52:$AB52,MATCH($D$6,$X$8:$AB$8,0))</f>
        <v>6.8014966598540756</v>
      </c>
      <c r="X52" s="1307">
        <v>5.82</v>
      </c>
      <c r="Y52" s="1308">
        <f>X52+$H$191</f>
        <v>7.2721846420473835</v>
      </c>
      <c r="Z52" s="1308">
        <f>Y52-$H$194</f>
        <v>7.1484645285183914</v>
      </c>
      <c r="AA52" s="1308">
        <f t="shared" ref="AA52:AA56" si="42">AV52</f>
        <v>6.8014966598540756</v>
      </c>
      <c r="AB52" s="1309">
        <f t="shared" ref="AB52:AB56" si="43">BE52</f>
        <v>6.436211328908116</v>
      </c>
      <c r="AG52" s="1310">
        <f t="shared" si="33"/>
        <v>0</v>
      </c>
      <c r="AH52" s="1296">
        <f t="shared" si="36"/>
        <v>5.82</v>
      </c>
      <c r="AI52" s="1302" t="s">
        <v>160</v>
      </c>
      <c r="AJ52" s="1297" t="str">
        <f t="shared" si="5"/>
        <v/>
      </c>
      <c r="AK52" s="1297"/>
      <c r="AL52" s="1302"/>
      <c r="AM52" s="1296">
        <f t="shared" si="17"/>
        <v>6.7380746249438754</v>
      </c>
      <c r="AN52" s="1298" t="str">
        <f t="shared" si="6"/>
        <v/>
      </c>
      <c r="AP52" s="1311">
        <v>0</v>
      </c>
      <c r="AQ52" s="1299">
        <v>5.82</v>
      </c>
      <c r="AR52" s="1312" t="s">
        <v>160</v>
      </c>
      <c r="AS52" s="1300" t="s">
        <v>608</v>
      </c>
      <c r="AT52" s="1300"/>
      <c r="AU52" s="1312"/>
      <c r="AV52" s="1299">
        <v>6.8014966598540756</v>
      </c>
      <c r="AW52" s="1301" t="s">
        <v>608</v>
      </c>
      <c r="AY52" s="1311">
        <v>0</v>
      </c>
      <c r="AZ52" s="1299">
        <v>5.82</v>
      </c>
      <c r="BA52" s="1312" t="s">
        <v>160</v>
      </c>
      <c r="BB52" s="1300" t="s">
        <v>608</v>
      </c>
      <c r="BC52" s="1300"/>
      <c r="BD52" s="1312"/>
      <c r="BE52" s="1299">
        <v>6.436211328908116</v>
      </c>
      <c r="BF52" s="1301" t="s">
        <v>608</v>
      </c>
    </row>
    <row r="53" spans="1:58">
      <c r="B53" s="858" t="s">
        <v>112</v>
      </c>
      <c r="D53" s="1329">
        <v>25809</v>
      </c>
      <c r="E53" s="860">
        <f>'Rate Inputs'!T36</f>
        <v>7.83</v>
      </c>
      <c r="F53" s="860" t="str">
        <f>'Rate Inputs'!U36</f>
        <v>per month</v>
      </c>
      <c r="H53" s="860">
        <f t="shared" si="37"/>
        <v>2425013.64</v>
      </c>
      <c r="J53" s="1330">
        <f>IF($D$3=2026,D53,'Billing Units'!V36)</f>
        <v>4275</v>
      </c>
      <c r="K53" s="1303">
        <f t="shared" si="38"/>
        <v>9.1504671557830601</v>
      </c>
      <c r="L53" s="1304" t="str">
        <f>'Rate Inputs'!W36</f>
        <v>per month</v>
      </c>
      <c r="N53" s="1305">
        <f t="shared" si="39"/>
        <v>469418.96509167098</v>
      </c>
      <c r="P53" s="1047">
        <f t="shared" ref="P53:P56" si="44">IF(AND(N53=0,NOT(H53=0)),0,N53-H53)</f>
        <v>-1955594.6749083293</v>
      </c>
      <c r="Q53" s="1043"/>
      <c r="R53" s="1074">
        <f t="shared" ref="R53:R56" si="45">IF(D53=0,0,ROUND((N53-H53)/H53,9))</f>
        <v>-0.80642625800000001</v>
      </c>
      <c r="T53" s="1331"/>
      <c r="W53" s="1306">
        <f>INDEX($X53:$AB53,MATCH($D$6,$X$8:$AB$8,0))</f>
        <v>9.1504671557830601</v>
      </c>
      <c r="X53" s="1307">
        <v>7.83</v>
      </c>
      <c r="Y53" s="1308">
        <f>X53+$H$191</f>
        <v>9.2821846420473832</v>
      </c>
      <c r="Z53" s="1308">
        <f>Y53-$H$194</f>
        <v>9.1584645285183921</v>
      </c>
      <c r="AA53" s="1308">
        <f t="shared" si="42"/>
        <v>9.1504671557830601</v>
      </c>
      <c r="AB53" s="1309">
        <f t="shared" si="43"/>
        <v>8.6590265816753522</v>
      </c>
      <c r="AG53" s="1310">
        <f t="shared" si="33"/>
        <v>4275</v>
      </c>
      <c r="AH53" s="1296">
        <f t="shared" si="36"/>
        <v>7.83</v>
      </c>
      <c r="AI53" s="1302" t="s">
        <v>160</v>
      </c>
      <c r="AJ53" s="1297">
        <f t="shared" si="5"/>
        <v>401679</v>
      </c>
      <c r="AK53" s="1297"/>
      <c r="AL53" s="1302"/>
      <c r="AM53" s="1296">
        <f t="shared" si="17"/>
        <v>9.0651416345894393</v>
      </c>
      <c r="AN53" s="1298">
        <f t="shared" si="6"/>
        <v>465041.7658544383</v>
      </c>
      <c r="AP53" s="1311">
        <v>4275</v>
      </c>
      <c r="AQ53" s="1299">
        <v>7.83</v>
      </c>
      <c r="AR53" s="1312" t="s">
        <v>160</v>
      </c>
      <c r="AS53" s="1300">
        <v>401679</v>
      </c>
      <c r="AT53" s="1300"/>
      <c r="AU53" s="1312"/>
      <c r="AV53" s="1299">
        <v>9.1504671557830601</v>
      </c>
      <c r="AW53" s="1301">
        <v>469418.96509167098</v>
      </c>
      <c r="AY53" s="1311">
        <v>4275</v>
      </c>
      <c r="AZ53" s="1299">
        <v>7.83</v>
      </c>
      <c r="BA53" s="1312" t="s">
        <v>160</v>
      </c>
      <c r="BB53" s="1300">
        <v>401679</v>
      </c>
      <c r="BC53" s="1300"/>
      <c r="BD53" s="1312"/>
      <c r="BE53" s="1299">
        <v>8.6590265816753522</v>
      </c>
      <c r="BF53" s="1301">
        <v>444208.06363994553</v>
      </c>
    </row>
    <row r="54" spans="1:58">
      <c r="B54" s="858" t="s">
        <v>114</v>
      </c>
      <c r="D54" s="1329">
        <v>3380</v>
      </c>
      <c r="E54" s="860">
        <f>'Rate Inputs'!T37</f>
        <v>13.41</v>
      </c>
      <c r="F54" s="860" t="str">
        <f>'Rate Inputs'!U37</f>
        <v>per month</v>
      </c>
      <c r="H54" s="860">
        <f t="shared" si="37"/>
        <v>543909.60000000009</v>
      </c>
      <c r="J54" s="1330">
        <f>IF($D$3=2026,D54,'Billing Units'!V37)</f>
        <v>1380</v>
      </c>
      <c r="K54" s="1303">
        <f t="shared" si="38"/>
        <v>15.671489726570989</v>
      </c>
      <c r="L54" s="1304" t="str">
        <f>'Rate Inputs'!W37</f>
        <v>per month</v>
      </c>
      <c r="N54" s="1305">
        <f t="shared" si="39"/>
        <v>259519.86987201561</v>
      </c>
      <c r="P54" s="1047">
        <f t="shared" si="44"/>
        <v>-284389.73012798448</v>
      </c>
      <c r="Q54" s="1043"/>
      <c r="R54" s="1074">
        <f t="shared" si="45"/>
        <v>-0.52286212700000001</v>
      </c>
      <c r="T54" s="1331"/>
      <c r="W54" s="1306">
        <f>INDEX($X54:$AB54,MATCH($D$6,$X$8:$AB$8,0))</f>
        <v>15.671489726570989</v>
      </c>
      <c r="X54" s="1307">
        <v>13.41</v>
      </c>
      <c r="Y54" s="1308">
        <f>X54+$H$191</f>
        <v>14.862184642047383</v>
      </c>
      <c r="Z54" s="1308">
        <f>Y54-$H$194</f>
        <v>14.738464528518392</v>
      </c>
      <c r="AA54" s="1308">
        <f t="shared" si="42"/>
        <v>15.671489726570989</v>
      </c>
      <c r="AB54" s="1309">
        <f t="shared" si="43"/>
        <v>14.829827134133648</v>
      </c>
      <c r="AG54" s="1310">
        <f t="shared" si="33"/>
        <v>1380</v>
      </c>
      <c r="AH54" s="1296">
        <f t="shared" si="36"/>
        <v>13.41</v>
      </c>
      <c r="AI54" s="1302" t="s">
        <v>160</v>
      </c>
      <c r="AJ54" s="1297">
        <f t="shared" si="5"/>
        <v>222069.59999999998</v>
      </c>
      <c r="AK54" s="1297"/>
      <c r="AL54" s="1302"/>
      <c r="AM54" s="1296">
        <f t="shared" si="17"/>
        <v>15.525357512112949</v>
      </c>
      <c r="AN54" s="1298">
        <f t="shared" si="6"/>
        <v>257099.92040059043</v>
      </c>
      <c r="AP54" s="1311">
        <v>1380</v>
      </c>
      <c r="AQ54" s="1299">
        <v>13.41</v>
      </c>
      <c r="AR54" s="1312" t="s">
        <v>160</v>
      </c>
      <c r="AS54" s="1300">
        <v>222069.59999999998</v>
      </c>
      <c r="AT54" s="1300"/>
      <c r="AU54" s="1312"/>
      <c r="AV54" s="1299">
        <v>15.671489726570989</v>
      </c>
      <c r="AW54" s="1301">
        <v>259519.86987201561</v>
      </c>
      <c r="AY54" s="1311">
        <v>1380</v>
      </c>
      <c r="AZ54" s="1299">
        <v>13.41</v>
      </c>
      <c r="BA54" s="1312" t="s">
        <v>160</v>
      </c>
      <c r="BB54" s="1300">
        <v>222069.59999999998</v>
      </c>
      <c r="BC54" s="1300"/>
      <c r="BD54" s="1312"/>
      <c r="BE54" s="1299">
        <v>14.829827134133648</v>
      </c>
      <c r="BF54" s="1301">
        <v>245581.93734125321</v>
      </c>
    </row>
    <row r="55" spans="1:58">
      <c r="B55" s="858" t="s">
        <v>116</v>
      </c>
      <c r="D55" s="1329">
        <v>2223</v>
      </c>
      <c r="E55" s="860">
        <f>'Rate Inputs'!T38</f>
        <v>28.03</v>
      </c>
      <c r="F55" s="860" t="str">
        <f>'Rate Inputs'!U38</f>
        <v>per month</v>
      </c>
      <c r="H55" s="860">
        <f t="shared" si="37"/>
        <v>747728.28</v>
      </c>
      <c r="J55" s="1330">
        <f>IF($D$3=2026,D55,'Billing Units'!V38)</f>
        <v>523</v>
      </c>
      <c r="K55" s="1303">
        <f t="shared" si="38"/>
        <v>32.757036318850474</v>
      </c>
      <c r="L55" s="1304" t="str">
        <f>'Rate Inputs'!W38</f>
        <v>per month</v>
      </c>
      <c r="N55" s="1305">
        <f t="shared" si="39"/>
        <v>205583.15993710555</v>
      </c>
      <c r="P55" s="1047">
        <f t="shared" si="44"/>
        <v>-542145.12006289442</v>
      </c>
      <c r="Q55" s="1043"/>
      <c r="R55" s="1074">
        <f t="shared" si="45"/>
        <v>-0.725056327</v>
      </c>
      <c r="T55" s="1331"/>
      <c r="W55" s="1306">
        <f>INDEX($X55:$AB55,MATCH($D$6,$X$8:$AB$8,0))</f>
        <v>32.757036318850474</v>
      </c>
      <c r="X55" s="1307">
        <v>28.03</v>
      </c>
      <c r="Y55" s="1308">
        <f>X55+$H$191</f>
        <v>29.482184642047383</v>
      </c>
      <c r="Z55" s="1308">
        <f>Y55-$H$194</f>
        <v>29.35846452851839</v>
      </c>
      <c r="AA55" s="1308">
        <f t="shared" si="42"/>
        <v>32.757036318850474</v>
      </c>
      <c r="AB55" s="1309">
        <f t="shared" si="43"/>
        <v>30.997766932868469</v>
      </c>
      <c r="AG55" s="1310">
        <f t="shared" si="33"/>
        <v>523</v>
      </c>
      <c r="AH55" s="1296">
        <f t="shared" si="36"/>
        <v>28.03</v>
      </c>
      <c r="AI55" s="1302" t="s">
        <v>160</v>
      </c>
      <c r="AJ55" s="1297">
        <f t="shared" si="5"/>
        <v>175916.28</v>
      </c>
      <c r="AK55" s="1297"/>
      <c r="AL55" s="1302"/>
      <c r="AM55" s="1296">
        <f t="shared" si="17"/>
        <v>32.451586209136913</v>
      </c>
      <c r="AN55" s="1298">
        <f t="shared" si="6"/>
        <v>203666.1550485433</v>
      </c>
      <c r="AP55" s="1311">
        <v>523</v>
      </c>
      <c r="AQ55" s="1299">
        <v>28.03</v>
      </c>
      <c r="AR55" s="1312" t="s">
        <v>160</v>
      </c>
      <c r="AS55" s="1300">
        <v>175916.28</v>
      </c>
      <c r="AT55" s="1300"/>
      <c r="AU55" s="1312"/>
      <c r="AV55" s="1299">
        <v>32.757036318850474</v>
      </c>
      <c r="AW55" s="1301">
        <v>205583.15993710555</v>
      </c>
      <c r="AY55" s="1311">
        <v>523</v>
      </c>
      <c r="AZ55" s="1299">
        <v>28.03</v>
      </c>
      <c r="BA55" s="1312" t="s">
        <v>160</v>
      </c>
      <c r="BB55" s="1300">
        <v>175916.28</v>
      </c>
      <c r="BC55" s="1300"/>
      <c r="BD55" s="1312"/>
      <c r="BE55" s="1299">
        <v>30.997766932868469</v>
      </c>
      <c r="BF55" s="1301">
        <v>194541.98527068252</v>
      </c>
    </row>
    <row r="56" spans="1:58">
      <c r="B56" s="858" t="s">
        <v>118</v>
      </c>
      <c r="D56" s="1329">
        <v>4</v>
      </c>
      <c r="E56" s="860">
        <f>'Rate Inputs'!T39</f>
        <v>25.03</v>
      </c>
      <c r="F56" s="860" t="str">
        <f>'Rate Inputs'!U39</f>
        <v>per month</v>
      </c>
      <c r="H56" s="860">
        <f t="shared" si="37"/>
        <v>1201.44</v>
      </c>
      <c r="J56" s="1330">
        <f>IF($D$3=2026,D56,'Billing Units'!V39)</f>
        <v>4</v>
      </c>
      <c r="K56" s="1303">
        <f t="shared" si="38"/>
        <v>29.251110205523631</v>
      </c>
      <c r="L56" s="1304" t="str">
        <f>'Rate Inputs'!W39</f>
        <v>per month</v>
      </c>
      <c r="N56" s="1305">
        <f t="shared" si="39"/>
        <v>1404.0532898651343</v>
      </c>
      <c r="P56" s="1047">
        <f t="shared" si="44"/>
        <v>202.61328986513422</v>
      </c>
      <c r="Q56" s="1043"/>
      <c r="R56" s="1074">
        <f t="shared" si="45"/>
        <v>0.16864203799999999</v>
      </c>
      <c r="T56" s="1331"/>
      <c r="W56" s="1306">
        <f>INDEX($X56:$AB56,MATCH($D$6,$X$8:$AB$8,0))</f>
        <v>29.251110205523631</v>
      </c>
      <c r="X56" s="1307">
        <v>25.03</v>
      </c>
      <c r="Y56" s="1308">
        <f>X56+$H$191</f>
        <v>26.482184642047383</v>
      </c>
      <c r="Z56" s="1308">
        <f>Y56-$H$194</f>
        <v>26.35846452851839</v>
      </c>
      <c r="AA56" s="1308">
        <f t="shared" si="42"/>
        <v>29.251110205523631</v>
      </c>
      <c r="AB56" s="1309">
        <f t="shared" si="43"/>
        <v>27.680132227245728</v>
      </c>
      <c r="AG56" s="1310">
        <f t="shared" si="33"/>
        <v>4</v>
      </c>
      <c r="AH56" s="1296">
        <f t="shared" si="36"/>
        <v>25.03</v>
      </c>
      <c r="AI56" s="1302" t="s">
        <v>160</v>
      </c>
      <c r="AJ56" s="1297">
        <f t="shared" si="5"/>
        <v>1201.44</v>
      </c>
      <c r="AK56" s="1297"/>
      <c r="AL56" s="1302"/>
      <c r="AM56" s="1296">
        <f t="shared" si="17"/>
        <v>28.978351866382337</v>
      </c>
      <c r="AN56" s="1298">
        <f t="shared" si="6"/>
        <v>1390.9608895863521</v>
      </c>
      <c r="AP56" s="1311">
        <v>4</v>
      </c>
      <c r="AQ56" s="1299">
        <v>25.03</v>
      </c>
      <c r="AR56" s="1312" t="s">
        <v>160</v>
      </c>
      <c r="AS56" s="1300">
        <v>1201.44</v>
      </c>
      <c r="AT56" s="1300"/>
      <c r="AU56" s="1312"/>
      <c r="AV56" s="1299">
        <v>29.251110205523631</v>
      </c>
      <c r="AW56" s="1301">
        <v>1404.0532898651343</v>
      </c>
      <c r="AY56" s="1311">
        <v>4</v>
      </c>
      <c r="AZ56" s="1299">
        <v>25.03</v>
      </c>
      <c r="BA56" s="1312" t="s">
        <v>160</v>
      </c>
      <c r="BB56" s="1300">
        <v>1201.44</v>
      </c>
      <c r="BC56" s="1300"/>
      <c r="BD56" s="1312"/>
      <c r="BE56" s="1299">
        <v>27.680132227245728</v>
      </c>
      <c r="BF56" s="1301">
        <v>1328.6463469077949</v>
      </c>
    </row>
    <row r="57" spans="1:58">
      <c r="B57" s="858"/>
      <c r="D57" s="1329"/>
      <c r="E57" s="860"/>
      <c r="F57" s="862"/>
      <c r="H57" s="860"/>
      <c r="K57" s="860"/>
      <c r="L57" s="1314"/>
      <c r="N57" s="1305"/>
      <c r="P57" s="1293"/>
      <c r="R57" s="1294"/>
      <c r="T57" s="1331"/>
      <c r="W57" s="1306"/>
      <c r="X57" s="860"/>
      <c r="Y57" s="860"/>
      <c r="Z57" s="860"/>
      <c r="AA57" s="860"/>
      <c r="AB57" s="1304"/>
      <c r="AG57" s="1244" t="str">
        <f t="shared" si="33"/>
        <v/>
      </c>
      <c r="AH57" s="1296" t="str">
        <f t="shared" si="36"/>
        <v/>
      </c>
      <c r="AJ57" s="1297" t="str">
        <f t="shared" si="5"/>
        <v/>
      </c>
      <c r="AK57" s="1297"/>
      <c r="AM57" s="1296" t="str">
        <f t="shared" si="17"/>
        <v/>
      </c>
      <c r="AN57" s="1298" t="str">
        <f t="shared" si="6"/>
        <v/>
      </c>
      <c r="AP57" s="1245" t="s">
        <v>608</v>
      </c>
      <c r="AQ57" s="1299" t="s">
        <v>608</v>
      </c>
      <c r="AR57" s="1246"/>
      <c r="AS57" s="1300" t="s">
        <v>608</v>
      </c>
      <c r="AT57" s="1300"/>
      <c r="AU57" s="1246"/>
      <c r="AV57" s="1299" t="s">
        <v>608</v>
      </c>
      <c r="AW57" s="1301" t="s">
        <v>608</v>
      </c>
      <c r="AY57" s="1245" t="s">
        <v>608</v>
      </c>
      <c r="AZ57" s="1299" t="s">
        <v>608</v>
      </c>
      <c r="BA57" s="1246"/>
      <c r="BB57" s="1300" t="s">
        <v>608</v>
      </c>
      <c r="BC57" s="1300"/>
      <c r="BD57" s="1246"/>
      <c r="BE57" s="1299" t="s">
        <v>608</v>
      </c>
      <c r="BF57" s="1301" t="s">
        <v>608</v>
      </c>
    </row>
    <row r="58" spans="1:58">
      <c r="B58" s="857" t="s">
        <v>506</v>
      </c>
      <c r="D58" s="1329"/>
      <c r="E58" s="860"/>
      <c r="F58" s="862"/>
      <c r="H58" s="860"/>
      <c r="K58" s="860"/>
      <c r="L58" s="1314"/>
      <c r="N58" s="1305"/>
      <c r="P58" s="1293"/>
      <c r="R58" s="1294"/>
      <c r="T58" s="1038"/>
      <c r="W58" s="1306"/>
      <c r="X58" s="860"/>
      <c r="Y58" s="860"/>
      <c r="Z58" s="860"/>
      <c r="AA58" s="860"/>
      <c r="AB58" s="1304"/>
      <c r="AG58" s="1244" t="str">
        <f t="shared" si="33"/>
        <v/>
      </c>
      <c r="AH58" s="1296" t="str">
        <f t="shared" si="36"/>
        <v/>
      </c>
      <c r="AJ58" s="1297" t="str">
        <f t="shared" si="5"/>
        <v/>
      </c>
      <c r="AK58" s="1297"/>
      <c r="AM58" s="1296" t="str">
        <f t="shared" si="17"/>
        <v/>
      </c>
      <c r="AN58" s="1298" t="str">
        <f t="shared" si="6"/>
        <v/>
      </c>
      <c r="AP58" s="1245" t="s">
        <v>608</v>
      </c>
      <c r="AQ58" s="1299" t="s">
        <v>608</v>
      </c>
      <c r="AR58" s="1246"/>
      <c r="AS58" s="1300" t="s">
        <v>608</v>
      </c>
      <c r="AT58" s="1300"/>
      <c r="AU58" s="1246"/>
      <c r="AV58" s="1299" t="s">
        <v>608</v>
      </c>
      <c r="AW58" s="1301" t="s">
        <v>608</v>
      </c>
      <c r="AY58" s="1245" t="s">
        <v>608</v>
      </c>
      <c r="AZ58" s="1299" t="s">
        <v>608</v>
      </c>
      <c r="BA58" s="1246"/>
      <c r="BB58" s="1300" t="s">
        <v>608</v>
      </c>
      <c r="BC58" s="1300"/>
      <c r="BD58" s="1246"/>
      <c r="BE58" s="1299" t="s">
        <v>608</v>
      </c>
      <c r="BF58" s="1301" t="s">
        <v>608</v>
      </c>
    </row>
    <row r="59" spans="1:58">
      <c r="B59" s="858" t="s">
        <v>110</v>
      </c>
      <c r="D59" s="1329">
        <v>9860</v>
      </c>
      <c r="E59" s="860">
        <f>'Rate Inputs'!T41</f>
        <v>4.22</v>
      </c>
      <c r="F59" s="860" t="str">
        <f>'Rate Inputs'!U41</f>
        <v>per month</v>
      </c>
      <c r="H59" s="860">
        <f t="shared" ref="H59:H62" si="46">D59*E59*12</f>
        <v>499310.39999999997</v>
      </c>
      <c r="J59" s="1330">
        <f>IF($D$3=2026,D59,'Billing Units'!V42)</f>
        <v>4205</v>
      </c>
      <c r="K59" s="1303">
        <f t="shared" si="38"/>
        <v>4.9316693994130922</v>
      </c>
      <c r="L59" s="1304" t="str">
        <f>'Rate Inputs'!W41</f>
        <v>per month</v>
      </c>
      <c r="N59" s="1305">
        <f t="shared" ref="N59:N62" si="47">J59*K59*12</f>
        <v>248852.03789438462</v>
      </c>
      <c r="P59" s="1047">
        <f t="shared" ref="P59" si="48">IF(AND(N59=0,NOT(H59=0)),0,N59-H59)</f>
        <v>-250458.36210561535</v>
      </c>
      <c r="Q59" s="1043"/>
      <c r="R59" s="1074">
        <f t="shared" ref="R59" si="49">IF(D59=0,0,ROUND((N59-H59)/H59,9))</f>
        <v>-0.50160854300000002</v>
      </c>
      <c r="T59" s="1331"/>
      <c r="W59" s="1306">
        <f>INDEX($X59:$AB59,MATCH($D$6,$X$8:$AB$8,0))</f>
        <v>4.9316693994130922</v>
      </c>
      <c r="X59" s="1307">
        <v>4.22</v>
      </c>
      <c r="Y59" s="1308">
        <f>X59+$H$191</f>
        <v>5.6721846420473829</v>
      </c>
      <c r="Z59" s="1308">
        <f>Y59-$H$194</f>
        <v>5.5484645285183909</v>
      </c>
      <c r="AA59" s="1308">
        <f t="shared" ref="AA59:AA62" si="50">AV59</f>
        <v>4.9316693994130922</v>
      </c>
      <c r="AB59" s="1309">
        <f t="shared" ref="AB59:AB62" si="51">BE59</f>
        <v>4.6668061525759876</v>
      </c>
      <c r="AG59" s="1310">
        <f t="shared" si="33"/>
        <v>4205</v>
      </c>
      <c r="AH59" s="1296">
        <f t="shared" si="36"/>
        <v>4.22</v>
      </c>
      <c r="AI59" s="1302" t="s">
        <v>160</v>
      </c>
      <c r="AJ59" s="1297">
        <f t="shared" si="5"/>
        <v>212941.19999999998</v>
      </c>
      <c r="AK59" s="1297"/>
      <c r="AL59" s="1302"/>
      <c r="AM59" s="1296">
        <f t="shared" si="17"/>
        <v>4.8856829754747677</v>
      </c>
      <c r="AN59" s="1298">
        <f t="shared" si="6"/>
        <v>246531.5629424568</v>
      </c>
      <c r="AP59" s="1311">
        <v>4205</v>
      </c>
      <c r="AQ59" s="1299">
        <v>4.22</v>
      </c>
      <c r="AR59" s="1312" t="s">
        <v>160</v>
      </c>
      <c r="AS59" s="1300">
        <v>212941.19999999998</v>
      </c>
      <c r="AT59" s="1300"/>
      <c r="AU59" s="1312"/>
      <c r="AV59" s="1299">
        <v>4.9316693994130922</v>
      </c>
      <c r="AW59" s="1301">
        <v>248852.03789438462</v>
      </c>
      <c r="AY59" s="1311">
        <v>4205</v>
      </c>
      <c r="AZ59" s="1299">
        <v>4.22</v>
      </c>
      <c r="BA59" s="1312" t="s">
        <v>160</v>
      </c>
      <c r="BB59" s="1300">
        <v>212941.19999999998</v>
      </c>
      <c r="BC59" s="1300"/>
      <c r="BD59" s="1312"/>
      <c r="BE59" s="1299">
        <v>4.6668061525759876</v>
      </c>
      <c r="BF59" s="1301">
        <v>235487.03845898435</v>
      </c>
    </row>
    <row r="60" spans="1:58">
      <c r="B60" s="858" t="s">
        <v>112</v>
      </c>
      <c r="D60" s="1329">
        <v>11308</v>
      </c>
      <c r="E60" s="860">
        <f>'Rate Inputs'!T42</f>
        <v>6.18</v>
      </c>
      <c r="F60" s="860" t="str">
        <f>'Rate Inputs'!U42</f>
        <v>per month</v>
      </c>
      <c r="H60" s="860">
        <f t="shared" si="46"/>
        <v>838601.28</v>
      </c>
      <c r="J60" s="1330">
        <f>IF($D$3=2026,D60,'Billing Units'!V43)</f>
        <v>500</v>
      </c>
      <c r="K60" s="1303">
        <f t="shared" si="38"/>
        <v>7.2222077934532969</v>
      </c>
      <c r="L60" s="1304" t="str">
        <f>'Rate Inputs'!W42</f>
        <v>per month</v>
      </c>
      <c r="N60" s="1305">
        <f t="shared" si="47"/>
        <v>43333.246760719783</v>
      </c>
      <c r="P60" s="1047">
        <f t="shared" ref="P60:P63" si="52">IF(AND(N60=0,NOT(H60=0)),0,N60-H60)</f>
        <v>-795268.03323928022</v>
      </c>
      <c r="Q60" s="1043"/>
      <c r="R60" s="1074">
        <f t="shared" ref="R60:R63" si="53">IF(D60=0,0,ROUND((N60-H60)/H60,9))</f>
        <v>-0.94832675799999999</v>
      </c>
      <c r="T60" s="1331"/>
      <c r="W60" s="1306">
        <f>INDEX($X60:$AB60,MATCH($D$6,$X$8:$AB$8,0))</f>
        <v>7.2222077934532969</v>
      </c>
      <c r="X60" s="1307">
        <v>6.18</v>
      </c>
      <c r="Y60" s="1308">
        <f>X60+$H$191</f>
        <v>7.6321846420473829</v>
      </c>
      <c r="Z60" s="1308">
        <f>Y60-$H$194</f>
        <v>7.5084645285183909</v>
      </c>
      <c r="AA60" s="1308">
        <f t="shared" si="50"/>
        <v>7.2222077934532969</v>
      </c>
      <c r="AB60" s="1309">
        <f t="shared" si="51"/>
        <v>6.834327493582844</v>
      </c>
      <c r="AG60" s="1310">
        <f t="shared" si="33"/>
        <v>500</v>
      </c>
      <c r="AH60" s="1296">
        <f t="shared" si="36"/>
        <v>6.18</v>
      </c>
      <c r="AI60" s="1302" t="s">
        <v>160</v>
      </c>
      <c r="AJ60" s="1297">
        <f t="shared" si="5"/>
        <v>37080</v>
      </c>
      <c r="AK60" s="1297"/>
      <c r="AL60" s="1302"/>
      <c r="AM60" s="1296">
        <f t="shared" si="17"/>
        <v>7.1548627460744232</v>
      </c>
      <c r="AN60" s="1298">
        <f t="shared" si="6"/>
        <v>42929.176476446533</v>
      </c>
      <c r="AP60" s="1311">
        <v>500</v>
      </c>
      <c r="AQ60" s="1299">
        <v>6.18</v>
      </c>
      <c r="AR60" s="1312" t="s">
        <v>160</v>
      </c>
      <c r="AS60" s="1300">
        <v>37080</v>
      </c>
      <c r="AT60" s="1300"/>
      <c r="AU60" s="1312"/>
      <c r="AV60" s="1299">
        <v>7.2222077934532969</v>
      </c>
      <c r="AW60" s="1301">
        <v>43333.246760719783</v>
      </c>
      <c r="AY60" s="1311">
        <v>500</v>
      </c>
      <c r="AZ60" s="1299">
        <v>6.18</v>
      </c>
      <c r="BA60" s="1312" t="s">
        <v>160</v>
      </c>
      <c r="BB60" s="1300">
        <v>37080</v>
      </c>
      <c r="BC60" s="1300"/>
      <c r="BD60" s="1312"/>
      <c r="BE60" s="1299">
        <v>6.834327493582844</v>
      </c>
      <c r="BF60" s="1301">
        <v>41005.964961497062</v>
      </c>
    </row>
    <row r="61" spans="1:58">
      <c r="B61" s="858" t="s">
        <v>114</v>
      </c>
      <c r="D61" s="1329">
        <v>876</v>
      </c>
      <c r="E61" s="860">
        <f>'Rate Inputs'!T43</f>
        <v>8.31</v>
      </c>
      <c r="F61" s="860" t="str">
        <f>'Rate Inputs'!U43</f>
        <v>per month</v>
      </c>
      <c r="H61" s="860">
        <f t="shared" si="46"/>
        <v>87354.72</v>
      </c>
      <c r="J61" s="1330">
        <f>IF($D$3=2026,D61,'Billing Units'!V44)</f>
        <v>150</v>
      </c>
      <c r="K61" s="1303">
        <f t="shared" si="38"/>
        <v>9.7114153339153564</v>
      </c>
      <c r="L61" s="1304" t="str">
        <f>'Rate Inputs'!W43</f>
        <v>per month</v>
      </c>
      <c r="N61" s="1305">
        <f t="shared" si="47"/>
        <v>17480.547601047641</v>
      </c>
      <c r="P61" s="1047">
        <f t="shared" si="52"/>
        <v>-69874.17239895236</v>
      </c>
      <c r="Q61" s="1043"/>
      <c r="R61" s="1074">
        <f t="shared" si="53"/>
        <v>-0.79989006200000001</v>
      </c>
      <c r="T61" s="1331"/>
      <c r="W61" s="1306">
        <f>INDEX($X61:$AB61,MATCH($D$6,$X$8:$AB$8,0))</f>
        <v>9.7114153339153564</v>
      </c>
      <c r="X61" s="1307">
        <v>8.31</v>
      </c>
      <c r="Y61" s="1308">
        <f>X61+$H$191</f>
        <v>9.7621846420473837</v>
      </c>
      <c r="Z61" s="1308">
        <f>Y61-$H$194</f>
        <v>9.6384645285183925</v>
      </c>
      <c r="AA61" s="1308">
        <f t="shared" si="50"/>
        <v>9.7114153339153564</v>
      </c>
      <c r="AB61" s="1309">
        <f t="shared" si="51"/>
        <v>9.1898481345749907</v>
      </c>
      <c r="AG61" s="1310">
        <f t="shared" si="33"/>
        <v>150</v>
      </c>
      <c r="AH61" s="1296">
        <f t="shared" si="36"/>
        <v>8.31</v>
      </c>
      <c r="AI61" s="1302" t="s">
        <v>160</v>
      </c>
      <c r="AJ61" s="1297">
        <f t="shared" si="5"/>
        <v>14958</v>
      </c>
      <c r="AK61" s="1297"/>
      <c r="AL61" s="1302"/>
      <c r="AM61" s="1296">
        <f t="shared" si="17"/>
        <v>9.6208591294301726</v>
      </c>
      <c r="AN61" s="1298">
        <f t="shared" si="6"/>
        <v>17317.546432974312</v>
      </c>
      <c r="AP61" s="1311">
        <v>150</v>
      </c>
      <c r="AQ61" s="1299">
        <v>8.31</v>
      </c>
      <c r="AR61" s="1312" t="s">
        <v>160</v>
      </c>
      <c r="AS61" s="1300">
        <v>14958</v>
      </c>
      <c r="AT61" s="1300"/>
      <c r="AU61" s="1312"/>
      <c r="AV61" s="1299">
        <v>9.7114153339153564</v>
      </c>
      <c r="AW61" s="1301">
        <v>17480.547601047641</v>
      </c>
      <c r="AY61" s="1311">
        <v>150</v>
      </c>
      <c r="AZ61" s="1299">
        <v>8.31</v>
      </c>
      <c r="BA61" s="1312" t="s">
        <v>160</v>
      </c>
      <c r="BB61" s="1300">
        <v>14958</v>
      </c>
      <c r="BC61" s="1300"/>
      <c r="BD61" s="1312"/>
      <c r="BE61" s="1299">
        <v>9.1898481345749907</v>
      </c>
      <c r="BF61" s="1301">
        <v>16541.726642234982</v>
      </c>
    </row>
    <row r="62" spans="1:58">
      <c r="B62" s="858" t="s">
        <v>116</v>
      </c>
      <c r="D62" s="1329">
        <v>486</v>
      </c>
      <c r="E62" s="860">
        <f>'Rate Inputs'!T44</f>
        <v>12.08</v>
      </c>
      <c r="F62" s="860" t="str">
        <f>'Rate Inputs'!U44</f>
        <v>per month</v>
      </c>
      <c r="H62" s="860">
        <f t="shared" si="46"/>
        <v>70450.559999999998</v>
      </c>
      <c r="J62" s="1330">
        <f>IF($D$3=2026,D62,'Billing Units'!V45)</f>
        <v>0</v>
      </c>
      <c r="K62" s="1332">
        <f t="shared" si="38"/>
        <v>14.117195816329422</v>
      </c>
      <c r="L62" s="1304" t="str">
        <f>'Rate Inputs'!W44</f>
        <v>per month</v>
      </c>
      <c r="N62" s="1305">
        <f t="shared" si="47"/>
        <v>0</v>
      </c>
      <c r="P62" s="1047">
        <f t="shared" si="52"/>
        <v>0</v>
      </c>
      <c r="Q62" s="1043"/>
      <c r="R62" s="1074">
        <f t="shared" si="53"/>
        <v>-1</v>
      </c>
      <c r="T62" s="1331"/>
      <c r="W62" s="1306">
        <f>INDEX($X62:$AB62,MATCH($D$6,$X$8:$AB$8,0))</f>
        <v>14.117195816329422</v>
      </c>
      <c r="X62" s="1307">
        <v>12.08</v>
      </c>
      <c r="Y62" s="1308">
        <f>X62+$H$191</f>
        <v>13.532184642047383</v>
      </c>
      <c r="Z62" s="1308">
        <f>Y62-$H$194</f>
        <v>13.408464528518392</v>
      </c>
      <c r="AA62" s="1308">
        <f t="shared" si="50"/>
        <v>14.117195816329422</v>
      </c>
      <c r="AB62" s="1309">
        <f t="shared" si="51"/>
        <v>13.359009081307567</v>
      </c>
      <c r="AG62" s="1310">
        <f t="shared" si="33"/>
        <v>0</v>
      </c>
      <c r="AH62" s="1296">
        <f t="shared" si="36"/>
        <v>12.08</v>
      </c>
      <c r="AI62" s="1302" t="s">
        <v>160</v>
      </c>
      <c r="AJ62" s="1297" t="str">
        <f t="shared" si="5"/>
        <v/>
      </c>
      <c r="AK62" s="1297"/>
      <c r="AL62" s="1302"/>
      <c r="AM62" s="1296">
        <f t="shared" si="17"/>
        <v>13.985556953491754</v>
      </c>
      <c r="AN62" s="1298" t="str">
        <f t="shared" si="6"/>
        <v/>
      </c>
      <c r="AP62" s="1311">
        <v>0</v>
      </c>
      <c r="AQ62" s="1299">
        <v>12.08</v>
      </c>
      <c r="AR62" s="1312" t="s">
        <v>160</v>
      </c>
      <c r="AS62" s="1300" t="s">
        <v>608</v>
      </c>
      <c r="AT62" s="1300"/>
      <c r="AU62" s="1312"/>
      <c r="AV62" s="1299">
        <v>14.117195816329422</v>
      </c>
      <c r="AW62" s="1301" t="s">
        <v>608</v>
      </c>
      <c r="AY62" s="1311">
        <v>0</v>
      </c>
      <c r="AZ62" s="1299">
        <v>12.08</v>
      </c>
      <c r="BA62" s="1312" t="s">
        <v>160</v>
      </c>
      <c r="BB62" s="1300" t="s">
        <v>608</v>
      </c>
      <c r="BC62" s="1300"/>
      <c r="BD62" s="1312"/>
      <c r="BE62" s="1299">
        <v>13.359009081307567</v>
      </c>
      <c r="BF62" s="1301" t="s">
        <v>608</v>
      </c>
    </row>
    <row r="63" spans="1:58" s="12" customFormat="1" ht="13.8" thickBot="1">
      <c r="A63" s="865"/>
      <c r="B63" s="866" t="s">
        <v>507</v>
      </c>
      <c r="C63" s="865"/>
      <c r="D63" s="1333">
        <f>SUM(D27:D62)</f>
        <v>516614</v>
      </c>
      <c r="E63" s="868"/>
      <c r="F63" s="865"/>
      <c r="G63" s="868"/>
      <c r="H63" s="1334">
        <f>SUM(H23:H62)</f>
        <v>67936462.640000001</v>
      </c>
      <c r="I63" s="865"/>
      <c r="J63" s="1335">
        <f>SUM(J27:J62)</f>
        <v>558044</v>
      </c>
      <c r="K63" s="868"/>
      <c r="L63" s="1336"/>
      <c r="M63" s="868"/>
      <c r="N63" s="1337">
        <f>SUM(N27:N62)</f>
        <v>73990612.802070513</v>
      </c>
      <c r="O63" s="1338"/>
      <c r="P63" s="1085">
        <f t="shared" si="52"/>
        <v>6054150.1620705128</v>
      </c>
      <c r="Q63" s="1081"/>
      <c r="R63" s="1086">
        <f t="shared" si="53"/>
        <v>8.9114887000000004E-2</v>
      </c>
      <c r="S63" s="865"/>
      <c r="T63" s="1331"/>
      <c r="U63" s="838"/>
      <c r="V63" s="773"/>
      <c r="W63" s="1339"/>
      <c r="X63" s="868"/>
      <c r="Y63" s="868"/>
      <c r="Z63" s="868"/>
      <c r="AA63" s="868"/>
      <c r="AB63" s="1340"/>
      <c r="AC63" s="773"/>
      <c r="AD63" s="789"/>
      <c r="AE63" s="865"/>
      <c r="AF63" s="865"/>
      <c r="AG63" s="1333">
        <f t="shared" si="33"/>
        <v>558044</v>
      </c>
      <c r="AH63" s="1341" t="str">
        <f t="shared" si="36"/>
        <v/>
      </c>
      <c r="AI63" s="1335"/>
      <c r="AJ63" s="1342" t="str">
        <f t="shared" si="5"/>
        <v/>
      </c>
      <c r="AK63" s="1342"/>
      <c r="AL63" s="1335"/>
      <c r="AM63" s="1341" t="str">
        <f t="shared" si="17"/>
        <v/>
      </c>
      <c r="AN63" s="1343" t="str">
        <f t="shared" si="6"/>
        <v/>
      </c>
      <c r="AO63" s="865"/>
      <c r="AP63" s="1344">
        <v>558044</v>
      </c>
      <c r="AQ63" s="1345" t="s">
        <v>608</v>
      </c>
      <c r="AR63" s="1346"/>
      <c r="AS63" s="1347" t="s">
        <v>608</v>
      </c>
      <c r="AT63" s="1347"/>
      <c r="AU63" s="1346"/>
      <c r="AV63" s="1345" t="s">
        <v>608</v>
      </c>
      <c r="AW63" s="1348" t="s">
        <v>608</v>
      </c>
      <c r="AX63" s="865"/>
      <c r="AY63" s="1344">
        <v>558044</v>
      </c>
      <c r="AZ63" s="1345" t="s">
        <v>608</v>
      </c>
      <c r="BA63" s="1346"/>
      <c r="BB63" s="1347" t="s">
        <v>608</v>
      </c>
      <c r="BC63" s="1347"/>
      <c r="BD63" s="1346"/>
      <c r="BE63" s="1345" t="s">
        <v>608</v>
      </c>
      <c r="BF63" s="1348" t="s">
        <v>608</v>
      </c>
    </row>
    <row r="64" spans="1:58" ht="13.8" thickTop="1">
      <c r="B64" s="862"/>
      <c r="D64" s="1316"/>
      <c r="E64" s="864"/>
      <c r="G64" s="864"/>
      <c r="H64" s="1317"/>
      <c r="J64" s="1318"/>
      <c r="K64" s="864"/>
      <c r="L64" s="780"/>
      <c r="M64" s="864"/>
      <c r="N64" s="1292"/>
      <c r="O64" s="1317"/>
      <c r="P64" s="1293"/>
      <c r="R64" s="1294"/>
      <c r="T64" s="1123"/>
      <c r="W64" s="1319"/>
      <c r="X64" s="864"/>
      <c r="Y64" s="864"/>
      <c r="Z64" s="864"/>
      <c r="AA64" s="864"/>
      <c r="AB64" s="1320"/>
      <c r="AG64" s="1316" t="str">
        <f t="shared" si="33"/>
        <v/>
      </c>
      <c r="AH64" s="1296" t="str">
        <f t="shared" si="36"/>
        <v/>
      </c>
      <c r="AI64" s="1318"/>
      <c r="AJ64" s="1297" t="str">
        <f t="shared" si="5"/>
        <v/>
      </c>
      <c r="AK64" s="1297"/>
      <c r="AL64" s="1318"/>
      <c r="AM64" s="1296" t="str">
        <f t="shared" si="17"/>
        <v/>
      </c>
      <c r="AN64" s="1298" t="str">
        <f t="shared" si="6"/>
        <v/>
      </c>
      <c r="AP64" s="1321" t="s">
        <v>608</v>
      </c>
      <c r="AQ64" s="1299" t="s">
        <v>608</v>
      </c>
      <c r="AR64" s="1322"/>
      <c r="AS64" s="1300" t="s">
        <v>608</v>
      </c>
      <c r="AT64" s="1300"/>
      <c r="AU64" s="1322"/>
      <c r="AV64" s="1299" t="s">
        <v>608</v>
      </c>
      <c r="AW64" s="1301" t="s">
        <v>608</v>
      </c>
      <c r="AY64" s="1321" t="s">
        <v>608</v>
      </c>
      <c r="AZ64" s="1299" t="s">
        <v>608</v>
      </c>
      <c r="BA64" s="1322"/>
      <c r="BB64" s="1300" t="s">
        <v>608</v>
      </c>
      <c r="BC64" s="1300"/>
      <c r="BD64" s="1322"/>
      <c r="BE64" s="1299" t="s">
        <v>608</v>
      </c>
      <c r="BF64" s="1301" t="s">
        <v>608</v>
      </c>
    </row>
    <row r="65" spans="2:58">
      <c r="B65" s="855" t="s">
        <v>11</v>
      </c>
      <c r="D65" s="1316"/>
      <c r="E65" s="864"/>
      <c r="G65" s="864"/>
      <c r="H65" s="1317"/>
      <c r="J65" s="1318"/>
      <c r="K65" s="864"/>
      <c r="L65" s="780"/>
      <c r="M65" s="864"/>
      <c r="N65" s="1292"/>
      <c r="O65" s="1317"/>
      <c r="P65" s="1293"/>
      <c r="R65" s="1294"/>
      <c r="T65" s="1123"/>
      <c r="W65" s="1319"/>
      <c r="X65" s="864"/>
      <c r="Y65" s="864"/>
      <c r="Z65" s="864"/>
      <c r="AA65" s="864"/>
      <c r="AB65" s="1320"/>
      <c r="AG65" s="1316" t="str">
        <f t="shared" si="33"/>
        <v/>
      </c>
      <c r="AH65" s="1296" t="str">
        <f t="shared" si="36"/>
        <v/>
      </c>
      <c r="AI65" s="1318"/>
      <c r="AJ65" s="1297" t="str">
        <f t="shared" si="5"/>
        <v/>
      </c>
      <c r="AK65" s="1297"/>
      <c r="AL65" s="1318"/>
      <c r="AM65" s="1296" t="str">
        <f t="shared" si="17"/>
        <v/>
      </c>
      <c r="AN65" s="1298" t="str">
        <f t="shared" si="6"/>
        <v/>
      </c>
      <c r="AP65" s="1321" t="s">
        <v>608</v>
      </c>
      <c r="AQ65" s="1299" t="s">
        <v>608</v>
      </c>
      <c r="AR65" s="1322"/>
      <c r="AS65" s="1300" t="s">
        <v>608</v>
      </c>
      <c r="AT65" s="1300"/>
      <c r="AU65" s="1322"/>
      <c r="AV65" s="1299" t="s">
        <v>608</v>
      </c>
      <c r="AW65" s="1301" t="s">
        <v>608</v>
      </c>
      <c r="AY65" s="1321" t="s">
        <v>608</v>
      </c>
      <c r="AZ65" s="1299" t="s">
        <v>608</v>
      </c>
      <c r="BA65" s="1322"/>
      <c r="BB65" s="1300" t="s">
        <v>608</v>
      </c>
      <c r="BC65" s="1300"/>
      <c r="BD65" s="1322"/>
      <c r="BE65" s="1299" t="s">
        <v>608</v>
      </c>
      <c r="BF65" s="1301" t="s">
        <v>608</v>
      </c>
    </row>
    <row r="66" spans="2:58">
      <c r="B66" s="869"/>
      <c r="D66" s="1316"/>
      <c r="E66" s="864"/>
      <c r="G66" s="864"/>
      <c r="H66" s="1317"/>
      <c r="J66" s="1318"/>
      <c r="K66" s="864"/>
      <c r="L66" s="780"/>
      <c r="M66" s="864"/>
      <c r="N66" s="1292"/>
      <c r="O66" s="1317"/>
      <c r="P66" s="1293"/>
      <c r="R66" s="1294"/>
      <c r="T66" s="1123"/>
      <c r="W66" s="1319"/>
      <c r="X66" s="864"/>
      <c r="Y66" s="864"/>
      <c r="Z66" s="864"/>
      <c r="AA66" s="864"/>
      <c r="AB66" s="1320"/>
      <c r="AG66" s="1316" t="str">
        <f t="shared" si="33"/>
        <v/>
      </c>
      <c r="AH66" s="1296" t="str">
        <f t="shared" si="36"/>
        <v/>
      </c>
      <c r="AI66" s="1318"/>
      <c r="AJ66" s="1297" t="str">
        <f t="shared" si="5"/>
        <v/>
      </c>
      <c r="AK66" s="1297"/>
      <c r="AL66" s="1318"/>
      <c r="AM66" s="1296" t="str">
        <f t="shared" si="17"/>
        <v/>
      </c>
      <c r="AN66" s="1298" t="str">
        <f t="shared" si="6"/>
        <v/>
      </c>
      <c r="AP66" s="1321" t="s">
        <v>608</v>
      </c>
      <c r="AQ66" s="1299" t="s">
        <v>608</v>
      </c>
      <c r="AR66" s="1322"/>
      <c r="AS66" s="1300" t="s">
        <v>608</v>
      </c>
      <c r="AT66" s="1300"/>
      <c r="AU66" s="1322"/>
      <c r="AV66" s="1299" t="s">
        <v>608</v>
      </c>
      <c r="AW66" s="1301" t="s">
        <v>608</v>
      </c>
      <c r="AY66" s="1321" t="s">
        <v>608</v>
      </c>
      <c r="AZ66" s="1299" t="s">
        <v>608</v>
      </c>
      <c r="BA66" s="1322"/>
      <c r="BB66" s="1300" t="s">
        <v>608</v>
      </c>
      <c r="BC66" s="1300"/>
      <c r="BD66" s="1322"/>
      <c r="BE66" s="1299" t="s">
        <v>608</v>
      </c>
      <c r="BF66" s="1301" t="s">
        <v>608</v>
      </c>
    </row>
    <row r="67" spans="2:58">
      <c r="B67" s="857" t="s">
        <v>461</v>
      </c>
      <c r="D67" s="1316">
        <f>'Billing Units'!T47</f>
        <v>226</v>
      </c>
      <c r="E67" s="864">
        <f>'Rate Inputs'!T47</f>
        <v>5</v>
      </c>
      <c r="F67" s="864" t="str">
        <f>'Rate Inputs'!U47</f>
        <v>per month</v>
      </c>
      <c r="G67" s="864"/>
      <c r="H67" s="860">
        <f t="shared" ref="H67" si="54">D67*E67*12</f>
        <v>13560</v>
      </c>
      <c r="J67" s="1318">
        <f>'Billing Units'!V47</f>
        <v>226</v>
      </c>
      <c r="K67" s="1303">
        <f t="shared" ref="K67" si="55">W67</f>
        <v>5.8432101888780714</v>
      </c>
      <c r="L67" s="1320" t="str">
        <f>'Rate Inputs'!W47</f>
        <v>per month</v>
      </c>
      <c r="M67" s="864"/>
      <c r="N67" s="1305">
        <f t="shared" ref="N67" si="56">J67*K67*12</f>
        <v>15846.786032237331</v>
      </c>
      <c r="O67" s="1317"/>
      <c r="P67" s="1047">
        <f t="shared" ref="P67" si="57">IF(AND(N67=0,NOT(H67=0)),0,N67-H67)</f>
        <v>2286.7860322373308</v>
      </c>
      <c r="Q67" s="1043"/>
      <c r="R67" s="1074">
        <f t="shared" ref="R67" si="58">IF(D67=0,0,ROUND((N67-H67)/H67,9))</f>
        <v>0.16864203799999999</v>
      </c>
      <c r="T67" s="1123"/>
      <c r="W67" s="1319">
        <f>INDEX($X67:$AB67,MATCH($D$6,$X$8:$AB$8,0))</f>
        <v>5.8432101888780714</v>
      </c>
      <c r="X67" s="1349">
        <v>5</v>
      </c>
      <c r="Y67" s="1349">
        <v>5</v>
      </c>
      <c r="Z67" s="1349">
        <f>Y67</f>
        <v>5</v>
      </c>
      <c r="AA67" s="1350">
        <f t="shared" ref="AA67" si="59">AV67</f>
        <v>5.8432101888780714</v>
      </c>
      <c r="AB67" s="1351">
        <f t="shared" ref="AB67" si="60">BE67</f>
        <v>5.5293911760379002</v>
      </c>
      <c r="AG67" s="1316">
        <f t="shared" si="33"/>
        <v>226</v>
      </c>
      <c r="AH67" s="1296">
        <f t="shared" si="36"/>
        <v>5</v>
      </c>
      <c r="AI67" s="1318" t="s">
        <v>160</v>
      </c>
      <c r="AJ67" s="1297">
        <f t="shared" si="5"/>
        <v>13560</v>
      </c>
      <c r="AK67" s="1297"/>
      <c r="AL67" s="1318"/>
      <c r="AM67" s="1296">
        <f t="shared" si="17"/>
        <v>5.7887239045909578</v>
      </c>
      <c r="AN67" s="1298">
        <f t="shared" si="6"/>
        <v>15699.019229250676</v>
      </c>
      <c r="AP67" s="1321">
        <v>226</v>
      </c>
      <c r="AQ67" s="1299">
        <v>5</v>
      </c>
      <c r="AR67" s="1322" t="s">
        <v>160</v>
      </c>
      <c r="AS67" s="1300">
        <v>13560</v>
      </c>
      <c r="AT67" s="1300"/>
      <c r="AU67" s="1322"/>
      <c r="AV67" s="1299">
        <v>5.8432101888780714</v>
      </c>
      <c r="AW67" s="1301">
        <v>15846.786032237331</v>
      </c>
      <c r="AY67" s="1321">
        <v>225</v>
      </c>
      <c r="AZ67" s="1299">
        <v>5</v>
      </c>
      <c r="BA67" s="1322" t="s">
        <v>160</v>
      </c>
      <c r="BB67" s="1300">
        <v>13500</v>
      </c>
      <c r="BC67" s="1300"/>
      <c r="BD67" s="1322"/>
      <c r="BE67" s="1299">
        <v>5.5293911760379002</v>
      </c>
      <c r="BF67" s="1301">
        <v>14929.35617530233</v>
      </c>
    </row>
    <row r="68" spans="2:58">
      <c r="B68" s="862"/>
      <c r="D68" s="1316"/>
      <c r="E68" s="864"/>
      <c r="F68" s="864"/>
      <c r="G68" s="864"/>
      <c r="H68" s="1317"/>
      <c r="J68" s="1318"/>
      <c r="K68" s="864"/>
      <c r="L68" s="1320"/>
      <c r="M68" s="864"/>
      <c r="N68" s="1292"/>
      <c r="O68" s="1317"/>
      <c r="P68" s="1293"/>
      <c r="R68" s="1294"/>
      <c r="T68" s="1123"/>
      <c r="W68" s="1319"/>
      <c r="X68" s="864"/>
      <c r="Y68" s="864"/>
      <c r="Z68" s="864"/>
      <c r="AA68" s="864"/>
      <c r="AB68" s="1320"/>
      <c r="AG68" s="1316" t="str">
        <f t="shared" si="33"/>
        <v/>
      </c>
      <c r="AH68" s="1296" t="str">
        <f t="shared" si="36"/>
        <v/>
      </c>
      <c r="AI68" s="1318"/>
      <c r="AJ68" s="1297" t="str">
        <f t="shared" si="5"/>
        <v/>
      </c>
      <c r="AK68" s="1297"/>
      <c r="AL68" s="1318"/>
      <c r="AM68" s="1296" t="str">
        <f t="shared" si="17"/>
        <v/>
      </c>
      <c r="AN68" s="1298" t="str">
        <f t="shared" si="6"/>
        <v/>
      </c>
      <c r="AP68" s="1321" t="s">
        <v>608</v>
      </c>
      <c r="AQ68" s="1299" t="s">
        <v>608</v>
      </c>
      <c r="AR68" s="1322"/>
      <c r="AS68" s="1300" t="s">
        <v>608</v>
      </c>
      <c r="AT68" s="1300"/>
      <c r="AU68" s="1322"/>
      <c r="AV68" s="1299" t="s">
        <v>608</v>
      </c>
      <c r="AW68" s="1301" t="s">
        <v>608</v>
      </c>
      <c r="AY68" s="1321" t="s">
        <v>608</v>
      </c>
      <c r="AZ68" s="1299" t="s">
        <v>608</v>
      </c>
      <c r="BA68" s="1322"/>
      <c r="BB68" s="1300" t="s">
        <v>608</v>
      </c>
      <c r="BC68" s="1300"/>
      <c r="BD68" s="1322"/>
      <c r="BE68" s="1299" t="s">
        <v>608</v>
      </c>
      <c r="BF68" s="1301" t="s">
        <v>608</v>
      </c>
    </row>
    <row r="69" spans="2:58">
      <c r="B69" s="846" t="s">
        <v>462</v>
      </c>
      <c r="D69" s="1316"/>
      <c r="E69" s="864"/>
      <c r="F69" s="864"/>
      <c r="G69" s="864"/>
      <c r="H69" s="1317"/>
      <c r="J69" s="1318"/>
      <c r="K69" s="864"/>
      <c r="L69" s="1320"/>
      <c r="M69" s="864"/>
      <c r="N69" s="1292"/>
      <c r="O69" s="1317"/>
      <c r="P69" s="1293"/>
      <c r="R69" s="1294"/>
      <c r="T69" s="1123"/>
      <c r="W69" s="1319"/>
      <c r="X69" s="864"/>
      <c r="Y69" s="864"/>
      <c r="Z69" s="864"/>
      <c r="AA69" s="864"/>
      <c r="AB69" s="1320"/>
      <c r="AG69" s="1316" t="str">
        <f t="shared" si="33"/>
        <v/>
      </c>
      <c r="AH69" s="1296" t="str">
        <f t="shared" si="36"/>
        <v/>
      </c>
      <c r="AI69" s="1318"/>
      <c r="AJ69" s="1297" t="str">
        <f t="shared" si="5"/>
        <v/>
      </c>
      <c r="AK69" s="1297"/>
      <c r="AL69" s="1318"/>
      <c r="AM69" s="1296" t="str">
        <f t="shared" si="17"/>
        <v/>
      </c>
      <c r="AN69" s="1298" t="str">
        <f t="shared" si="6"/>
        <v/>
      </c>
      <c r="AP69" s="1321" t="s">
        <v>608</v>
      </c>
      <c r="AQ69" s="1299" t="s">
        <v>608</v>
      </c>
      <c r="AR69" s="1322"/>
      <c r="AS69" s="1300" t="s">
        <v>608</v>
      </c>
      <c r="AT69" s="1300"/>
      <c r="AU69" s="1322"/>
      <c r="AV69" s="1299" t="s">
        <v>608</v>
      </c>
      <c r="AW69" s="1301" t="s">
        <v>608</v>
      </c>
      <c r="AY69" s="1321" t="s">
        <v>608</v>
      </c>
      <c r="AZ69" s="1299" t="s">
        <v>608</v>
      </c>
      <c r="BA69" s="1322"/>
      <c r="BB69" s="1300" t="s">
        <v>608</v>
      </c>
      <c r="BC69" s="1300"/>
      <c r="BD69" s="1322"/>
      <c r="BE69" s="1299" t="s">
        <v>608</v>
      </c>
      <c r="BF69" s="1301" t="s">
        <v>608</v>
      </c>
    </row>
    <row r="70" spans="2:58">
      <c r="B70" s="847" t="s">
        <v>474</v>
      </c>
      <c r="D70" s="1316">
        <f>'Billing Units'!T49</f>
        <v>2700000</v>
      </c>
      <c r="E70" s="873">
        <f>'Rate Inputs'!T49+IF($D$7,$K$7,0)</f>
        <v>0.111912</v>
      </c>
      <c r="F70" s="864" t="str">
        <f>'Rate Inputs'!U49</f>
        <v>per kWh</v>
      </c>
      <c r="G70" s="864"/>
      <c r="H70" s="860">
        <f>D70*E70</f>
        <v>302162.39999999997</v>
      </c>
      <c r="J70" s="1318">
        <f>'Billing Units'!V49</f>
        <v>2700000</v>
      </c>
      <c r="K70" s="1180">
        <f>IF($W$10,W70,(1+$T$138)*E70)</f>
        <v>9.0908664118565033E-2</v>
      </c>
      <c r="L70" s="1320" t="str">
        <f>'Rate Inputs'!W49</f>
        <v>per kWh</v>
      </c>
      <c r="M70" s="864"/>
      <c r="N70" s="1305">
        <f>J70*K70</f>
        <v>245453.39312012558</v>
      </c>
      <c r="O70" s="1317"/>
      <c r="P70" s="1047">
        <f t="shared" ref="P70" si="61">IF(AND(N70=0,NOT(H70=0)),0,N70-H70)</f>
        <v>-56709.006879874389</v>
      </c>
      <c r="Q70" s="1043"/>
      <c r="R70" s="1074">
        <f t="shared" ref="R70" si="62">IF(D70=0,0,ROUND((N70-H70)/H70,9))</f>
        <v>-0.18767724499999999</v>
      </c>
      <c r="T70" s="1123"/>
      <c r="W70" s="1352">
        <f>INDEX($X70:$AB70,MATCH($D$6,$X$8:$AB$8,0))</f>
        <v>9.0908664118565033E-2</v>
      </c>
      <c r="X70" s="1353">
        <v>7.7789999999999998E-2</v>
      </c>
      <c r="Y70" s="1353">
        <v>0.111912</v>
      </c>
      <c r="Z70" s="1524">
        <v>0.11066039220813717</v>
      </c>
      <c r="AA70" s="1354">
        <f t="shared" ref="AA70" si="63">AV70</f>
        <v>9.0908664118565033E-2</v>
      </c>
      <c r="AB70" s="1355">
        <f t="shared" ref="AB70" si="64">BE70</f>
        <v>8.6026267916797641E-2</v>
      </c>
      <c r="AG70" s="1316">
        <f t="shared" si="33"/>
        <v>2700000</v>
      </c>
      <c r="AH70" s="1296">
        <f t="shared" si="36"/>
        <v>0.111912</v>
      </c>
      <c r="AI70" s="1318" t="s">
        <v>157</v>
      </c>
      <c r="AJ70" s="1297">
        <f t="shared" si="5"/>
        <v>302162.39999999997</v>
      </c>
      <c r="AK70" s="1297"/>
      <c r="AL70" s="1318"/>
      <c r="AM70" s="1296">
        <f t="shared" si="17"/>
        <v>0.12956553392211664</v>
      </c>
      <c r="AN70" s="1298">
        <f t="shared" si="6"/>
        <v>349826.94158971496</v>
      </c>
      <c r="AP70" s="1321">
        <v>2700000</v>
      </c>
      <c r="AQ70" s="1299">
        <v>7.7789999999999998E-2</v>
      </c>
      <c r="AR70" s="1322" t="s">
        <v>157</v>
      </c>
      <c r="AS70" s="1300">
        <v>210033</v>
      </c>
      <c r="AT70" s="1300"/>
      <c r="AU70" s="1322"/>
      <c r="AV70" s="1299">
        <v>9.0908664118565033E-2</v>
      </c>
      <c r="AW70" s="1301">
        <v>245453.39312012558</v>
      </c>
      <c r="AY70" s="1321">
        <v>2700000</v>
      </c>
      <c r="AZ70" s="1299">
        <v>7.7789999999999998E-2</v>
      </c>
      <c r="BA70" s="1322" t="s">
        <v>157</v>
      </c>
      <c r="BB70" s="1300">
        <v>210033</v>
      </c>
      <c r="BC70" s="1300"/>
      <c r="BD70" s="1322"/>
      <c r="BE70" s="1299">
        <v>8.6026267916797641E-2</v>
      </c>
      <c r="BF70" s="1301">
        <v>232270.92337535362</v>
      </c>
    </row>
    <row r="71" spans="2:58">
      <c r="B71" s="862"/>
      <c r="D71" s="1316"/>
      <c r="E71" s="864"/>
      <c r="G71" s="864"/>
      <c r="H71" s="1317"/>
      <c r="J71" s="1318"/>
      <c r="K71" s="864"/>
      <c r="L71" s="1320"/>
      <c r="M71" s="864"/>
      <c r="N71" s="1292"/>
      <c r="O71" s="1317"/>
      <c r="P71" s="1293"/>
      <c r="R71" s="1294"/>
      <c r="T71" s="1123"/>
      <c r="W71" s="1319"/>
      <c r="X71" s="864"/>
      <c r="Y71" s="864"/>
      <c r="Z71" s="864"/>
      <c r="AA71" s="864"/>
      <c r="AB71" s="1320"/>
      <c r="AG71" s="1316" t="str">
        <f t="shared" si="33"/>
        <v/>
      </c>
      <c r="AH71" s="1296" t="str">
        <f t="shared" si="36"/>
        <v/>
      </c>
      <c r="AI71" s="1318"/>
      <c r="AJ71" s="1297" t="str">
        <f t="shared" si="5"/>
        <v/>
      </c>
      <c r="AK71" s="1297"/>
      <c r="AL71" s="1318"/>
      <c r="AM71" s="1296" t="str">
        <f t="shared" si="17"/>
        <v/>
      </c>
      <c r="AN71" s="1298" t="str">
        <f t="shared" si="6"/>
        <v/>
      </c>
      <c r="AP71" s="1321" t="s">
        <v>608</v>
      </c>
      <c r="AQ71" s="1299" t="s">
        <v>608</v>
      </c>
      <c r="AR71" s="1322"/>
      <c r="AS71" s="1300" t="s">
        <v>608</v>
      </c>
      <c r="AT71" s="1300"/>
      <c r="AU71" s="1322"/>
      <c r="AV71" s="1299" t="s">
        <v>608</v>
      </c>
      <c r="AW71" s="1301" t="s">
        <v>608</v>
      </c>
      <c r="AY71" s="1321" t="s">
        <v>608</v>
      </c>
      <c r="AZ71" s="1299" t="s">
        <v>608</v>
      </c>
      <c r="BA71" s="1322"/>
      <c r="BB71" s="1300" t="s">
        <v>608</v>
      </c>
      <c r="BC71" s="1300"/>
      <c r="BD71" s="1322"/>
      <c r="BE71" s="1299" t="s">
        <v>608</v>
      </c>
      <c r="BF71" s="1301" t="s">
        <v>608</v>
      </c>
    </row>
    <row r="72" spans="2:58">
      <c r="B72" s="857" t="s">
        <v>504</v>
      </c>
      <c r="D72" s="1316"/>
      <c r="E72" s="864"/>
      <c r="G72" s="864"/>
      <c r="H72" s="1317"/>
      <c r="J72" s="1318"/>
      <c r="K72" s="864"/>
      <c r="L72" s="1320"/>
      <c r="M72" s="864"/>
      <c r="N72" s="1292"/>
      <c r="O72" s="1317"/>
      <c r="P72" s="1293"/>
      <c r="R72" s="1294"/>
      <c r="T72" s="1123"/>
      <c r="W72" s="1319"/>
      <c r="X72" s="864"/>
      <c r="Y72" s="864"/>
      <c r="Z72" s="864"/>
      <c r="AA72" s="864"/>
      <c r="AB72" s="1320"/>
      <c r="AG72" s="1316" t="str">
        <f t="shared" si="33"/>
        <v/>
      </c>
      <c r="AH72" s="1296" t="str">
        <f t="shared" si="36"/>
        <v/>
      </c>
      <c r="AI72" s="1318"/>
      <c r="AJ72" s="1297" t="str">
        <f t="shared" si="5"/>
        <v/>
      </c>
      <c r="AK72" s="1297"/>
      <c r="AL72" s="1318"/>
      <c r="AM72" s="1296" t="str">
        <f t="shared" si="17"/>
        <v/>
      </c>
      <c r="AN72" s="1298" t="str">
        <f t="shared" si="6"/>
        <v/>
      </c>
      <c r="AP72" s="1321" t="s">
        <v>608</v>
      </c>
      <c r="AQ72" s="1299" t="s">
        <v>608</v>
      </c>
      <c r="AR72" s="1322"/>
      <c r="AS72" s="1300" t="s">
        <v>608</v>
      </c>
      <c r="AT72" s="1300"/>
      <c r="AU72" s="1322"/>
      <c r="AV72" s="1299" t="s">
        <v>608</v>
      </c>
      <c r="AW72" s="1301" t="s">
        <v>608</v>
      </c>
      <c r="AY72" s="1321" t="s">
        <v>608</v>
      </c>
      <c r="AZ72" s="1299" t="s">
        <v>608</v>
      </c>
      <c r="BA72" s="1322"/>
      <c r="BB72" s="1300" t="s">
        <v>608</v>
      </c>
      <c r="BC72" s="1300"/>
      <c r="BD72" s="1322"/>
      <c r="BE72" s="1299" t="s">
        <v>608</v>
      </c>
      <c r="BF72" s="1301" t="s">
        <v>608</v>
      </c>
    </row>
    <row r="73" spans="2:58">
      <c r="B73" s="858" t="s">
        <v>75</v>
      </c>
      <c r="D73" s="1316">
        <f>'Billing Units'!T52</f>
        <v>0</v>
      </c>
      <c r="E73" s="864">
        <f>'Rate Inputs'!T52</f>
        <v>1.55</v>
      </c>
      <c r="F73" s="864" t="str">
        <f>'Rate Inputs'!U52</f>
        <v>per month</v>
      </c>
      <c r="G73" s="864"/>
      <c r="H73" s="860">
        <f t="shared" ref="H73:H80" si="65">D73*E73*12</f>
        <v>0</v>
      </c>
      <c r="J73" s="1318">
        <f>'Billing Units'!V52</f>
        <v>0</v>
      </c>
      <c r="K73" s="1303">
        <f t="shared" ref="K73:K79" si="66">W73</f>
        <v>1.8113951585522023</v>
      </c>
      <c r="L73" s="1320" t="str">
        <f>'Rate Inputs'!W52</f>
        <v>per month</v>
      </c>
      <c r="M73" s="864"/>
      <c r="N73" s="1305">
        <f t="shared" ref="N73:N80" si="67">J73*K73*12</f>
        <v>0</v>
      </c>
      <c r="O73" s="1317"/>
      <c r="P73" s="1047">
        <f t="shared" ref="P73" si="68">IF(AND(N73=0,NOT(H73=0)),0,N73-H73)</f>
        <v>0</v>
      </c>
      <c r="Q73" s="1043"/>
      <c r="R73" s="1074">
        <f t="shared" ref="R73" si="69">IF(D73=0,0,ROUND((N73-H73)/H73,9))</f>
        <v>0</v>
      </c>
      <c r="T73" s="1123"/>
      <c r="W73" s="1319">
        <f t="shared" ref="W73:W80" si="70">INDEX($X73:$AB73,MATCH($D$6,$X$8:$AB$8,0))</f>
        <v>1.8113951585522023</v>
      </c>
      <c r="X73" s="1349">
        <v>1.55</v>
      </c>
      <c r="Y73" s="1349">
        <v>1.55</v>
      </c>
      <c r="Z73" s="1349">
        <f t="shared" ref="Z73:Z79" si="71">Y73</f>
        <v>1.55</v>
      </c>
      <c r="AA73" s="1350">
        <f t="shared" ref="AA73:AA80" si="72">AV73</f>
        <v>1.8113951585522023</v>
      </c>
      <c r="AB73" s="1351">
        <f t="shared" ref="AB73:AB80" si="73">BE73</f>
        <v>1.7141112645717491</v>
      </c>
      <c r="AG73" s="1316">
        <f t="shared" si="33"/>
        <v>0</v>
      </c>
      <c r="AH73" s="1296">
        <f t="shared" si="36"/>
        <v>1.55</v>
      </c>
      <c r="AI73" s="1318" t="s">
        <v>160</v>
      </c>
      <c r="AJ73" s="1297" t="str">
        <f t="shared" si="5"/>
        <v/>
      </c>
      <c r="AK73" s="1297"/>
      <c r="AL73" s="1318"/>
      <c r="AM73" s="1296">
        <f t="shared" si="17"/>
        <v>1.7945044104231969</v>
      </c>
      <c r="AN73" s="1298" t="str">
        <f t="shared" si="6"/>
        <v/>
      </c>
      <c r="AP73" s="1321">
        <v>0</v>
      </c>
      <c r="AQ73" s="1299">
        <v>1.55</v>
      </c>
      <c r="AR73" s="1322" t="s">
        <v>160</v>
      </c>
      <c r="AS73" s="1300" t="s">
        <v>608</v>
      </c>
      <c r="AT73" s="1300"/>
      <c r="AU73" s="1322"/>
      <c r="AV73" s="1299">
        <v>1.8113951585522023</v>
      </c>
      <c r="AW73" s="1301" t="s">
        <v>608</v>
      </c>
      <c r="AY73" s="1321">
        <v>0</v>
      </c>
      <c r="AZ73" s="1299">
        <v>1.55</v>
      </c>
      <c r="BA73" s="1322" t="s">
        <v>160</v>
      </c>
      <c r="BB73" s="1300" t="s">
        <v>608</v>
      </c>
      <c r="BC73" s="1300"/>
      <c r="BD73" s="1322"/>
      <c r="BE73" s="1299">
        <v>1.7141112645717491</v>
      </c>
      <c r="BF73" s="1301" t="s">
        <v>608</v>
      </c>
    </row>
    <row r="74" spans="2:58">
      <c r="B74" s="858" t="s">
        <v>80</v>
      </c>
      <c r="D74" s="1316">
        <f>'Billing Units'!T53</f>
        <v>0</v>
      </c>
      <c r="E74" s="864">
        <f>'Rate Inputs'!T53</f>
        <v>2.2200000000000002</v>
      </c>
      <c r="F74" s="864" t="str">
        <f>'Rate Inputs'!U53</f>
        <v>per month</v>
      </c>
      <c r="G74" s="864"/>
      <c r="H74" s="860">
        <f t="shared" si="65"/>
        <v>0</v>
      </c>
      <c r="J74" s="1318">
        <f>'Billing Units'!V53</f>
        <v>0</v>
      </c>
      <c r="K74" s="1303">
        <f t="shared" si="66"/>
        <v>2.5943853238618639</v>
      </c>
      <c r="L74" s="1320" t="str">
        <f>'Rate Inputs'!W53</f>
        <v>per month</v>
      </c>
      <c r="M74" s="864"/>
      <c r="N74" s="1305">
        <f t="shared" si="67"/>
        <v>0</v>
      </c>
      <c r="O74" s="1317"/>
      <c r="P74" s="1047">
        <f t="shared" ref="P74:P81" si="74">IF(AND(N74=0,NOT(H74=0)),0,N74-H74)</f>
        <v>0</v>
      </c>
      <c r="Q74" s="1043"/>
      <c r="R74" s="1074">
        <f t="shared" ref="R74:R81" si="75">IF(D74=0,0,ROUND((N74-H74)/H74,9))</f>
        <v>0</v>
      </c>
      <c r="T74" s="1123"/>
      <c r="V74" s="692"/>
      <c r="W74" s="1319">
        <f t="shared" si="70"/>
        <v>2.5943853238618639</v>
      </c>
      <c r="X74" s="1349">
        <v>2.2200000000000002</v>
      </c>
      <c r="Y74" s="1349">
        <v>2.2200000000000002</v>
      </c>
      <c r="Z74" s="1349">
        <f t="shared" si="71"/>
        <v>2.2200000000000002</v>
      </c>
      <c r="AA74" s="1350">
        <f t="shared" si="72"/>
        <v>2.5943853238618639</v>
      </c>
      <c r="AB74" s="1351">
        <f t="shared" si="73"/>
        <v>2.4550496821608276</v>
      </c>
      <c r="AC74" s="692"/>
      <c r="AG74" s="1316">
        <f t="shared" si="33"/>
        <v>0</v>
      </c>
      <c r="AH74" s="1296">
        <f t="shared" si="36"/>
        <v>2.2200000000000002</v>
      </c>
      <c r="AI74" s="1318" t="s">
        <v>160</v>
      </c>
      <c r="AJ74" s="1297" t="str">
        <f t="shared" si="5"/>
        <v/>
      </c>
      <c r="AK74" s="1297"/>
      <c r="AL74" s="1318"/>
      <c r="AM74" s="1296">
        <f t="shared" si="17"/>
        <v>2.5701934136383855</v>
      </c>
      <c r="AN74" s="1298" t="str">
        <f t="shared" si="6"/>
        <v/>
      </c>
      <c r="AP74" s="1321">
        <v>0</v>
      </c>
      <c r="AQ74" s="1299">
        <v>2.2200000000000002</v>
      </c>
      <c r="AR74" s="1322" t="s">
        <v>160</v>
      </c>
      <c r="AS74" s="1300" t="s">
        <v>608</v>
      </c>
      <c r="AT74" s="1300"/>
      <c r="AU74" s="1322"/>
      <c r="AV74" s="1299">
        <v>2.5943853238618639</v>
      </c>
      <c r="AW74" s="1301" t="s">
        <v>608</v>
      </c>
      <c r="AY74" s="1321">
        <v>0</v>
      </c>
      <c r="AZ74" s="1299">
        <v>2.2200000000000002</v>
      </c>
      <c r="BA74" s="1322" t="s">
        <v>160</v>
      </c>
      <c r="BB74" s="1300" t="s">
        <v>608</v>
      </c>
      <c r="BC74" s="1300"/>
      <c r="BD74" s="1322"/>
      <c r="BE74" s="1299">
        <v>2.4550496821608276</v>
      </c>
      <c r="BF74" s="1301" t="s">
        <v>608</v>
      </c>
    </row>
    <row r="75" spans="2:58">
      <c r="B75" s="858" t="s">
        <v>83</v>
      </c>
      <c r="D75" s="1316">
        <f>'Billing Units'!T54</f>
        <v>0</v>
      </c>
      <c r="E75" s="864">
        <f>'Rate Inputs'!T54</f>
        <v>3.1</v>
      </c>
      <c r="F75" s="864" t="str">
        <f>'Rate Inputs'!U54</f>
        <v>per month</v>
      </c>
      <c r="G75" s="864"/>
      <c r="H75" s="860">
        <f t="shared" si="65"/>
        <v>0</v>
      </c>
      <c r="J75" s="1318">
        <f>'Billing Units'!V54</f>
        <v>0</v>
      </c>
      <c r="K75" s="1303">
        <f t="shared" si="66"/>
        <v>3.6227903171044047</v>
      </c>
      <c r="L75" s="1320" t="str">
        <f>'Rate Inputs'!W54</f>
        <v>per month</v>
      </c>
      <c r="M75" s="864"/>
      <c r="N75" s="1305">
        <f t="shared" si="67"/>
        <v>0</v>
      </c>
      <c r="O75" s="1317"/>
      <c r="P75" s="1047">
        <f t="shared" si="74"/>
        <v>0</v>
      </c>
      <c r="Q75" s="1043"/>
      <c r="R75" s="1074">
        <f t="shared" si="75"/>
        <v>0</v>
      </c>
      <c r="T75" s="1123"/>
      <c r="V75" s="692"/>
      <c r="W75" s="1319">
        <f t="shared" si="70"/>
        <v>3.6227903171044047</v>
      </c>
      <c r="X75" s="1349">
        <v>3.1</v>
      </c>
      <c r="Y75" s="1349">
        <v>3.1</v>
      </c>
      <c r="Z75" s="1349">
        <f t="shared" si="71"/>
        <v>3.1</v>
      </c>
      <c r="AA75" s="1350">
        <f t="shared" si="72"/>
        <v>3.6227903171044047</v>
      </c>
      <c r="AB75" s="1351">
        <f t="shared" si="73"/>
        <v>3.4282225291434982</v>
      </c>
      <c r="AC75" s="692"/>
      <c r="AG75" s="1316">
        <f t="shared" si="33"/>
        <v>0</v>
      </c>
      <c r="AH75" s="1296">
        <f t="shared" si="36"/>
        <v>3.1</v>
      </c>
      <c r="AI75" s="1318" t="s">
        <v>160</v>
      </c>
      <c r="AJ75" s="1297" t="str">
        <f t="shared" si="5"/>
        <v/>
      </c>
      <c r="AK75" s="1297"/>
      <c r="AL75" s="1318"/>
      <c r="AM75" s="1296">
        <f t="shared" si="17"/>
        <v>3.5890088208463937</v>
      </c>
      <c r="AN75" s="1298" t="str">
        <f t="shared" si="6"/>
        <v/>
      </c>
      <c r="AP75" s="1321">
        <v>0</v>
      </c>
      <c r="AQ75" s="1299">
        <v>3.1</v>
      </c>
      <c r="AR75" s="1322" t="s">
        <v>160</v>
      </c>
      <c r="AS75" s="1300" t="s">
        <v>608</v>
      </c>
      <c r="AT75" s="1300"/>
      <c r="AU75" s="1322"/>
      <c r="AV75" s="1299">
        <v>3.6227903171044047</v>
      </c>
      <c r="AW75" s="1301" t="s">
        <v>608</v>
      </c>
      <c r="AY75" s="1321">
        <v>0</v>
      </c>
      <c r="AZ75" s="1299">
        <v>3.1</v>
      </c>
      <c r="BA75" s="1322" t="s">
        <v>160</v>
      </c>
      <c r="BB75" s="1300" t="s">
        <v>608</v>
      </c>
      <c r="BC75" s="1300"/>
      <c r="BD75" s="1322"/>
      <c r="BE75" s="1299">
        <v>3.4282225291434982</v>
      </c>
      <c r="BF75" s="1301" t="s">
        <v>608</v>
      </c>
    </row>
    <row r="76" spans="2:58">
      <c r="B76" s="858" t="s">
        <v>85</v>
      </c>
      <c r="D76" s="1316">
        <f>'Billing Units'!T55</f>
        <v>0</v>
      </c>
      <c r="E76" s="864">
        <f>'Rate Inputs'!T55</f>
        <v>4.4400000000000004</v>
      </c>
      <c r="F76" s="864" t="str">
        <f>'Rate Inputs'!U55</f>
        <v>per month</v>
      </c>
      <c r="G76" s="864"/>
      <c r="H76" s="860">
        <f t="shared" si="65"/>
        <v>0</v>
      </c>
      <c r="J76" s="1318">
        <f>'Billing Units'!V55</f>
        <v>0</v>
      </c>
      <c r="K76" s="1303">
        <f t="shared" si="66"/>
        <v>5.1887706477237279</v>
      </c>
      <c r="L76" s="1320" t="str">
        <f>'Rate Inputs'!W55</f>
        <v>per month</v>
      </c>
      <c r="M76" s="864"/>
      <c r="N76" s="1305">
        <f t="shared" si="67"/>
        <v>0</v>
      </c>
      <c r="O76" s="1317"/>
      <c r="P76" s="1047">
        <f t="shared" si="74"/>
        <v>0</v>
      </c>
      <c r="Q76" s="1043"/>
      <c r="R76" s="1074">
        <f t="shared" si="75"/>
        <v>0</v>
      </c>
      <c r="T76" s="1123"/>
      <c r="V76" s="692"/>
      <c r="W76" s="1319">
        <f t="shared" si="70"/>
        <v>5.1887706477237279</v>
      </c>
      <c r="X76" s="1349">
        <v>4.4400000000000004</v>
      </c>
      <c r="Y76" s="1349">
        <v>4.4400000000000004</v>
      </c>
      <c r="Z76" s="1349">
        <f t="shared" si="71"/>
        <v>4.4400000000000004</v>
      </c>
      <c r="AA76" s="1350">
        <f t="shared" si="72"/>
        <v>5.1887706477237279</v>
      </c>
      <c r="AB76" s="1351">
        <f t="shared" si="73"/>
        <v>4.9100993643216553</v>
      </c>
      <c r="AC76" s="692"/>
      <c r="AG76" s="1316">
        <f t="shared" si="33"/>
        <v>0</v>
      </c>
      <c r="AH76" s="1296">
        <f t="shared" si="36"/>
        <v>4.4400000000000004</v>
      </c>
      <c r="AI76" s="1318" t="s">
        <v>160</v>
      </c>
      <c r="AJ76" s="1297" t="str">
        <f t="shared" si="5"/>
        <v/>
      </c>
      <c r="AK76" s="1297"/>
      <c r="AL76" s="1318"/>
      <c r="AM76" s="1296">
        <f t="shared" si="17"/>
        <v>5.140386827276771</v>
      </c>
      <c r="AN76" s="1298" t="str">
        <f t="shared" si="6"/>
        <v/>
      </c>
      <c r="AP76" s="1321">
        <v>0</v>
      </c>
      <c r="AQ76" s="1299">
        <v>4.4400000000000004</v>
      </c>
      <c r="AR76" s="1322" t="s">
        <v>160</v>
      </c>
      <c r="AS76" s="1300" t="s">
        <v>608</v>
      </c>
      <c r="AT76" s="1300"/>
      <c r="AU76" s="1322"/>
      <c r="AV76" s="1299">
        <v>5.1887706477237279</v>
      </c>
      <c r="AW76" s="1301" t="s">
        <v>608</v>
      </c>
      <c r="AY76" s="1321">
        <v>0</v>
      </c>
      <c r="AZ76" s="1299">
        <v>4.4400000000000004</v>
      </c>
      <c r="BA76" s="1322" t="s">
        <v>160</v>
      </c>
      <c r="BB76" s="1300" t="s">
        <v>608</v>
      </c>
      <c r="BC76" s="1300"/>
      <c r="BD76" s="1322"/>
      <c r="BE76" s="1299">
        <v>4.9100993643216553</v>
      </c>
      <c r="BF76" s="1301" t="s">
        <v>608</v>
      </c>
    </row>
    <row r="77" spans="2:58">
      <c r="B77" s="858" t="s">
        <v>87</v>
      </c>
      <c r="D77" s="1316">
        <f>'Billing Units'!T56</f>
        <v>0</v>
      </c>
      <c r="E77" s="864">
        <f>'Rate Inputs'!T56</f>
        <v>6.66</v>
      </c>
      <c r="F77" s="864" t="str">
        <f>'Rate Inputs'!U56</f>
        <v>per month</v>
      </c>
      <c r="G77" s="864"/>
      <c r="H77" s="860">
        <f t="shared" si="65"/>
        <v>0</v>
      </c>
      <c r="J77" s="1318">
        <f>'Billing Units'!V56</f>
        <v>0</v>
      </c>
      <c r="K77" s="1303">
        <f t="shared" si="66"/>
        <v>7.7831559715855922</v>
      </c>
      <c r="L77" s="1320" t="str">
        <f>'Rate Inputs'!W56</f>
        <v>per month</v>
      </c>
      <c r="M77" s="864"/>
      <c r="N77" s="1305">
        <f t="shared" si="67"/>
        <v>0</v>
      </c>
      <c r="O77" s="1317"/>
      <c r="P77" s="1047">
        <f t="shared" si="74"/>
        <v>0</v>
      </c>
      <c r="Q77" s="1043"/>
      <c r="R77" s="1074">
        <f t="shared" si="75"/>
        <v>0</v>
      </c>
      <c r="T77" s="1123"/>
      <c r="V77" s="692"/>
      <c r="W77" s="1319">
        <f t="shared" si="70"/>
        <v>7.7831559715855922</v>
      </c>
      <c r="X77" s="1349">
        <v>6.66</v>
      </c>
      <c r="Y77" s="1349">
        <v>6.66</v>
      </c>
      <c r="Z77" s="1349">
        <f t="shared" si="71"/>
        <v>6.66</v>
      </c>
      <c r="AA77" s="1350">
        <f t="shared" si="72"/>
        <v>7.7831559715855922</v>
      </c>
      <c r="AB77" s="1351">
        <f t="shared" si="73"/>
        <v>7.3651490464824834</v>
      </c>
      <c r="AC77" s="692"/>
      <c r="AG77" s="1316">
        <f t="shared" si="33"/>
        <v>0</v>
      </c>
      <c r="AH77" s="1296">
        <f t="shared" si="36"/>
        <v>6.66</v>
      </c>
      <c r="AI77" s="1318" t="s">
        <v>160</v>
      </c>
      <c r="AJ77" s="1297" t="str">
        <f t="shared" si="5"/>
        <v/>
      </c>
      <c r="AK77" s="1297"/>
      <c r="AL77" s="1318"/>
      <c r="AM77" s="1296">
        <f t="shared" si="17"/>
        <v>7.7105802409151556</v>
      </c>
      <c r="AN77" s="1298" t="str">
        <f t="shared" si="6"/>
        <v/>
      </c>
      <c r="AP77" s="1321">
        <v>0</v>
      </c>
      <c r="AQ77" s="1299">
        <v>6.66</v>
      </c>
      <c r="AR77" s="1322" t="s">
        <v>160</v>
      </c>
      <c r="AS77" s="1300" t="s">
        <v>608</v>
      </c>
      <c r="AT77" s="1300"/>
      <c r="AU77" s="1322"/>
      <c r="AV77" s="1299">
        <v>7.7831559715855922</v>
      </c>
      <c r="AW77" s="1301" t="s">
        <v>608</v>
      </c>
      <c r="AY77" s="1321">
        <v>0</v>
      </c>
      <c r="AZ77" s="1299">
        <v>6.66</v>
      </c>
      <c r="BA77" s="1322" t="s">
        <v>160</v>
      </c>
      <c r="BB77" s="1300" t="s">
        <v>608</v>
      </c>
      <c r="BC77" s="1300"/>
      <c r="BD77" s="1322"/>
      <c r="BE77" s="1299">
        <v>7.3651490464824834</v>
      </c>
      <c r="BF77" s="1301" t="s">
        <v>608</v>
      </c>
    </row>
    <row r="78" spans="2:58">
      <c r="B78" s="858" t="s">
        <v>91</v>
      </c>
      <c r="D78" s="1316">
        <f>'Billing Units'!T57</f>
        <v>0</v>
      </c>
      <c r="E78" s="864">
        <f>'Rate Inputs'!T57</f>
        <v>8.32</v>
      </c>
      <c r="F78" s="864" t="str">
        <f>'Rate Inputs'!U57</f>
        <v>per month</v>
      </c>
      <c r="G78" s="864"/>
      <c r="H78" s="860">
        <f t="shared" si="65"/>
        <v>0</v>
      </c>
      <c r="J78" s="1318">
        <f>'Billing Units'!V57</f>
        <v>0</v>
      </c>
      <c r="K78" s="1303">
        <f t="shared" si="66"/>
        <v>9.7231017542931113</v>
      </c>
      <c r="L78" s="1320" t="str">
        <f>'Rate Inputs'!W57</f>
        <v>per month</v>
      </c>
      <c r="M78" s="864"/>
      <c r="N78" s="1305">
        <f t="shared" si="67"/>
        <v>0</v>
      </c>
      <c r="O78" s="1317"/>
      <c r="P78" s="1047">
        <f t="shared" si="74"/>
        <v>0</v>
      </c>
      <c r="Q78" s="1043"/>
      <c r="R78" s="1074">
        <f t="shared" si="75"/>
        <v>0</v>
      </c>
      <c r="T78" s="1123"/>
      <c r="V78" s="692"/>
      <c r="W78" s="1319">
        <f t="shared" si="70"/>
        <v>9.7231017542931113</v>
      </c>
      <c r="X78" s="1349">
        <v>8.32</v>
      </c>
      <c r="Y78" s="1349">
        <v>8.32</v>
      </c>
      <c r="Z78" s="1349">
        <f t="shared" si="71"/>
        <v>8.32</v>
      </c>
      <c r="AA78" s="1350">
        <f t="shared" si="72"/>
        <v>9.7231017542931113</v>
      </c>
      <c r="AB78" s="1351">
        <f t="shared" si="73"/>
        <v>9.2009069169270656</v>
      </c>
      <c r="AC78" s="692"/>
      <c r="AG78" s="1316">
        <f t="shared" ref="AG78:AG109" si="76">IF(J78="","",J78)</f>
        <v>0</v>
      </c>
      <c r="AH78" s="1296">
        <f t="shared" si="36"/>
        <v>8.32</v>
      </c>
      <c r="AI78" s="1318" t="s">
        <v>160</v>
      </c>
      <c r="AJ78" s="1297" t="str">
        <f t="shared" si="5"/>
        <v/>
      </c>
      <c r="AK78" s="1297"/>
      <c r="AL78" s="1318"/>
      <c r="AM78" s="1296">
        <f t="shared" si="17"/>
        <v>9.6324365772393534</v>
      </c>
      <c r="AN78" s="1298" t="str">
        <f t="shared" si="6"/>
        <v/>
      </c>
      <c r="AP78" s="1321">
        <v>0</v>
      </c>
      <c r="AQ78" s="1299">
        <v>8.32</v>
      </c>
      <c r="AR78" s="1322" t="s">
        <v>160</v>
      </c>
      <c r="AS78" s="1300" t="s">
        <v>608</v>
      </c>
      <c r="AT78" s="1300"/>
      <c r="AU78" s="1322"/>
      <c r="AV78" s="1299">
        <v>9.7231017542931113</v>
      </c>
      <c r="AW78" s="1301" t="s">
        <v>608</v>
      </c>
      <c r="AY78" s="1321">
        <v>0</v>
      </c>
      <c r="AZ78" s="1299">
        <v>8.32</v>
      </c>
      <c r="BA78" s="1322" t="s">
        <v>160</v>
      </c>
      <c r="BB78" s="1300" t="s">
        <v>608</v>
      </c>
      <c r="BC78" s="1300"/>
      <c r="BD78" s="1322"/>
      <c r="BE78" s="1299">
        <v>9.2009069169270656</v>
      </c>
      <c r="BF78" s="1301" t="s">
        <v>608</v>
      </c>
    </row>
    <row r="79" spans="2:58">
      <c r="B79" s="858" t="s">
        <v>93</v>
      </c>
      <c r="D79" s="1316">
        <f>'Billing Units'!T58</f>
        <v>0</v>
      </c>
      <c r="E79" s="864">
        <f>'Rate Inputs'!T58</f>
        <v>12.76</v>
      </c>
      <c r="F79" s="864" t="str">
        <f>'Rate Inputs'!U58</f>
        <v>per month</v>
      </c>
      <c r="G79" s="864"/>
      <c r="H79" s="860">
        <f t="shared" si="65"/>
        <v>0</v>
      </c>
      <c r="J79" s="1318">
        <f>'Billing Units'!V58</f>
        <v>0</v>
      </c>
      <c r="K79" s="1303">
        <f t="shared" si="66"/>
        <v>14.911872402016838</v>
      </c>
      <c r="L79" s="1320" t="str">
        <f>'Rate Inputs'!W58</f>
        <v>per month</v>
      </c>
      <c r="M79" s="864"/>
      <c r="N79" s="1305">
        <f t="shared" si="67"/>
        <v>0</v>
      </c>
      <c r="O79" s="1317"/>
      <c r="P79" s="1047">
        <f t="shared" si="74"/>
        <v>0</v>
      </c>
      <c r="Q79" s="1043"/>
      <c r="R79" s="1074">
        <f t="shared" si="75"/>
        <v>0</v>
      </c>
      <c r="T79" s="1123"/>
      <c r="V79" s="692"/>
      <c r="W79" s="1319">
        <f t="shared" si="70"/>
        <v>14.911872402016838</v>
      </c>
      <c r="X79" s="1349">
        <v>12.76</v>
      </c>
      <c r="Y79" s="1349">
        <v>12.76</v>
      </c>
      <c r="Z79" s="1349">
        <f t="shared" si="71"/>
        <v>12.76</v>
      </c>
      <c r="AA79" s="1350">
        <f t="shared" si="72"/>
        <v>14.911872402016838</v>
      </c>
      <c r="AB79" s="1351">
        <f t="shared" si="73"/>
        <v>14.11100628124872</v>
      </c>
      <c r="AC79" s="692"/>
      <c r="AG79" s="1316">
        <f t="shared" si="76"/>
        <v>0</v>
      </c>
      <c r="AH79" s="1296">
        <f t="shared" si="36"/>
        <v>12.76</v>
      </c>
      <c r="AI79" s="1318" t="s">
        <v>160</v>
      </c>
      <c r="AJ79" s="1297" t="str">
        <f t="shared" si="5"/>
        <v/>
      </c>
      <c r="AK79" s="1297"/>
      <c r="AL79" s="1318"/>
      <c r="AM79" s="1296">
        <f t="shared" si="17"/>
        <v>14.772823404516124</v>
      </c>
      <c r="AN79" s="1298" t="str">
        <f t="shared" si="6"/>
        <v/>
      </c>
      <c r="AP79" s="1321">
        <v>0</v>
      </c>
      <c r="AQ79" s="1299">
        <v>12.76</v>
      </c>
      <c r="AR79" s="1322" t="s">
        <v>160</v>
      </c>
      <c r="AS79" s="1300" t="s">
        <v>608</v>
      </c>
      <c r="AT79" s="1300"/>
      <c r="AU79" s="1322"/>
      <c r="AV79" s="1299">
        <v>14.911872402016838</v>
      </c>
      <c r="AW79" s="1301" t="s">
        <v>608</v>
      </c>
      <c r="AY79" s="1321">
        <v>0</v>
      </c>
      <c r="AZ79" s="1299">
        <v>12.76</v>
      </c>
      <c r="BA79" s="1322" t="s">
        <v>160</v>
      </c>
      <c r="BB79" s="1300" t="s">
        <v>608</v>
      </c>
      <c r="BC79" s="1300"/>
      <c r="BD79" s="1322"/>
      <c r="BE79" s="1299">
        <v>14.11100628124872</v>
      </c>
      <c r="BF79" s="1301" t="s">
        <v>608</v>
      </c>
    </row>
    <row r="80" spans="2:58">
      <c r="B80" s="858" t="s">
        <v>126</v>
      </c>
      <c r="D80" s="1316">
        <f>'Billing Units'!T59</f>
        <v>0</v>
      </c>
      <c r="E80" s="864">
        <f>'Rate Inputs'!T59+IF($D$7,$K$7,0)</f>
        <v>0.111912</v>
      </c>
      <c r="F80" s="864" t="str">
        <f>'Rate Inputs'!U59</f>
        <v>per kWh</v>
      </c>
      <c r="G80" s="864"/>
      <c r="H80" s="860">
        <f t="shared" si="65"/>
        <v>0</v>
      </c>
      <c r="J80" s="1318">
        <f>'Billing Units'!V59</f>
        <v>0</v>
      </c>
      <c r="K80" s="1180">
        <f t="shared" ref="K80" si="77">IF($W$10,W80,(1+$T$138)*E80)</f>
        <v>9.0908664118565033E-2</v>
      </c>
      <c r="L80" s="1320" t="str">
        <f>'Rate Inputs'!W59</f>
        <v>per kWh</v>
      </c>
      <c r="M80" s="864"/>
      <c r="N80" s="1305">
        <f t="shared" si="67"/>
        <v>0</v>
      </c>
      <c r="O80" s="1317"/>
      <c r="P80" s="1047">
        <f t="shared" si="74"/>
        <v>0</v>
      </c>
      <c r="Q80" s="1043"/>
      <c r="R80" s="1074">
        <f t="shared" si="75"/>
        <v>0</v>
      </c>
      <c r="T80" s="1123"/>
      <c r="V80" s="692"/>
      <c r="W80" s="1319">
        <f t="shared" si="70"/>
        <v>9.0908664118565033E-2</v>
      </c>
      <c r="X80" s="1349">
        <v>7.7789999999999998E-2</v>
      </c>
      <c r="Y80" s="1358">
        <v>0.111912</v>
      </c>
      <c r="Z80" s="1525">
        <v>0.11066039220813717</v>
      </c>
      <c r="AA80" s="1350">
        <f t="shared" si="72"/>
        <v>9.0908664118565033E-2</v>
      </c>
      <c r="AB80" s="1351">
        <f t="shared" si="73"/>
        <v>8.6026267916797641E-2</v>
      </c>
      <c r="AC80" s="692"/>
      <c r="AG80" s="1316">
        <f t="shared" si="76"/>
        <v>0</v>
      </c>
      <c r="AH80" s="1296">
        <f t="shared" si="36"/>
        <v>0.111912</v>
      </c>
      <c r="AI80" s="1318" t="s">
        <v>157</v>
      </c>
      <c r="AJ80" s="1297" t="str">
        <f t="shared" si="5"/>
        <v/>
      </c>
      <c r="AK80" s="1297"/>
      <c r="AL80" s="1318"/>
      <c r="AM80" s="1296">
        <f t="shared" si="17"/>
        <v>0.12956553392211664</v>
      </c>
      <c r="AN80" s="1298" t="str">
        <f t="shared" si="6"/>
        <v/>
      </c>
      <c r="AP80" s="1321">
        <v>0</v>
      </c>
      <c r="AQ80" s="1299">
        <v>7.7789999999999998E-2</v>
      </c>
      <c r="AR80" s="1322" t="s">
        <v>157</v>
      </c>
      <c r="AS80" s="1300" t="s">
        <v>608</v>
      </c>
      <c r="AT80" s="1300"/>
      <c r="AU80" s="1322"/>
      <c r="AV80" s="1299">
        <v>9.0908664118565033E-2</v>
      </c>
      <c r="AW80" s="1301" t="s">
        <v>608</v>
      </c>
      <c r="AY80" s="1321">
        <v>0</v>
      </c>
      <c r="AZ80" s="1299">
        <v>7.7789999999999998E-2</v>
      </c>
      <c r="BA80" s="1322" t="s">
        <v>157</v>
      </c>
      <c r="BB80" s="1300" t="s">
        <v>608</v>
      </c>
      <c r="BC80" s="1300"/>
      <c r="BD80" s="1322"/>
      <c r="BE80" s="1299">
        <v>8.6026267916797641E-2</v>
      </c>
      <c r="BF80" s="1301" t="s">
        <v>608</v>
      </c>
    </row>
    <row r="81" spans="1:58" s="12" customFormat="1" ht="13.8" thickBot="1">
      <c r="A81" s="865"/>
      <c r="B81" s="866" t="s">
        <v>508</v>
      </c>
      <c r="C81" s="865"/>
      <c r="D81" s="1333">
        <f>D67</f>
        <v>226</v>
      </c>
      <c r="E81" s="868"/>
      <c r="F81" s="865"/>
      <c r="G81" s="868"/>
      <c r="H81" s="1334">
        <f>SUM(H67:H80)</f>
        <v>315722.39999999997</v>
      </c>
      <c r="I81" s="865"/>
      <c r="J81" s="1335">
        <f>J67</f>
        <v>226</v>
      </c>
      <c r="K81" s="868"/>
      <c r="L81" s="1336"/>
      <c r="M81" s="868"/>
      <c r="N81" s="1337">
        <f>SUM(N67:N80)</f>
        <v>261300.17915236292</v>
      </c>
      <c r="O81" s="1338"/>
      <c r="P81" s="1085">
        <f t="shared" si="74"/>
        <v>-54422.220847637043</v>
      </c>
      <c r="Q81" s="1081"/>
      <c r="R81" s="1086">
        <f t="shared" si="75"/>
        <v>-0.17237364499999999</v>
      </c>
      <c r="S81" s="865"/>
      <c r="T81" s="1123"/>
      <c r="U81" s="838"/>
      <c r="V81" s="692"/>
      <c r="W81" s="1339"/>
      <c r="X81" s="868"/>
      <c r="Y81" s="868"/>
      <c r="Z81" s="868"/>
      <c r="AA81" s="868"/>
      <c r="AB81" s="1340"/>
      <c r="AC81" s="692"/>
      <c r="AD81" s="789"/>
      <c r="AE81" s="865"/>
      <c r="AF81" s="865"/>
      <c r="AG81" s="1333">
        <f t="shared" si="76"/>
        <v>226</v>
      </c>
      <c r="AH81" s="1341" t="str">
        <f t="shared" ref="AH81:AH112" si="78">IF(E81="","",E81)</f>
        <v/>
      </c>
      <c r="AI81" s="1335"/>
      <c r="AJ81" s="1342" t="str">
        <f t="shared" si="5"/>
        <v/>
      </c>
      <c r="AK81" s="1342"/>
      <c r="AL81" s="1335"/>
      <c r="AM81" s="1341" t="str">
        <f t="shared" si="17"/>
        <v/>
      </c>
      <c r="AN81" s="1343" t="str">
        <f t="shared" si="6"/>
        <v/>
      </c>
      <c r="AO81" s="865"/>
      <c r="AP81" s="1344">
        <v>226</v>
      </c>
      <c r="AQ81" s="1345" t="s">
        <v>608</v>
      </c>
      <c r="AR81" s="1346"/>
      <c r="AS81" s="1347" t="s">
        <v>608</v>
      </c>
      <c r="AT81" s="1347"/>
      <c r="AU81" s="1346"/>
      <c r="AV81" s="1345" t="s">
        <v>608</v>
      </c>
      <c r="AW81" s="1348" t="s">
        <v>608</v>
      </c>
      <c r="AX81" s="865"/>
      <c r="AY81" s="1344">
        <v>225</v>
      </c>
      <c r="AZ81" s="1345" t="s">
        <v>608</v>
      </c>
      <c r="BA81" s="1346"/>
      <c r="BB81" s="1347" t="s">
        <v>608</v>
      </c>
      <c r="BC81" s="1347"/>
      <c r="BD81" s="1346"/>
      <c r="BE81" s="1345" t="s">
        <v>608</v>
      </c>
      <c r="BF81" s="1348" t="s">
        <v>608</v>
      </c>
    </row>
    <row r="82" spans="1:58" ht="13.8" thickTop="1">
      <c r="B82" s="862"/>
      <c r="D82" s="1316"/>
      <c r="E82" s="864"/>
      <c r="G82" s="864"/>
      <c r="H82" s="1317"/>
      <c r="J82" s="1318"/>
      <c r="K82" s="864"/>
      <c r="L82" s="780"/>
      <c r="M82" s="864"/>
      <c r="N82" s="1292"/>
      <c r="O82" s="1317"/>
      <c r="P82" s="1293"/>
      <c r="R82" s="1294"/>
      <c r="T82" s="1123"/>
      <c r="V82" s="692"/>
      <c r="W82" s="1319"/>
      <c r="X82" s="864"/>
      <c r="Y82" s="864"/>
      <c r="Z82" s="864"/>
      <c r="AA82" s="864"/>
      <c r="AB82" s="1320"/>
      <c r="AC82" s="692"/>
      <c r="AG82" s="1316" t="str">
        <f t="shared" si="76"/>
        <v/>
      </c>
      <c r="AH82" s="1296" t="str">
        <f t="shared" si="78"/>
        <v/>
      </c>
      <c r="AI82" s="1318"/>
      <c r="AJ82" s="1297" t="str">
        <f t="shared" si="5"/>
        <v/>
      </c>
      <c r="AK82" s="1297"/>
      <c r="AL82" s="1318"/>
      <c r="AM82" s="1296" t="str">
        <f t="shared" si="17"/>
        <v/>
      </c>
      <c r="AN82" s="1298" t="str">
        <f t="shared" si="6"/>
        <v/>
      </c>
      <c r="AP82" s="1321" t="s">
        <v>608</v>
      </c>
      <c r="AQ82" s="1299" t="s">
        <v>608</v>
      </c>
      <c r="AR82" s="1322"/>
      <c r="AS82" s="1300" t="s">
        <v>608</v>
      </c>
      <c r="AT82" s="1300"/>
      <c r="AU82" s="1322"/>
      <c r="AV82" s="1299" t="s">
        <v>608</v>
      </c>
      <c r="AW82" s="1301" t="s">
        <v>608</v>
      </c>
      <c r="AY82" s="1321" t="s">
        <v>608</v>
      </c>
      <c r="AZ82" s="1299" t="s">
        <v>608</v>
      </c>
      <c r="BA82" s="1322"/>
      <c r="BB82" s="1300" t="s">
        <v>608</v>
      </c>
      <c r="BC82" s="1300"/>
      <c r="BD82" s="1322"/>
      <c r="BE82" s="1299" t="s">
        <v>608</v>
      </c>
      <c r="BF82" s="1301" t="s">
        <v>608</v>
      </c>
    </row>
    <row r="83" spans="1:58">
      <c r="B83" s="855" t="s">
        <v>18</v>
      </c>
      <c r="D83" s="1316"/>
      <c r="E83" s="864"/>
      <c r="G83" s="864"/>
      <c r="H83" s="1317"/>
      <c r="J83" s="1318"/>
      <c r="K83" s="864"/>
      <c r="L83" s="780"/>
      <c r="M83" s="864"/>
      <c r="N83" s="1292"/>
      <c r="O83" s="1317"/>
      <c r="P83" s="1293"/>
      <c r="R83" s="1294"/>
      <c r="T83" s="1123"/>
      <c r="V83" s="692"/>
      <c r="W83" s="1319"/>
      <c r="X83" s="864"/>
      <c r="Y83" s="864"/>
      <c r="Z83" s="864"/>
      <c r="AA83" s="864"/>
      <c r="AB83" s="1320"/>
      <c r="AC83" s="692"/>
      <c r="AG83" s="1316" t="str">
        <f t="shared" si="76"/>
        <v/>
      </c>
      <c r="AH83" s="1296" t="str">
        <f t="shared" si="78"/>
        <v/>
      </c>
      <c r="AI83" s="1318"/>
      <c r="AJ83" s="1297" t="str">
        <f t="shared" si="5"/>
        <v/>
      </c>
      <c r="AK83" s="1297"/>
      <c r="AL83" s="1318"/>
      <c r="AM83" s="1296" t="str">
        <f t="shared" si="17"/>
        <v/>
      </c>
      <c r="AN83" s="1298" t="str">
        <f t="shared" si="6"/>
        <v/>
      </c>
      <c r="AP83" s="1321" t="s">
        <v>608</v>
      </c>
      <c r="AQ83" s="1299" t="s">
        <v>608</v>
      </c>
      <c r="AR83" s="1322"/>
      <c r="AS83" s="1300" t="s">
        <v>608</v>
      </c>
      <c r="AT83" s="1300"/>
      <c r="AU83" s="1322"/>
      <c r="AV83" s="1299" t="s">
        <v>608</v>
      </c>
      <c r="AW83" s="1301" t="s">
        <v>608</v>
      </c>
      <c r="AY83" s="1321" t="s">
        <v>608</v>
      </c>
      <c r="AZ83" s="1299" t="s">
        <v>608</v>
      </c>
      <c r="BA83" s="1322"/>
      <c r="BB83" s="1300" t="s">
        <v>608</v>
      </c>
      <c r="BC83" s="1300"/>
      <c r="BD83" s="1322"/>
      <c r="BE83" s="1299" t="s">
        <v>608</v>
      </c>
      <c r="BF83" s="1301" t="s">
        <v>608</v>
      </c>
    </row>
    <row r="84" spans="1:58">
      <c r="B84" s="869"/>
      <c r="D84" s="1316"/>
      <c r="E84" s="864"/>
      <c r="G84" s="864"/>
      <c r="H84" s="1317"/>
      <c r="J84" s="1318"/>
      <c r="K84" s="864"/>
      <c r="L84" s="780"/>
      <c r="M84" s="864"/>
      <c r="N84" s="1292"/>
      <c r="O84" s="1317"/>
      <c r="P84" s="1293"/>
      <c r="R84" s="1294"/>
      <c r="T84" s="1123"/>
      <c r="V84" s="692"/>
      <c r="W84" s="1319"/>
      <c r="X84" s="864"/>
      <c r="Y84" s="864"/>
      <c r="Z84" s="864"/>
      <c r="AA84" s="864"/>
      <c r="AB84" s="1320"/>
      <c r="AC84" s="692"/>
      <c r="AG84" s="1316" t="str">
        <f t="shared" si="76"/>
        <v/>
      </c>
      <c r="AH84" s="1296" t="str">
        <f t="shared" si="78"/>
        <v/>
      </c>
      <c r="AI84" s="1318"/>
      <c r="AJ84" s="1297" t="str">
        <f t="shared" si="5"/>
        <v/>
      </c>
      <c r="AK84" s="1297"/>
      <c r="AL84" s="1318"/>
      <c r="AM84" s="1296" t="str">
        <f t="shared" si="17"/>
        <v/>
      </c>
      <c r="AN84" s="1298" t="str">
        <f t="shared" si="6"/>
        <v/>
      </c>
      <c r="AP84" s="1321" t="s">
        <v>608</v>
      </c>
      <c r="AQ84" s="1299" t="s">
        <v>608</v>
      </c>
      <c r="AR84" s="1322"/>
      <c r="AS84" s="1300" t="s">
        <v>608</v>
      </c>
      <c r="AT84" s="1300"/>
      <c r="AU84" s="1322"/>
      <c r="AV84" s="1299" t="s">
        <v>608</v>
      </c>
      <c r="AW84" s="1301" t="s">
        <v>608</v>
      </c>
      <c r="AY84" s="1321" t="s">
        <v>608</v>
      </c>
      <c r="AZ84" s="1299" t="s">
        <v>608</v>
      </c>
      <c r="BA84" s="1322"/>
      <c r="BB84" s="1300" t="s">
        <v>608</v>
      </c>
      <c r="BC84" s="1300"/>
      <c r="BD84" s="1322"/>
      <c r="BE84" s="1299" t="s">
        <v>608</v>
      </c>
      <c r="BF84" s="1301" t="s">
        <v>608</v>
      </c>
    </row>
    <row r="85" spans="1:58">
      <c r="B85" s="856" t="s">
        <v>127</v>
      </c>
      <c r="D85" s="1316"/>
      <c r="E85" s="864"/>
      <c r="G85" s="864"/>
      <c r="H85" s="1317"/>
      <c r="J85" s="1318"/>
      <c r="K85" s="864"/>
      <c r="L85" s="780"/>
      <c r="M85" s="864"/>
      <c r="N85" s="1292"/>
      <c r="O85" s="1317"/>
      <c r="P85" s="1293"/>
      <c r="R85" s="1294"/>
      <c r="T85" s="1123"/>
      <c r="V85" s="692"/>
      <c r="W85" s="1319"/>
      <c r="X85" s="864"/>
      <c r="Y85" s="864"/>
      <c r="Z85" s="864"/>
      <c r="AA85" s="864"/>
      <c r="AB85" s="1320"/>
      <c r="AC85" s="692"/>
      <c r="AG85" s="1316" t="str">
        <f t="shared" si="76"/>
        <v/>
      </c>
      <c r="AH85" s="1296" t="str">
        <f t="shared" si="78"/>
        <v/>
      </c>
      <c r="AI85" s="1318"/>
      <c r="AJ85" s="1297" t="str">
        <f t="shared" si="5"/>
        <v/>
      </c>
      <c r="AK85" s="1297"/>
      <c r="AL85" s="1318"/>
      <c r="AM85" s="1296" t="str">
        <f t="shared" si="17"/>
        <v/>
      </c>
      <c r="AN85" s="1298" t="str">
        <f t="shared" si="6"/>
        <v/>
      </c>
      <c r="AP85" s="1321" t="s">
        <v>608</v>
      </c>
      <c r="AQ85" s="1299" t="s">
        <v>608</v>
      </c>
      <c r="AR85" s="1322"/>
      <c r="AS85" s="1300" t="s">
        <v>608</v>
      </c>
      <c r="AT85" s="1300"/>
      <c r="AU85" s="1322"/>
      <c r="AV85" s="1299" t="s">
        <v>608</v>
      </c>
      <c r="AW85" s="1301" t="s">
        <v>608</v>
      </c>
      <c r="AY85" s="1321" t="s">
        <v>608</v>
      </c>
      <c r="AZ85" s="1299" t="s">
        <v>608</v>
      </c>
      <c r="BA85" s="1322"/>
      <c r="BB85" s="1300" t="s">
        <v>608</v>
      </c>
      <c r="BC85" s="1300"/>
      <c r="BD85" s="1322"/>
      <c r="BE85" s="1299" t="s">
        <v>608</v>
      </c>
      <c r="BF85" s="1301" t="s">
        <v>608</v>
      </c>
    </row>
    <row r="86" spans="1:58">
      <c r="B86" s="857" t="s">
        <v>504</v>
      </c>
      <c r="D86" s="1316"/>
      <c r="E86" s="864"/>
      <c r="G86" s="864"/>
      <c r="H86" s="1317"/>
      <c r="J86" s="1318"/>
      <c r="K86" s="864"/>
      <c r="L86" s="780"/>
      <c r="M86" s="864"/>
      <c r="N86" s="1292"/>
      <c r="O86" s="1317"/>
      <c r="P86" s="1293"/>
      <c r="R86" s="1294"/>
      <c r="T86" s="1123"/>
      <c r="W86" s="1319"/>
      <c r="X86" s="864"/>
      <c r="Y86" s="864"/>
      <c r="Z86" s="864"/>
      <c r="AA86" s="864"/>
      <c r="AB86" s="1320"/>
      <c r="AG86" s="1316" t="str">
        <f t="shared" si="76"/>
        <v/>
      </c>
      <c r="AH86" s="1296" t="str">
        <f t="shared" si="78"/>
        <v/>
      </c>
      <c r="AI86" s="1318"/>
      <c r="AJ86" s="1297" t="str">
        <f t="shared" si="5"/>
        <v/>
      </c>
      <c r="AK86" s="1297"/>
      <c r="AL86" s="1318"/>
      <c r="AM86" s="1296" t="str">
        <f t="shared" si="17"/>
        <v/>
      </c>
      <c r="AN86" s="1298" t="str">
        <f t="shared" si="6"/>
        <v/>
      </c>
      <c r="AP86" s="1321" t="s">
        <v>608</v>
      </c>
      <c r="AQ86" s="1299" t="s">
        <v>608</v>
      </c>
      <c r="AR86" s="1322"/>
      <c r="AS86" s="1300" t="s">
        <v>608</v>
      </c>
      <c r="AT86" s="1300"/>
      <c r="AU86" s="1322"/>
      <c r="AV86" s="1299" t="s">
        <v>608</v>
      </c>
      <c r="AW86" s="1301" t="s">
        <v>608</v>
      </c>
      <c r="AY86" s="1321" t="s">
        <v>608</v>
      </c>
      <c r="AZ86" s="1299" t="s">
        <v>608</v>
      </c>
      <c r="BA86" s="1322"/>
      <c r="BB86" s="1300" t="s">
        <v>608</v>
      </c>
      <c r="BC86" s="1300"/>
      <c r="BD86" s="1322"/>
      <c r="BE86" s="1299" t="s">
        <v>608</v>
      </c>
      <c r="BF86" s="1301" t="s">
        <v>608</v>
      </c>
    </row>
    <row r="87" spans="1:58">
      <c r="B87" s="858" t="s">
        <v>75</v>
      </c>
      <c r="D87" s="1316">
        <f>'Billing Units'!T64</f>
        <v>131</v>
      </c>
      <c r="E87" s="864">
        <f>'Rate Inputs'!T64</f>
        <v>8.9499999999999993</v>
      </c>
      <c r="F87" s="864" t="str">
        <f>'Rate Inputs'!U64</f>
        <v>per month</v>
      </c>
      <c r="G87" s="864"/>
      <c r="H87" s="860">
        <f t="shared" ref="H87:H92" si="79">D87*E87*12</f>
        <v>14069.399999999998</v>
      </c>
      <c r="J87" s="1318">
        <f>'Billing Units'!V64</f>
        <v>131</v>
      </c>
      <c r="K87" s="1303">
        <f t="shared" ref="K87:K92" si="80">W87</f>
        <v>10.459346238091747</v>
      </c>
      <c r="L87" s="1320" t="str">
        <f>F87</f>
        <v>per month</v>
      </c>
      <c r="M87" s="864"/>
      <c r="N87" s="1305">
        <f t="shared" ref="N87:N92" si="81">J87*K87*12</f>
        <v>16442.092286280225</v>
      </c>
      <c r="O87" s="1317"/>
      <c r="P87" s="1047">
        <f t="shared" ref="P87" si="82">IF(AND(N87=0,NOT(H87=0)),0,N87-H87)</f>
        <v>2372.6922862802276</v>
      </c>
      <c r="Q87" s="1043"/>
      <c r="R87" s="1074">
        <f t="shared" ref="R87" si="83">IF(D87=0,0,ROUND((N87-H87)/H87,9))</f>
        <v>0.16864203799999999</v>
      </c>
      <c r="T87" s="1123"/>
      <c r="W87" s="1319">
        <f t="shared" ref="W87:W92" si="84">INDEX($X87:$AB87,MATCH($D$6,$X$8:$AB$8,0))</f>
        <v>10.459346238091747</v>
      </c>
      <c r="X87" s="1349">
        <v>8.9499999999999993</v>
      </c>
      <c r="Y87" s="1349">
        <v>8.9499999999999993</v>
      </c>
      <c r="Z87" s="1349">
        <f t="shared" ref="Z87:Z92" si="85">Y87</f>
        <v>8.9499999999999993</v>
      </c>
      <c r="AA87" s="1350">
        <f t="shared" ref="AA87:AA92" si="86">AV87</f>
        <v>10.459346238091747</v>
      </c>
      <c r="AB87" s="1351">
        <f t="shared" ref="AB87:AB92" si="87">BE87</f>
        <v>9.8976102051078403</v>
      </c>
      <c r="AG87" s="1316">
        <f t="shared" si="76"/>
        <v>131</v>
      </c>
      <c r="AH87" s="1296">
        <f t="shared" si="78"/>
        <v>8.9499999999999993</v>
      </c>
      <c r="AI87" s="1318" t="s">
        <v>160</v>
      </c>
      <c r="AJ87" s="1297">
        <f t="shared" ref="AJ87:AJ117" si="88">IFERROR(IF(AG87*AH87 = 0, "", AG87*AH87) * IF(OR(AI87 = "per month",AI87 = "per booth",AI87 = "per bus shelter",AI87 = "per strobe light"),12,1),"")</f>
        <v>14069.399999999998</v>
      </c>
      <c r="AK87" s="1297"/>
      <c r="AL87" s="1318"/>
      <c r="AM87" s="1296">
        <f t="shared" si="17"/>
        <v>10.361815789217813</v>
      </c>
      <c r="AN87" s="1298">
        <f t="shared" ref="AN87:AN132" si="89">IFERROR(IF(AG87*AM87 = 0, "", AG87*AM87) * IF(AI87 = "per month",12,1),"")</f>
        <v>16288.774420650401</v>
      </c>
      <c r="AP87" s="1321">
        <v>131</v>
      </c>
      <c r="AQ87" s="1299">
        <v>8.9499999999999993</v>
      </c>
      <c r="AR87" s="1322" t="s">
        <v>160</v>
      </c>
      <c r="AS87" s="1300">
        <v>14069.399999999998</v>
      </c>
      <c r="AT87" s="1300"/>
      <c r="AU87" s="1322"/>
      <c r="AV87" s="1299">
        <v>10.459346238091747</v>
      </c>
      <c r="AW87" s="1301">
        <v>16442.092286280225</v>
      </c>
      <c r="AY87" s="1321">
        <v>131</v>
      </c>
      <c r="AZ87" s="1299">
        <v>8.9499999999999993</v>
      </c>
      <c r="BA87" s="1322" t="s">
        <v>160</v>
      </c>
      <c r="BB87" s="1300">
        <v>14069.399999999998</v>
      </c>
      <c r="BC87" s="1300"/>
      <c r="BD87" s="1322"/>
      <c r="BE87" s="1299">
        <v>9.8976102051078403</v>
      </c>
      <c r="BF87" s="1301">
        <v>15559.043242429525</v>
      </c>
    </row>
    <row r="88" spans="1:58">
      <c r="B88" s="858" t="s">
        <v>80</v>
      </c>
      <c r="D88" s="1316">
        <f>'Billing Units'!T65</f>
        <v>191</v>
      </c>
      <c r="E88" s="864">
        <f>'Rate Inputs'!T65</f>
        <v>9.32</v>
      </c>
      <c r="F88" s="864" t="str">
        <f>'Rate Inputs'!U65</f>
        <v>per month</v>
      </c>
      <c r="G88" s="864"/>
      <c r="H88" s="860">
        <f t="shared" si="79"/>
        <v>21361.440000000002</v>
      </c>
      <c r="J88" s="1318">
        <f>'Billing Units'!V65</f>
        <v>191</v>
      </c>
      <c r="K88" s="1303">
        <f t="shared" si="80"/>
        <v>10.891743792068727</v>
      </c>
      <c r="L88" s="1320" t="str">
        <f t="shared" ref="L88:L92" si="90">F88</f>
        <v>per month</v>
      </c>
      <c r="M88" s="864"/>
      <c r="N88" s="1305">
        <f t="shared" si="81"/>
        <v>24963.876771421521</v>
      </c>
      <c r="O88" s="1317"/>
      <c r="P88" s="1047">
        <f t="shared" ref="P88:P92" si="91">IF(AND(N88=0,NOT(H88=0)),0,N88-H88)</f>
        <v>3602.4367714215186</v>
      </c>
      <c r="Q88" s="1043"/>
      <c r="R88" s="1074">
        <f t="shared" ref="R88:R92" si="92">IF(D88=0,0,ROUND((N88-H88)/H88,9))</f>
        <v>0.16864203799999999</v>
      </c>
      <c r="T88" s="1123"/>
      <c r="W88" s="1319">
        <f t="shared" si="84"/>
        <v>10.891743792068727</v>
      </c>
      <c r="X88" s="1349">
        <v>9.32</v>
      </c>
      <c r="Y88" s="1349">
        <v>9.32</v>
      </c>
      <c r="Z88" s="1349">
        <f t="shared" si="85"/>
        <v>9.32</v>
      </c>
      <c r="AA88" s="1350">
        <f t="shared" si="86"/>
        <v>10.891743792068727</v>
      </c>
      <c r="AB88" s="1351">
        <f t="shared" si="87"/>
        <v>10.306785152134646</v>
      </c>
      <c r="AG88" s="1316">
        <f t="shared" si="76"/>
        <v>191</v>
      </c>
      <c r="AH88" s="1296">
        <f t="shared" si="78"/>
        <v>9.32</v>
      </c>
      <c r="AI88" s="1318" t="s">
        <v>160</v>
      </c>
      <c r="AJ88" s="1297">
        <f t="shared" si="88"/>
        <v>21361.440000000002</v>
      </c>
      <c r="AK88" s="1297"/>
      <c r="AL88" s="1318"/>
      <c r="AM88" s="1296">
        <f t="shared" si="17"/>
        <v>10.790181358157545</v>
      </c>
      <c r="AN88" s="1298">
        <f t="shared" si="89"/>
        <v>24731.095672897092</v>
      </c>
      <c r="AP88" s="1321">
        <v>191</v>
      </c>
      <c r="AQ88" s="1299">
        <v>9.32</v>
      </c>
      <c r="AR88" s="1322" t="s">
        <v>160</v>
      </c>
      <c r="AS88" s="1300">
        <v>21361.440000000002</v>
      </c>
      <c r="AT88" s="1300"/>
      <c r="AU88" s="1322"/>
      <c r="AV88" s="1299">
        <v>10.891743792068727</v>
      </c>
      <c r="AW88" s="1301">
        <v>24963.876771421521</v>
      </c>
      <c r="AY88" s="1321">
        <v>191</v>
      </c>
      <c r="AZ88" s="1299">
        <v>9.32</v>
      </c>
      <c r="BA88" s="1322" t="s">
        <v>160</v>
      </c>
      <c r="BB88" s="1300">
        <v>21361.440000000002</v>
      </c>
      <c r="BC88" s="1300"/>
      <c r="BD88" s="1322"/>
      <c r="BE88" s="1299">
        <v>10.306785152134646</v>
      </c>
      <c r="BF88" s="1301">
        <v>23623.151568692607</v>
      </c>
    </row>
    <row r="89" spans="1:58">
      <c r="B89" s="858" t="s">
        <v>83</v>
      </c>
      <c r="D89" s="1316">
        <f>'Billing Units'!T66</f>
        <v>655</v>
      </c>
      <c r="E89" s="864">
        <f>'Rate Inputs'!T66</f>
        <v>10.1</v>
      </c>
      <c r="F89" s="864" t="str">
        <f>'Rate Inputs'!U66</f>
        <v>per month</v>
      </c>
      <c r="G89" s="864"/>
      <c r="H89" s="860">
        <f t="shared" si="79"/>
        <v>79386</v>
      </c>
      <c r="J89" s="1318">
        <f>'Billing Units'!V66</f>
        <v>655</v>
      </c>
      <c r="K89" s="1303">
        <f t="shared" si="80"/>
        <v>11.803284581533704</v>
      </c>
      <c r="L89" s="1320" t="str">
        <f t="shared" si="90"/>
        <v>per month</v>
      </c>
      <c r="M89" s="864"/>
      <c r="N89" s="1305">
        <f t="shared" si="81"/>
        <v>92773.816810854914</v>
      </c>
      <c r="O89" s="1317"/>
      <c r="P89" s="1047">
        <f t="shared" si="91"/>
        <v>13387.816810854914</v>
      </c>
      <c r="Q89" s="1043"/>
      <c r="R89" s="1074">
        <f t="shared" si="92"/>
        <v>0.16864203799999999</v>
      </c>
      <c r="T89" s="1123"/>
      <c r="W89" s="1319">
        <f t="shared" si="84"/>
        <v>11.803284581533704</v>
      </c>
      <c r="X89" s="1349">
        <v>10.1</v>
      </c>
      <c r="Y89" s="1349">
        <v>10.1</v>
      </c>
      <c r="Z89" s="1349">
        <f t="shared" si="85"/>
        <v>10.1</v>
      </c>
      <c r="AA89" s="1350">
        <f t="shared" si="86"/>
        <v>11.803284581533704</v>
      </c>
      <c r="AB89" s="1351">
        <f t="shared" si="87"/>
        <v>11.169370175596558</v>
      </c>
      <c r="AG89" s="1316">
        <f t="shared" si="76"/>
        <v>655</v>
      </c>
      <c r="AH89" s="1296">
        <f t="shared" si="78"/>
        <v>10.1</v>
      </c>
      <c r="AI89" s="1318" t="s">
        <v>160</v>
      </c>
      <c r="AJ89" s="1297">
        <f t="shared" si="88"/>
        <v>79386</v>
      </c>
      <c r="AK89" s="1297"/>
      <c r="AL89" s="1318"/>
      <c r="AM89" s="1296">
        <f t="shared" si="17"/>
        <v>11.693222287273734</v>
      </c>
      <c r="AN89" s="1298">
        <f t="shared" si="89"/>
        <v>91908.727177971552</v>
      </c>
      <c r="AP89" s="1321">
        <v>655</v>
      </c>
      <c r="AQ89" s="1299">
        <v>10.1</v>
      </c>
      <c r="AR89" s="1322" t="s">
        <v>160</v>
      </c>
      <c r="AS89" s="1300">
        <v>79386</v>
      </c>
      <c r="AT89" s="1300"/>
      <c r="AU89" s="1322"/>
      <c r="AV89" s="1299">
        <v>11.803284581533704</v>
      </c>
      <c r="AW89" s="1301">
        <v>92773.816810854914</v>
      </c>
      <c r="AY89" s="1321">
        <v>655</v>
      </c>
      <c r="AZ89" s="1299">
        <v>10.1</v>
      </c>
      <c r="BA89" s="1322" t="s">
        <v>160</v>
      </c>
      <c r="BB89" s="1300">
        <v>79386</v>
      </c>
      <c r="BC89" s="1300"/>
      <c r="BD89" s="1322"/>
      <c r="BE89" s="1299">
        <v>11.169370175596558</v>
      </c>
      <c r="BF89" s="1301">
        <v>87791.249580188945</v>
      </c>
    </row>
    <row r="90" spans="1:58">
      <c r="B90" s="858" t="s">
        <v>85</v>
      </c>
      <c r="D90" s="1316">
        <f>'Billing Units'!T67</f>
        <v>11</v>
      </c>
      <c r="E90" s="864">
        <f>'Rate Inputs'!T67</f>
        <v>10.89</v>
      </c>
      <c r="F90" s="864" t="str">
        <f>'Rate Inputs'!U67</f>
        <v>per month</v>
      </c>
      <c r="G90" s="864"/>
      <c r="H90" s="860">
        <f t="shared" si="79"/>
        <v>1437.48</v>
      </c>
      <c r="J90" s="1318">
        <f>'Billing Units'!V67</f>
        <v>11</v>
      </c>
      <c r="K90" s="1303">
        <f t="shared" si="80"/>
        <v>12.726511791376442</v>
      </c>
      <c r="L90" s="1320" t="str">
        <f t="shared" si="90"/>
        <v>per month</v>
      </c>
      <c r="M90" s="864"/>
      <c r="N90" s="1305">
        <f t="shared" si="81"/>
        <v>1679.8995564616903</v>
      </c>
      <c r="O90" s="1317"/>
      <c r="P90" s="1047">
        <f t="shared" si="91"/>
        <v>242.41955646169026</v>
      </c>
      <c r="Q90" s="1043"/>
      <c r="R90" s="1074">
        <f t="shared" si="92"/>
        <v>0.16864203799999999</v>
      </c>
      <c r="T90" s="1123"/>
      <c r="W90" s="1319">
        <f t="shared" si="84"/>
        <v>12.726511791376442</v>
      </c>
      <c r="X90" s="1349">
        <v>10.89</v>
      </c>
      <c r="Y90" s="1349">
        <v>10.89</v>
      </c>
      <c r="Z90" s="1349">
        <f t="shared" si="85"/>
        <v>10.89</v>
      </c>
      <c r="AA90" s="1350">
        <f t="shared" si="86"/>
        <v>12.726511791376442</v>
      </c>
      <c r="AB90" s="1351">
        <f t="shared" si="87"/>
        <v>12.043013981410546</v>
      </c>
      <c r="AG90" s="1316">
        <f t="shared" si="76"/>
        <v>11</v>
      </c>
      <c r="AH90" s="1296">
        <f t="shared" si="78"/>
        <v>10.89</v>
      </c>
      <c r="AI90" s="1318" t="s">
        <v>160</v>
      </c>
      <c r="AJ90" s="1297">
        <f t="shared" si="88"/>
        <v>1437.48</v>
      </c>
      <c r="AK90" s="1297"/>
      <c r="AL90" s="1318"/>
      <c r="AM90" s="1296">
        <f t="shared" si="17"/>
        <v>12.607840664199106</v>
      </c>
      <c r="AN90" s="1298">
        <f t="shared" si="89"/>
        <v>1664.234967674282</v>
      </c>
      <c r="AP90" s="1321">
        <v>11</v>
      </c>
      <c r="AQ90" s="1299">
        <v>10.89</v>
      </c>
      <c r="AR90" s="1322" t="s">
        <v>160</v>
      </c>
      <c r="AS90" s="1300">
        <v>1437.48</v>
      </c>
      <c r="AT90" s="1300"/>
      <c r="AU90" s="1322"/>
      <c r="AV90" s="1299">
        <v>12.726511791376442</v>
      </c>
      <c r="AW90" s="1301">
        <v>1679.8995564616903</v>
      </c>
      <c r="AY90" s="1321">
        <v>11</v>
      </c>
      <c r="AZ90" s="1299">
        <v>10.89</v>
      </c>
      <c r="BA90" s="1322" t="s">
        <v>160</v>
      </c>
      <c r="BB90" s="1300">
        <v>1437.48</v>
      </c>
      <c r="BC90" s="1300"/>
      <c r="BD90" s="1322"/>
      <c r="BE90" s="1299">
        <v>12.043013981410546</v>
      </c>
      <c r="BF90" s="1301">
        <v>1589.677845546192</v>
      </c>
    </row>
    <row r="91" spans="1:58">
      <c r="B91" s="858" t="s">
        <v>87</v>
      </c>
      <c r="D91" s="1316">
        <f>'Billing Units'!T68</f>
        <v>120</v>
      </c>
      <c r="E91" s="864">
        <f>'Rate Inputs'!T68</f>
        <v>13.16</v>
      </c>
      <c r="F91" s="864" t="str">
        <f>'Rate Inputs'!U68</f>
        <v>per month</v>
      </c>
      <c r="G91" s="864"/>
      <c r="H91" s="860">
        <f t="shared" si="79"/>
        <v>18950.400000000001</v>
      </c>
      <c r="J91" s="1318">
        <f>'Billing Units'!V68</f>
        <v>120</v>
      </c>
      <c r="K91" s="1303">
        <f t="shared" si="80"/>
        <v>15.379329217127085</v>
      </c>
      <c r="L91" s="1320" t="str">
        <f t="shared" si="90"/>
        <v>per month</v>
      </c>
      <c r="M91" s="864"/>
      <c r="N91" s="1305">
        <f t="shared" si="81"/>
        <v>22146.234072662999</v>
      </c>
      <c r="O91" s="1317"/>
      <c r="P91" s="1047">
        <f t="shared" si="91"/>
        <v>3195.8340726629976</v>
      </c>
      <c r="Q91" s="1043"/>
      <c r="R91" s="1074">
        <f t="shared" si="92"/>
        <v>0.16864203799999999</v>
      </c>
      <c r="T91" s="1123"/>
      <c r="W91" s="1319">
        <f t="shared" si="84"/>
        <v>15.379329217127085</v>
      </c>
      <c r="X91" s="1349">
        <v>13.16</v>
      </c>
      <c r="Y91" s="1349">
        <v>13.16</v>
      </c>
      <c r="Z91" s="1349">
        <f t="shared" si="85"/>
        <v>13.16</v>
      </c>
      <c r="AA91" s="1350">
        <f t="shared" si="86"/>
        <v>15.379329217127085</v>
      </c>
      <c r="AB91" s="1351">
        <f t="shared" si="87"/>
        <v>14.553357575331752</v>
      </c>
      <c r="AG91" s="1316">
        <f t="shared" si="76"/>
        <v>120</v>
      </c>
      <c r="AH91" s="1296">
        <f t="shared" si="78"/>
        <v>13.16</v>
      </c>
      <c r="AI91" s="1318" t="s">
        <v>160</v>
      </c>
      <c r="AJ91" s="1297">
        <f t="shared" si="88"/>
        <v>18950.400000000001</v>
      </c>
      <c r="AK91" s="1297"/>
      <c r="AL91" s="1318"/>
      <c r="AM91" s="1296">
        <f t="shared" si="17"/>
        <v>15.235921316883401</v>
      </c>
      <c r="AN91" s="1298">
        <f t="shared" si="89"/>
        <v>21939.726696312096</v>
      </c>
      <c r="AP91" s="1321">
        <v>120</v>
      </c>
      <c r="AQ91" s="1299">
        <v>13.16</v>
      </c>
      <c r="AR91" s="1322" t="s">
        <v>160</v>
      </c>
      <c r="AS91" s="1300">
        <v>18950.400000000001</v>
      </c>
      <c r="AT91" s="1300"/>
      <c r="AU91" s="1322"/>
      <c r="AV91" s="1299">
        <v>15.379329217127085</v>
      </c>
      <c r="AW91" s="1301">
        <v>22146.234072662999</v>
      </c>
      <c r="AY91" s="1321">
        <v>120</v>
      </c>
      <c r="AZ91" s="1299">
        <v>13.16</v>
      </c>
      <c r="BA91" s="1322" t="s">
        <v>160</v>
      </c>
      <c r="BB91" s="1300">
        <v>18950.400000000001</v>
      </c>
      <c r="BC91" s="1300"/>
      <c r="BD91" s="1322"/>
      <c r="BE91" s="1299">
        <v>14.553357575331752</v>
      </c>
      <c r="BF91" s="1301">
        <v>20956.834908477722</v>
      </c>
    </row>
    <row r="92" spans="1:58">
      <c r="B92" s="858" t="s">
        <v>91</v>
      </c>
      <c r="D92" s="1316">
        <f>'Billing Units'!T69</f>
        <v>1</v>
      </c>
      <c r="E92" s="864">
        <f>'Rate Inputs'!T69</f>
        <v>14.32</v>
      </c>
      <c r="F92" s="864" t="str">
        <f>'Rate Inputs'!U69</f>
        <v>per month</v>
      </c>
      <c r="G92" s="864"/>
      <c r="H92" s="860">
        <f t="shared" si="79"/>
        <v>171.84</v>
      </c>
      <c r="J92" s="1318">
        <f>'Billing Units'!V69</f>
        <v>1</v>
      </c>
      <c r="K92" s="1303">
        <f t="shared" si="80"/>
        <v>16.734953980946798</v>
      </c>
      <c r="L92" s="1320" t="str">
        <f t="shared" si="90"/>
        <v>per month</v>
      </c>
      <c r="M92" s="864"/>
      <c r="N92" s="1305">
        <f t="shared" si="81"/>
        <v>200.81944777136158</v>
      </c>
      <c r="O92" s="1317"/>
      <c r="P92" s="1047">
        <f t="shared" si="91"/>
        <v>28.979447771361578</v>
      </c>
      <c r="Q92" s="1043"/>
      <c r="R92" s="1074">
        <f t="shared" si="92"/>
        <v>0.16864203799999999</v>
      </c>
      <c r="T92" s="1123"/>
      <c r="W92" s="1319">
        <f t="shared" si="84"/>
        <v>16.734953980946798</v>
      </c>
      <c r="X92" s="1349">
        <v>14.32</v>
      </c>
      <c r="Y92" s="1349">
        <v>14.32</v>
      </c>
      <c r="Z92" s="1349">
        <f t="shared" si="85"/>
        <v>14.32</v>
      </c>
      <c r="AA92" s="1350">
        <f t="shared" si="86"/>
        <v>16.734953980946798</v>
      </c>
      <c r="AB92" s="1351">
        <f t="shared" si="87"/>
        <v>15.836176328172545</v>
      </c>
      <c r="AG92" s="1316">
        <f t="shared" si="76"/>
        <v>1</v>
      </c>
      <c r="AH92" s="1296">
        <f t="shared" si="78"/>
        <v>14.32</v>
      </c>
      <c r="AI92" s="1318" t="s">
        <v>160</v>
      </c>
      <c r="AJ92" s="1297">
        <f t="shared" si="88"/>
        <v>171.84</v>
      </c>
      <c r="AK92" s="1297"/>
      <c r="AL92" s="1318"/>
      <c r="AM92" s="1296">
        <f t="shared" ref="AM92:AM133" si="93">IF(AH92="","",AH92*$AL$137)</f>
        <v>16.578905262748503</v>
      </c>
      <c r="AN92" s="1298">
        <f t="shared" si="89"/>
        <v>198.94686315298202</v>
      </c>
      <c r="AP92" s="1321">
        <v>1</v>
      </c>
      <c r="AQ92" s="1299">
        <v>14.32</v>
      </c>
      <c r="AR92" s="1322" t="s">
        <v>160</v>
      </c>
      <c r="AS92" s="1300">
        <v>171.84</v>
      </c>
      <c r="AT92" s="1300"/>
      <c r="AU92" s="1322"/>
      <c r="AV92" s="1299">
        <v>16.734953980946798</v>
      </c>
      <c r="AW92" s="1301">
        <v>200.81944777136158</v>
      </c>
      <c r="AY92" s="1321">
        <v>1</v>
      </c>
      <c r="AZ92" s="1299">
        <v>14.32</v>
      </c>
      <c r="BA92" s="1322" t="s">
        <v>160</v>
      </c>
      <c r="BB92" s="1300">
        <v>171.84</v>
      </c>
      <c r="BC92" s="1300"/>
      <c r="BD92" s="1322"/>
      <c r="BE92" s="1299">
        <v>15.836176328172545</v>
      </c>
      <c r="BF92" s="1301">
        <v>190.03411593807056</v>
      </c>
    </row>
    <row r="93" spans="1:58">
      <c r="B93" s="858"/>
      <c r="D93" s="1316"/>
      <c r="E93" s="864"/>
      <c r="G93" s="864"/>
      <c r="H93" s="1317"/>
      <c r="J93" s="1318"/>
      <c r="K93" s="864"/>
      <c r="L93" s="780"/>
      <c r="M93" s="864"/>
      <c r="N93" s="1292"/>
      <c r="O93" s="1317"/>
      <c r="P93" s="1293"/>
      <c r="R93" s="1294"/>
      <c r="T93" s="1123"/>
      <c r="W93" s="1319"/>
      <c r="X93" s="864"/>
      <c r="Y93" s="864"/>
      <c r="Z93" s="864"/>
      <c r="AA93" s="864"/>
      <c r="AB93" s="1320"/>
      <c r="AG93" s="1316" t="str">
        <f t="shared" si="76"/>
        <v/>
      </c>
      <c r="AH93" s="1296" t="str">
        <f t="shared" si="78"/>
        <v/>
      </c>
      <c r="AI93" s="1318"/>
      <c r="AJ93" s="1297" t="str">
        <f t="shared" si="88"/>
        <v/>
      </c>
      <c r="AK93" s="1297"/>
      <c r="AL93" s="1318"/>
      <c r="AM93" s="1296" t="str">
        <f t="shared" si="93"/>
        <v/>
      </c>
      <c r="AN93" s="1298" t="str">
        <f t="shared" si="89"/>
        <v/>
      </c>
      <c r="AP93" s="1321" t="s">
        <v>608</v>
      </c>
      <c r="AQ93" s="1299" t="s">
        <v>608</v>
      </c>
      <c r="AR93" s="1322"/>
      <c r="AS93" s="1300" t="s">
        <v>608</v>
      </c>
      <c r="AT93" s="1300"/>
      <c r="AU93" s="1322"/>
      <c r="AV93" s="1299" t="s">
        <v>608</v>
      </c>
      <c r="AW93" s="1301" t="s">
        <v>608</v>
      </c>
      <c r="AY93" s="1321" t="s">
        <v>608</v>
      </c>
      <c r="AZ93" s="1299" t="s">
        <v>608</v>
      </c>
      <c r="BA93" s="1322"/>
      <c r="BB93" s="1300" t="s">
        <v>608</v>
      </c>
      <c r="BC93" s="1300"/>
      <c r="BD93" s="1322"/>
      <c r="BE93" s="1299" t="s">
        <v>608</v>
      </c>
      <c r="BF93" s="1301" t="s">
        <v>608</v>
      </c>
    </row>
    <row r="94" spans="1:58">
      <c r="B94" s="856" t="s">
        <v>135</v>
      </c>
      <c r="D94" s="1316"/>
      <c r="E94" s="864"/>
      <c r="G94" s="864"/>
      <c r="H94" s="1317" t="s">
        <v>0</v>
      </c>
      <c r="J94" s="1318"/>
      <c r="K94" s="864"/>
      <c r="L94" s="780"/>
      <c r="M94" s="864"/>
      <c r="N94" s="1292"/>
      <c r="O94" s="1317"/>
      <c r="P94" s="1293"/>
      <c r="R94" s="1294"/>
      <c r="T94" s="1123"/>
      <c r="W94" s="1319"/>
      <c r="X94" s="864"/>
      <c r="Y94" s="864"/>
      <c r="Z94" s="864"/>
      <c r="AA94" s="864"/>
      <c r="AB94" s="1320"/>
      <c r="AG94" s="1316" t="str">
        <f t="shared" si="76"/>
        <v/>
      </c>
      <c r="AH94" s="1296" t="str">
        <f t="shared" si="78"/>
        <v/>
      </c>
      <c r="AI94" s="1318"/>
      <c r="AJ94" s="1297" t="str">
        <f t="shared" si="88"/>
        <v/>
      </c>
      <c r="AK94" s="1297"/>
      <c r="AL94" s="1318"/>
      <c r="AM94" s="1296" t="str">
        <f t="shared" si="93"/>
        <v/>
      </c>
      <c r="AN94" s="1298" t="str">
        <f t="shared" si="89"/>
        <v/>
      </c>
      <c r="AP94" s="1321" t="s">
        <v>608</v>
      </c>
      <c r="AQ94" s="1299" t="s">
        <v>608</v>
      </c>
      <c r="AR94" s="1322"/>
      <c r="AS94" s="1300" t="s">
        <v>608</v>
      </c>
      <c r="AT94" s="1300"/>
      <c r="AU94" s="1322"/>
      <c r="AV94" s="1299" t="s">
        <v>608</v>
      </c>
      <c r="AW94" s="1301" t="s">
        <v>608</v>
      </c>
      <c r="AY94" s="1321" t="s">
        <v>608</v>
      </c>
      <c r="AZ94" s="1299" t="s">
        <v>608</v>
      </c>
      <c r="BA94" s="1322"/>
      <c r="BB94" s="1300" t="s">
        <v>608</v>
      </c>
      <c r="BC94" s="1300"/>
      <c r="BD94" s="1322"/>
      <c r="BE94" s="1299" t="s">
        <v>608</v>
      </c>
      <c r="BF94" s="1301" t="s">
        <v>608</v>
      </c>
    </row>
    <row r="95" spans="1:58">
      <c r="B95" s="857" t="s">
        <v>504</v>
      </c>
      <c r="D95" s="1316"/>
      <c r="E95" s="864"/>
      <c r="G95" s="864"/>
      <c r="H95" s="1317"/>
      <c r="J95" s="1318"/>
      <c r="K95" s="864"/>
      <c r="L95" s="780"/>
      <c r="M95" s="864"/>
      <c r="N95" s="1292"/>
      <c r="O95" s="1317"/>
      <c r="P95" s="1293"/>
      <c r="R95" s="1294"/>
      <c r="T95" s="1123"/>
      <c r="W95" s="1319"/>
      <c r="X95" s="864"/>
      <c r="Y95" s="864"/>
      <c r="Z95" s="864"/>
      <c r="AA95" s="864"/>
      <c r="AB95" s="1320"/>
      <c r="AG95" s="1316" t="str">
        <f t="shared" si="76"/>
        <v/>
      </c>
      <c r="AH95" s="1296" t="str">
        <f t="shared" si="78"/>
        <v/>
      </c>
      <c r="AI95" s="1318"/>
      <c r="AJ95" s="1297" t="str">
        <f t="shared" si="88"/>
        <v/>
      </c>
      <c r="AK95" s="1297"/>
      <c r="AL95" s="1318"/>
      <c r="AM95" s="1296" t="str">
        <f t="shared" si="93"/>
        <v/>
      </c>
      <c r="AN95" s="1298" t="str">
        <f t="shared" si="89"/>
        <v/>
      </c>
      <c r="AP95" s="1321" t="s">
        <v>608</v>
      </c>
      <c r="AQ95" s="1299" t="s">
        <v>608</v>
      </c>
      <c r="AR95" s="1322"/>
      <c r="AS95" s="1300" t="s">
        <v>608</v>
      </c>
      <c r="AT95" s="1300"/>
      <c r="AU95" s="1322"/>
      <c r="AV95" s="1299" t="s">
        <v>608</v>
      </c>
      <c r="AW95" s="1301" t="s">
        <v>608</v>
      </c>
      <c r="AY95" s="1321" t="s">
        <v>608</v>
      </c>
      <c r="AZ95" s="1299" t="s">
        <v>608</v>
      </c>
      <c r="BA95" s="1322"/>
      <c r="BB95" s="1300" t="s">
        <v>608</v>
      </c>
      <c r="BC95" s="1300"/>
      <c r="BD95" s="1322"/>
      <c r="BE95" s="1299" t="s">
        <v>608</v>
      </c>
      <c r="BF95" s="1301" t="s">
        <v>608</v>
      </c>
    </row>
    <row r="96" spans="1:58">
      <c r="B96" s="858" t="s">
        <v>137</v>
      </c>
      <c r="D96" s="1316">
        <f>'Billing Units'!T71</f>
        <v>1182</v>
      </c>
      <c r="E96" s="864">
        <f>'Rate Inputs'!T71</f>
        <v>5.78</v>
      </c>
      <c r="F96" s="864" t="str">
        <f>'Rate Inputs'!U71</f>
        <v>per month</v>
      </c>
      <c r="G96" s="864"/>
      <c r="H96" s="860">
        <f t="shared" ref="H96" si="94">D96*E96*12</f>
        <v>81983.520000000004</v>
      </c>
      <c r="J96" s="1318">
        <f>'Billing Units'!V71</f>
        <v>1182</v>
      </c>
      <c r="K96" s="1332">
        <f t="shared" ref="K96" si="95">W96</f>
        <v>6.7547509783430515</v>
      </c>
      <c r="L96" s="1320" t="str">
        <f>'Rate Inputs'!W71</f>
        <v>per month</v>
      </c>
      <c r="M96" s="864"/>
      <c r="N96" s="1305">
        <f t="shared" ref="N96" si="96">J96*K96*12</f>
        <v>95809.38787681784</v>
      </c>
      <c r="O96" s="1317"/>
      <c r="P96" s="1047">
        <f t="shared" ref="P96:P97" si="97">IF(AND(N96=0,NOT(H96=0)),0,N96-H96)</f>
        <v>13825.867876817836</v>
      </c>
      <c r="Q96" s="1043"/>
      <c r="R96" s="1074">
        <f t="shared" ref="R96:R97" si="98">IF(D96=0,0,ROUND((N96-H96)/H96,9))</f>
        <v>0.16864203799999999</v>
      </c>
      <c r="T96" s="1123"/>
      <c r="W96" s="1319">
        <f>INDEX($X96:$AB96,MATCH($D$6,$X$8:$AB$8,0))</f>
        <v>6.7547509783430515</v>
      </c>
      <c r="X96" s="1349">
        <v>5.78</v>
      </c>
      <c r="Y96" s="1349">
        <v>5.78</v>
      </c>
      <c r="Z96" s="1349">
        <f>Y96</f>
        <v>5.78</v>
      </c>
      <c r="AA96" s="1350">
        <f t="shared" ref="AA96" si="99">AV96</f>
        <v>6.7547509783430515</v>
      </c>
      <c r="AB96" s="1351">
        <f t="shared" ref="AB96" si="100">BE96</f>
        <v>6.3919761994998128</v>
      </c>
      <c r="AG96" s="1316">
        <f t="shared" si="76"/>
        <v>1182</v>
      </c>
      <c r="AH96" s="1296">
        <f t="shared" si="78"/>
        <v>5.78</v>
      </c>
      <c r="AI96" s="1318" t="s">
        <v>160</v>
      </c>
      <c r="AJ96" s="1297">
        <f t="shared" si="88"/>
        <v>81983.520000000004</v>
      </c>
      <c r="AK96" s="1297"/>
      <c r="AL96" s="1318"/>
      <c r="AM96" s="1296">
        <f t="shared" si="93"/>
        <v>6.6917648337071478</v>
      </c>
      <c r="AN96" s="1298">
        <f t="shared" si="89"/>
        <v>94915.992401302181</v>
      </c>
      <c r="AP96" s="1321">
        <v>1182</v>
      </c>
      <c r="AQ96" s="1299">
        <v>5.78</v>
      </c>
      <c r="AR96" s="1322" t="s">
        <v>160</v>
      </c>
      <c r="AS96" s="1300">
        <v>81983.520000000004</v>
      </c>
      <c r="AT96" s="1300"/>
      <c r="AU96" s="1322"/>
      <c r="AV96" s="1299">
        <v>6.7547509783430515</v>
      </c>
      <c r="AW96" s="1301">
        <v>95809.38787681784</v>
      </c>
      <c r="AY96" s="1321">
        <v>1182</v>
      </c>
      <c r="AZ96" s="1299">
        <v>5.78</v>
      </c>
      <c r="BA96" s="1322" t="s">
        <v>160</v>
      </c>
      <c r="BB96" s="1300">
        <v>81983.520000000004</v>
      </c>
      <c r="BC96" s="1300"/>
      <c r="BD96" s="1322"/>
      <c r="BE96" s="1299">
        <v>6.3919761994998128</v>
      </c>
      <c r="BF96" s="1301">
        <v>90663.790413705341</v>
      </c>
    </row>
    <row r="97" spans="1:58" s="12" customFormat="1" ht="13.8" thickBot="1">
      <c r="A97" s="865"/>
      <c r="B97" s="866" t="s">
        <v>509</v>
      </c>
      <c r="C97" s="865"/>
      <c r="D97" s="1333">
        <f>SUM(D87:D96)</f>
        <v>2291</v>
      </c>
      <c r="E97" s="868"/>
      <c r="F97" s="865"/>
      <c r="G97" s="868"/>
      <c r="H97" s="1334">
        <f>SUM(H87:H96)</f>
        <v>217360.08000000002</v>
      </c>
      <c r="I97" s="865"/>
      <c r="J97" s="1335">
        <f>SUM(J87:J96)</f>
        <v>2291</v>
      </c>
      <c r="K97" s="868"/>
      <c r="L97" s="1336"/>
      <c r="M97" s="868"/>
      <c r="N97" s="1337">
        <f>SUM(N87:N96)</f>
        <v>254016.12682227054</v>
      </c>
      <c r="O97" s="1338"/>
      <c r="P97" s="1085">
        <f t="shared" si="97"/>
        <v>36656.046822270524</v>
      </c>
      <c r="Q97" s="1081"/>
      <c r="R97" s="1086">
        <f t="shared" si="98"/>
        <v>0.16864203799999999</v>
      </c>
      <c r="S97" s="865"/>
      <c r="T97" s="1123"/>
      <c r="U97" s="838"/>
      <c r="V97" s="773"/>
      <c r="W97" s="1339"/>
      <c r="X97" s="868"/>
      <c r="Y97" s="868"/>
      <c r="Z97" s="868"/>
      <c r="AA97" s="868"/>
      <c r="AB97" s="1340"/>
      <c r="AC97" s="773"/>
      <c r="AD97" s="789"/>
      <c r="AE97" s="865"/>
      <c r="AF97" s="865"/>
      <c r="AG97" s="1333">
        <f t="shared" si="76"/>
        <v>2291</v>
      </c>
      <c r="AH97" s="1341" t="str">
        <f t="shared" si="78"/>
        <v/>
      </c>
      <c r="AI97" s="1335"/>
      <c r="AJ97" s="1342" t="str">
        <f t="shared" si="88"/>
        <v/>
      </c>
      <c r="AK97" s="1342"/>
      <c r="AL97" s="1335"/>
      <c r="AM97" s="1341" t="str">
        <f t="shared" si="93"/>
        <v/>
      </c>
      <c r="AN97" s="1343" t="str">
        <f t="shared" si="89"/>
        <v/>
      </c>
      <c r="AO97" s="865"/>
      <c r="AP97" s="1344">
        <v>2291</v>
      </c>
      <c r="AQ97" s="1345" t="s">
        <v>608</v>
      </c>
      <c r="AR97" s="1346"/>
      <c r="AS97" s="1347" t="s">
        <v>608</v>
      </c>
      <c r="AT97" s="1347"/>
      <c r="AU97" s="1346"/>
      <c r="AV97" s="1345" t="s">
        <v>608</v>
      </c>
      <c r="AW97" s="1348" t="s">
        <v>608</v>
      </c>
      <c r="AX97" s="865"/>
      <c r="AY97" s="1344">
        <v>2291</v>
      </c>
      <c r="AZ97" s="1345" t="s">
        <v>608</v>
      </c>
      <c r="BA97" s="1346"/>
      <c r="BB97" s="1347" t="s">
        <v>608</v>
      </c>
      <c r="BC97" s="1347"/>
      <c r="BD97" s="1346"/>
      <c r="BE97" s="1345" t="s">
        <v>608</v>
      </c>
      <c r="BF97" s="1348" t="s">
        <v>608</v>
      </c>
    </row>
    <row r="98" spans="1:58" ht="13.8" thickTop="1">
      <c r="B98" s="862"/>
      <c r="D98" s="1316"/>
      <c r="E98" s="864"/>
      <c r="G98" s="864"/>
      <c r="H98" s="1317"/>
      <c r="J98" s="1318"/>
      <c r="K98" s="864"/>
      <c r="L98" s="780"/>
      <c r="M98" s="864"/>
      <c r="N98" s="1292"/>
      <c r="O98" s="1317"/>
      <c r="P98" s="1293"/>
      <c r="R98" s="1294"/>
      <c r="T98" s="1123"/>
      <c r="W98" s="1319"/>
      <c r="X98" s="864"/>
      <c r="Y98" s="864"/>
      <c r="Z98" s="864"/>
      <c r="AA98" s="864"/>
      <c r="AB98" s="1320"/>
      <c r="AG98" s="1316" t="str">
        <f t="shared" si="76"/>
        <v/>
      </c>
      <c r="AH98" s="1296" t="str">
        <f t="shared" si="78"/>
        <v/>
      </c>
      <c r="AI98" s="1318"/>
      <c r="AJ98" s="1297" t="str">
        <f t="shared" si="88"/>
        <v/>
      </c>
      <c r="AK98" s="1297"/>
      <c r="AL98" s="1318"/>
      <c r="AM98" s="1296" t="str">
        <f t="shared" si="93"/>
        <v/>
      </c>
      <c r="AN98" s="1298" t="str">
        <f t="shared" si="89"/>
        <v/>
      </c>
      <c r="AP98" s="1321" t="s">
        <v>608</v>
      </c>
      <c r="AQ98" s="1299" t="s">
        <v>608</v>
      </c>
      <c r="AR98" s="1322"/>
      <c r="AS98" s="1300" t="s">
        <v>608</v>
      </c>
      <c r="AT98" s="1300"/>
      <c r="AU98" s="1322"/>
      <c r="AV98" s="1299" t="s">
        <v>608</v>
      </c>
      <c r="AW98" s="1301" t="s">
        <v>608</v>
      </c>
      <c r="AY98" s="1321" t="s">
        <v>608</v>
      </c>
      <c r="AZ98" s="1299" t="s">
        <v>608</v>
      </c>
      <c r="BA98" s="1322"/>
      <c r="BB98" s="1300" t="s">
        <v>608</v>
      </c>
      <c r="BC98" s="1300"/>
      <c r="BD98" s="1322"/>
      <c r="BE98" s="1299" t="s">
        <v>608</v>
      </c>
      <c r="BF98" s="1301" t="s">
        <v>608</v>
      </c>
    </row>
    <row r="99" spans="1:58">
      <c r="B99" s="855" t="s">
        <v>23</v>
      </c>
      <c r="D99" s="1316"/>
      <c r="E99" s="864"/>
      <c r="G99" s="864"/>
      <c r="H99" s="1317"/>
      <c r="J99" s="1318"/>
      <c r="K99" s="864"/>
      <c r="L99" s="780"/>
      <c r="M99" s="864"/>
      <c r="N99" s="1292"/>
      <c r="O99" s="1317"/>
      <c r="P99" s="1293"/>
      <c r="R99" s="1294"/>
      <c r="T99" s="1123"/>
      <c r="W99" s="1319"/>
      <c r="X99" s="864"/>
      <c r="Y99" s="864"/>
      <c r="Z99" s="864"/>
      <c r="AA99" s="864"/>
      <c r="AB99" s="1320"/>
      <c r="AG99" s="1316" t="str">
        <f t="shared" si="76"/>
        <v/>
      </c>
      <c r="AH99" s="1296" t="str">
        <f t="shared" si="78"/>
        <v/>
      </c>
      <c r="AI99" s="1318"/>
      <c r="AJ99" s="1297" t="str">
        <f t="shared" si="88"/>
        <v/>
      </c>
      <c r="AK99" s="1297"/>
      <c r="AL99" s="1318"/>
      <c r="AM99" s="1296" t="str">
        <f t="shared" si="93"/>
        <v/>
      </c>
      <c r="AN99" s="1298" t="str">
        <f t="shared" si="89"/>
        <v/>
      </c>
      <c r="AP99" s="1321" t="s">
        <v>608</v>
      </c>
      <c r="AQ99" s="1299" t="s">
        <v>608</v>
      </c>
      <c r="AR99" s="1322"/>
      <c r="AS99" s="1300" t="s">
        <v>608</v>
      </c>
      <c r="AT99" s="1300"/>
      <c r="AU99" s="1322"/>
      <c r="AV99" s="1299" t="s">
        <v>608</v>
      </c>
      <c r="AW99" s="1301" t="s">
        <v>608</v>
      </c>
      <c r="AY99" s="1321" t="s">
        <v>608</v>
      </c>
      <c r="AZ99" s="1299" t="s">
        <v>608</v>
      </c>
      <c r="BA99" s="1322"/>
      <c r="BB99" s="1300" t="s">
        <v>608</v>
      </c>
      <c r="BC99" s="1300"/>
      <c r="BD99" s="1322"/>
      <c r="BE99" s="1299" t="s">
        <v>608</v>
      </c>
      <c r="BF99" s="1301" t="s">
        <v>608</v>
      </c>
    </row>
    <row r="100" spans="1:58">
      <c r="B100" s="869"/>
      <c r="D100" s="1316"/>
      <c r="E100" s="864"/>
      <c r="G100" s="864"/>
      <c r="H100" s="1317"/>
      <c r="J100" s="1318"/>
      <c r="K100" s="864"/>
      <c r="L100" s="780"/>
      <c r="M100" s="864"/>
      <c r="N100" s="1292"/>
      <c r="O100" s="1317"/>
      <c r="P100" s="1293"/>
      <c r="R100" s="1294"/>
      <c r="T100" s="1123"/>
      <c r="W100" s="1319"/>
      <c r="X100" s="864"/>
      <c r="Y100" s="864"/>
      <c r="Z100" s="864"/>
      <c r="AA100" s="864"/>
      <c r="AB100" s="1320"/>
      <c r="AG100" s="1316" t="str">
        <f t="shared" si="76"/>
        <v/>
      </c>
      <c r="AH100" s="1296" t="str">
        <f t="shared" si="78"/>
        <v/>
      </c>
      <c r="AI100" s="1318"/>
      <c r="AJ100" s="1297" t="str">
        <f t="shared" si="88"/>
        <v/>
      </c>
      <c r="AK100" s="1297"/>
      <c r="AL100" s="1318"/>
      <c r="AM100" s="1296" t="str">
        <f t="shared" si="93"/>
        <v/>
      </c>
      <c r="AN100" s="1298" t="str">
        <f t="shared" si="89"/>
        <v/>
      </c>
      <c r="AP100" s="1321" t="s">
        <v>608</v>
      </c>
      <c r="AQ100" s="1299" t="s">
        <v>608</v>
      </c>
      <c r="AR100" s="1322"/>
      <c r="AS100" s="1300" t="s">
        <v>608</v>
      </c>
      <c r="AT100" s="1300"/>
      <c r="AU100" s="1322"/>
      <c r="AV100" s="1299" t="s">
        <v>608</v>
      </c>
      <c r="AW100" s="1301" t="s">
        <v>608</v>
      </c>
      <c r="AY100" s="1321" t="s">
        <v>608</v>
      </c>
      <c r="AZ100" s="1299" t="s">
        <v>608</v>
      </c>
      <c r="BA100" s="1322"/>
      <c r="BB100" s="1300" t="s">
        <v>608</v>
      </c>
      <c r="BC100" s="1300"/>
      <c r="BD100" s="1322"/>
      <c r="BE100" s="1299" t="s">
        <v>608</v>
      </c>
      <c r="BF100" s="1301" t="s">
        <v>608</v>
      </c>
    </row>
    <row r="101" spans="1:58">
      <c r="B101" s="857" t="s">
        <v>461</v>
      </c>
      <c r="D101" s="1316">
        <f>'Billing Units'!T74</f>
        <v>80</v>
      </c>
      <c r="E101" s="864">
        <f>'Rate Inputs'!T74</f>
        <v>5</v>
      </c>
      <c r="F101" s="864" t="str">
        <f>'Rate Inputs'!U74</f>
        <v>per month</v>
      </c>
      <c r="G101" s="864"/>
      <c r="H101" s="860">
        <f t="shared" ref="H101" si="101">D101*E101*12</f>
        <v>4800</v>
      </c>
      <c r="J101" s="1318">
        <f>'Billing Units'!V74</f>
        <v>80</v>
      </c>
      <c r="K101" s="1303">
        <f t="shared" ref="K101" si="102">W101</f>
        <v>5.8432101888780714</v>
      </c>
      <c r="L101" s="1320" t="str">
        <f>'Rate Inputs'!W74</f>
        <v>per month</v>
      </c>
      <c r="M101" s="864"/>
      <c r="N101" s="1305">
        <f t="shared" ref="N101" si="103">J101*K101*12</f>
        <v>5609.4817813229483</v>
      </c>
      <c r="O101" s="1317"/>
      <c r="P101" s="1047">
        <f t="shared" ref="P101" si="104">IF(AND(N101=0,NOT(H101=0)),0,N101-H101)</f>
        <v>809.48178132294834</v>
      </c>
      <c r="Q101" s="1043"/>
      <c r="R101" s="1074">
        <f t="shared" ref="R101" si="105">IF(D101=0,0,ROUND((N101-H101)/H101,9))</f>
        <v>0.16864203799999999</v>
      </c>
      <c r="T101" s="1123"/>
      <c r="W101" s="1319">
        <f>INDEX($X101:$AB101,MATCH($D$6,$X$8:$AB$8,0))</f>
        <v>5.8432101888780714</v>
      </c>
      <c r="X101" s="1349">
        <v>5</v>
      </c>
      <c r="Y101" s="1349">
        <v>5</v>
      </c>
      <c r="Z101" s="1349">
        <f>Y101</f>
        <v>5</v>
      </c>
      <c r="AA101" s="1350">
        <f t="shared" ref="AA101" si="106">AV101</f>
        <v>5.8432101888780714</v>
      </c>
      <c r="AB101" s="1351">
        <f t="shared" ref="AB101" si="107">BE101</f>
        <v>5.5293911760379002</v>
      </c>
      <c r="AG101" s="1316">
        <f t="shared" si="76"/>
        <v>80</v>
      </c>
      <c r="AH101" s="1296">
        <f t="shared" si="78"/>
        <v>5</v>
      </c>
      <c r="AI101" s="1318" t="s">
        <v>160</v>
      </c>
      <c r="AJ101" s="1297">
        <f t="shared" si="88"/>
        <v>4800</v>
      </c>
      <c r="AK101" s="1297"/>
      <c r="AL101" s="1318"/>
      <c r="AM101" s="1296">
        <f t="shared" si="93"/>
        <v>5.7887239045909578</v>
      </c>
      <c r="AN101" s="1298">
        <f t="shared" si="89"/>
        <v>5557.1749484073198</v>
      </c>
      <c r="AP101" s="1321">
        <v>80</v>
      </c>
      <c r="AQ101" s="1299">
        <v>5</v>
      </c>
      <c r="AR101" s="1322" t="s">
        <v>160</v>
      </c>
      <c r="AS101" s="1300">
        <v>4800</v>
      </c>
      <c r="AT101" s="1300"/>
      <c r="AU101" s="1322"/>
      <c r="AV101" s="1299">
        <v>5.8432101888780714</v>
      </c>
      <c r="AW101" s="1301">
        <v>5609.4817813229483</v>
      </c>
      <c r="AY101" s="1321">
        <v>80</v>
      </c>
      <c r="AZ101" s="1299">
        <v>5</v>
      </c>
      <c r="BA101" s="1322" t="s">
        <v>160</v>
      </c>
      <c r="BB101" s="1300">
        <v>4800</v>
      </c>
      <c r="BC101" s="1300"/>
      <c r="BD101" s="1322"/>
      <c r="BE101" s="1299">
        <v>5.5293911760379002</v>
      </c>
      <c r="BF101" s="1301">
        <v>5308.2155289963848</v>
      </c>
    </row>
    <row r="102" spans="1:58">
      <c r="B102" s="862"/>
      <c r="D102" s="1316"/>
      <c r="E102" s="864"/>
      <c r="F102" s="864"/>
      <c r="G102" s="864"/>
      <c r="H102" s="1317"/>
      <c r="J102" s="1318"/>
      <c r="K102" s="864"/>
      <c r="L102" s="1320"/>
      <c r="M102" s="864"/>
      <c r="N102" s="1292"/>
      <c r="O102" s="1317"/>
      <c r="P102" s="1293"/>
      <c r="R102" s="1294"/>
      <c r="T102" s="1123"/>
      <c r="W102" s="1319"/>
      <c r="X102" s="864"/>
      <c r="Y102" s="864"/>
      <c r="Z102" s="864"/>
      <c r="AA102" s="864"/>
      <c r="AB102" s="1320"/>
      <c r="AG102" s="1316" t="str">
        <f t="shared" si="76"/>
        <v/>
      </c>
      <c r="AH102" s="1296" t="str">
        <f t="shared" si="78"/>
        <v/>
      </c>
      <c r="AI102" s="1318"/>
      <c r="AJ102" s="1297" t="str">
        <f t="shared" si="88"/>
        <v/>
      </c>
      <c r="AK102" s="1297"/>
      <c r="AL102" s="1318"/>
      <c r="AM102" s="1296" t="str">
        <f t="shared" si="93"/>
        <v/>
      </c>
      <c r="AN102" s="1298" t="str">
        <f t="shared" si="89"/>
        <v/>
      </c>
      <c r="AP102" s="1321" t="s">
        <v>608</v>
      </c>
      <c r="AQ102" s="1299" t="s">
        <v>608</v>
      </c>
      <c r="AR102" s="1322"/>
      <c r="AS102" s="1300" t="s">
        <v>608</v>
      </c>
      <c r="AT102" s="1300"/>
      <c r="AU102" s="1322"/>
      <c r="AV102" s="1299" t="s">
        <v>608</v>
      </c>
      <c r="AW102" s="1301" t="s">
        <v>608</v>
      </c>
      <c r="AY102" s="1321" t="s">
        <v>608</v>
      </c>
      <c r="AZ102" s="1299" t="s">
        <v>608</v>
      </c>
      <c r="BA102" s="1322"/>
      <c r="BB102" s="1300" t="s">
        <v>608</v>
      </c>
      <c r="BC102" s="1300"/>
      <c r="BD102" s="1322"/>
      <c r="BE102" s="1299" t="s">
        <v>608</v>
      </c>
      <c r="BF102" s="1301" t="s">
        <v>608</v>
      </c>
    </row>
    <row r="103" spans="1:58">
      <c r="B103" s="846" t="s">
        <v>462</v>
      </c>
      <c r="D103" s="1316"/>
      <c r="E103" s="864"/>
      <c r="F103" s="864"/>
      <c r="G103" s="864"/>
      <c r="H103" s="1317"/>
      <c r="J103" s="1318"/>
      <c r="K103" s="864"/>
      <c r="L103" s="1320"/>
      <c r="M103" s="864"/>
      <c r="N103" s="1292"/>
      <c r="O103" s="1317"/>
      <c r="P103" s="1293"/>
      <c r="R103" s="1294"/>
      <c r="T103" s="1123"/>
      <c r="W103" s="1319"/>
      <c r="X103" s="864"/>
      <c r="Y103" s="864"/>
      <c r="Z103" s="864"/>
      <c r="AA103" s="864"/>
      <c r="AB103" s="1320"/>
      <c r="AG103" s="1316" t="str">
        <f t="shared" si="76"/>
        <v/>
      </c>
      <c r="AH103" s="1296" t="str">
        <f t="shared" si="78"/>
        <v/>
      </c>
      <c r="AI103" s="1318"/>
      <c r="AJ103" s="1297" t="str">
        <f t="shared" si="88"/>
        <v/>
      </c>
      <c r="AK103" s="1297"/>
      <c r="AL103" s="1318"/>
      <c r="AM103" s="1296" t="str">
        <f t="shared" si="93"/>
        <v/>
      </c>
      <c r="AN103" s="1298" t="str">
        <f t="shared" si="89"/>
        <v/>
      </c>
      <c r="AP103" s="1321" t="s">
        <v>608</v>
      </c>
      <c r="AQ103" s="1299" t="s">
        <v>608</v>
      </c>
      <c r="AR103" s="1322"/>
      <c r="AS103" s="1300" t="s">
        <v>608</v>
      </c>
      <c r="AT103" s="1300"/>
      <c r="AU103" s="1322"/>
      <c r="AV103" s="1299" t="s">
        <v>608</v>
      </c>
      <c r="AW103" s="1301" t="s">
        <v>608</v>
      </c>
      <c r="AY103" s="1321" t="s">
        <v>608</v>
      </c>
      <c r="AZ103" s="1299" t="s">
        <v>608</v>
      </c>
      <c r="BA103" s="1322"/>
      <c r="BB103" s="1300" t="s">
        <v>608</v>
      </c>
      <c r="BC103" s="1300"/>
      <c r="BD103" s="1322"/>
      <c r="BE103" s="1299" t="s">
        <v>608</v>
      </c>
      <c r="BF103" s="1301" t="s">
        <v>608</v>
      </c>
    </row>
    <row r="104" spans="1:58">
      <c r="B104" s="847" t="s">
        <v>474</v>
      </c>
      <c r="D104" s="1316">
        <f>'Billing Units'!T76</f>
        <v>700000</v>
      </c>
      <c r="E104" s="873">
        <f>'Rate Inputs'!T76+IF($D$7,$K$7,0)</f>
        <v>7.9411999999999996E-2</v>
      </c>
      <c r="F104" s="864" t="str">
        <f>'Rate Inputs'!U76</f>
        <v>per kWh</v>
      </c>
      <c r="G104" s="864"/>
      <c r="H104" s="860">
        <f>D104*E104</f>
        <v>55588.399999999994</v>
      </c>
      <c r="J104" s="1318">
        <f>'Billing Units'!V76</f>
        <v>700000</v>
      </c>
      <c r="K104" s="1180">
        <f>IF($W$10,W104,(1+$T$138)*E104)</f>
        <v>5.2927797890857574E-2</v>
      </c>
      <c r="L104" s="1320" t="str">
        <f>'Rate Inputs'!W76</f>
        <v>per kWh</v>
      </c>
      <c r="M104" s="864"/>
      <c r="N104" s="1305">
        <f>J104*K104</f>
        <v>37049.458523600304</v>
      </c>
      <c r="O104" s="1317"/>
      <c r="P104" s="1047">
        <f t="shared" ref="P104:P105" si="108">IF(AND(N104=0,NOT(H104=0)),0,N104-H104)</f>
        <v>-18538.94147639969</v>
      </c>
      <c r="Q104" s="1043"/>
      <c r="R104" s="1074">
        <f t="shared" ref="R104:R105" si="109">IF(D104=0,0,ROUND((N104-H104)/H104,9))</f>
        <v>-0.333503779</v>
      </c>
      <c r="T104" s="1123"/>
      <c r="W104" s="1319">
        <f>INDEX($X104:$AB104,MATCH($D$6,$X$8:$AB$8,0))</f>
        <v>5.2927797890857574E-2</v>
      </c>
      <c r="X104" s="1349">
        <v>4.5289999999999997E-2</v>
      </c>
      <c r="Y104" s="1358">
        <v>7.9411999999999996E-2</v>
      </c>
      <c r="Z104" s="1525">
        <v>7.852386755694285E-2</v>
      </c>
      <c r="AA104" s="1350">
        <f t="shared" ref="AA104" si="110">AV104</f>
        <v>5.2927797890857574E-2</v>
      </c>
      <c r="AB104" s="1351">
        <f t="shared" ref="AB104" si="111">BE104</f>
        <v>5.0085225272551298E-2</v>
      </c>
      <c r="AG104" s="1316">
        <f t="shared" si="76"/>
        <v>700000</v>
      </c>
      <c r="AH104" s="1296">
        <f t="shared" si="78"/>
        <v>7.9411999999999996E-2</v>
      </c>
      <c r="AI104" s="1318" t="s">
        <v>157</v>
      </c>
      <c r="AJ104" s="1297">
        <f t="shared" si="88"/>
        <v>55588.399999999994</v>
      </c>
      <c r="AK104" s="1297"/>
      <c r="AL104" s="1318"/>
      <c r="AM104" s="1296">
        <f t="shared" si="93"/>
        <v>9.1938828542275419E-2</v>
      </c>
      <c r="AN104" s="1298">
        <f t="shared" si="89"/>
        <v>64357.179979592795</v>
      </c>
      <c r="AP104" s="1321">
        <v>700000</v>
      </c>
      <c r="AQ104" s="1299">
        <v>4.5289999999999997E-2</v>
      </c>
      <c r="AR104" s="1322" t="s">
        <v>157</v>
      </c>
      <c r="AS104" s="1300">
        <v>31702.999999999996</v>
      </c>
      <c r="AT104" s="1300"/>
      <c r="AU104" s="1322"/>
      <c r="AV104" s="1299">
        <v>5.2927797890857574E-2</v>
      </c>
      <c r="AW104" s="1301">
        <v>37049.458523600304</v>
      </c>
      <c r="AY104" s="1321">
        <v>700000</v>
      </c>
      <c r="AZ104" s="1299">
        <v>4.5289999999999997E-2</v>
      </c>
      <c r="BA104" s="1322" t="s">
        <v>157</v>
      </c>
      <c r="BB104" s="1300">
        <v>31702.999999999996</v>
      </c>
      <c r="BC104" s="1300"/>
      <c r="BD104" s="1322"/>
      <c r="BE104" s="1299">
        <v>5.0085225272551298E-2</v>
      </c>
      <c r="BF104" s="1301">
        <v>35059.657690785905</v>
      </c>
    </row>
    <row r="105" spans="1:58" s="12" customFormat="1" ht="13.8" thickBot="1">
      <c r="A105" s="865"/>
      <c r="B105" s="866" t="s">
        <v>510</v>
      </c>
      <c r="C105" s="865"/>
      <c r="D105" s="1333">
        <f>D101</f>
        <v>80</v>
      </c>
      <c r="E105" s="868"/>
      <c r="F105" s="865"/>
      <c r="G105" s="868"/>
      <c r="H105" s="1334">
        <f>SUM(H101:H104)</f>
        <v>60388.399999999994</v>
      </c>
      <c r="I105" s="865"/>
      <c r="J105" s="1335">
        <f>J101</f>
        <v>80</v>
      </c>
      <c r="K105" s="868"/>
      <c r="L105" s="1336"/>
      <c r="M105" s="868"/>
      <c r="N105" s="1337">
        <f>SUM(N101:N104)</f>
        <v>42658.94030492325</v>
      </c>
      <c r="O105" s="1338"/>
      <c r="P105" s="1085">
        <f t="shared" si="108"/>
        <v>-17729.459695076745</v>
      </c>
      <c r="Q105" s="1081"/>
      <c r="R105" s="1086">
        <f t="shared" si="109"/>
        <v>-0.29359048599999998</v>
      </c>
      <c r="S105" s="865"/>
      <c r="T105" s="1123"/>
      <c r="U105" s="838"/>
      <c r="V105" s="773"/>
      <c r="W105" s="1339"/>
      <c r="X105" s="868"/>
      <c r="Y105" s="868"/>
      <c r="Z105" s="868"/>
      <c r="AA105" s="868"/>
      <c r="AB105" s="1340"/>
      <c r="AC105" s="773"/>
      <c r="AD105" s="789"/>
      <c r="AE105" s="865"/>
      <c r="AF105" s="865"/>
      <c r="AG105" s="1333">
        <f t="shared" si="76"/>
        <v>80</v>
      </c>
      <c r="AH105" s="1341" t="str">
        <f t="shared" si="78"/>
        <v/>
      </c>
      <c r="AI105" s="1335"/>
      <c r="AJ105" s="1342" t="str">
        <f t="shared" si="88"/>
        <v/>
      </c>
      <c r="AK105" s="1342"/>
      <c r="AL105" s="1335"/>
      <c r="AM105" s="1341" t="str">
        <f t="shared" si="93"/>
        <v/>
      </c>
      <c r="AN105" s="1343" t="str">
        <f t="shared" si="89"/>
        <v/>
      </c>
      <c r="AO105" s="865"/>
      <c r="AP105" s="1344">
        <v>80</v>
      </c>
      <c r="AQ105" s="1345" t="s">
        <v>608</v>
      </c>
      <c r="AR105" s="1346"/>
      <c r="AS105" s="1347" t="s">
        <v>608</v>
      </c>
      <c r="AT105" s="1347"/>
      <c r="AU105" s="1346"/>
      <c r="AV105" s="1345" t="s">
        <v>608</v>
      </c>
      <c r="AW105" s="1348" t="s">
        <v>608</v>
      </c>
      <c r="AX105" s="865"/>
      <c r="AY105" s="1344">
        <v>80</v>
      </c>
      <c r="AZ105" s="1345" t="s">
        <v>608</v>
      </c>
      <c r="BA105" s="1346"/>
      <c r="BB105" s="1347" t="s">
        <v>608</v>
      </c>
      <c r="BC105" s="1347"/>
      <c r="BD105" s="1346"/>
      <c r="BE105" s="1345" t="s">
        <v>608</v>
      </c>
      <c r="BF105" s="1348" t="s">
        <v>608</v>
      </c>
    </row>
    <row r="106" spans="1:58" ht="13.8" thickTop="1">
      <c r="B106" s="862"/>
      <c r="D106" s="1316"/>
      <c r="E106" s="864"/>
      <c r="G106" s="864"/>
      <c r="H106" s="1317"/>
      <c r="J106" s="1318"/>
      <c r="K106" s="864"/>
      <c r="L106" s="780"/>
      <c r="M106" s="864"/>
      <c r="N106" s="1292"/>
      <c r="O106" s="1317"/>
      <c r="P106" s="1293"/>
      <c r="R106" s="1294"/>
      <c r="T106" s="1123"/>
      <c r="W106" s="1319"/>
      <c r="X106" s="864"/>
      <c r="Y106" s="864"/>
      <c r="Z106" s="864"/>
      <c r="AA106" s="864"/>
      <c r="AB106" s="1320"/>
      <c r="AG106" s="1316" t="str">
        <f t="shared" si="76"/>
        <v/>
      </c>
      <c r="AH106" s="1296" t="str">
        <f t="shared" si="78"/>
        <v/>
      </c>
      <c r="AI106" s="1318"/>
      <c r="AJ106" s="1297" t="str">
        <f t="shared" si="88"/>
        <v/>
      </c>
      <c r="AK106" s="1297"/>
      <c r="AL106" s="1318"/>
      <c r="AM106" s="1296" t="str">
        <f t="shared" si="93"/>
        <v/>
      </c>
      <c r="AN106" s="1298" t="str">
        <f t="shared" si="89"/>
        <v/>
      </c>
      <c r="AP106" s="1321" t="s">
        <v>608</v>
      </c>
      <c r="AQ106" s="1299" t="s">
        <v>608</v>
      </c>
      <c r="AR106" s="1322"/>
      <c r="AS106" s="1300" t="s">
        <v>608</v>
      </c>
      <c r="AT106" s="1300"/>
      <c r="AU106" s="1322"/>
      <c r="AV106" s="1299" t="s">
        <v>608</v>
      </c>
      <c r="AW106" s="1301" t="s">
        <v>608</v>
      </c>
      <c r="AY106" s="1321" t="s">
        <v>608</v>
      </c>
      <c r="AZ106" s="1299" t="s">
        <v>608</v>
      </c>
      <c r="BA106" s="1322"/>
      <c r="BB106" s="1300" t="s">
        <v>608</v>
      </c>
      <c r="BC106" s="1300"/>
      <c r="BD106" s="1322"/>
      <c r="BE106" s="1299" t="s">
        <v>608</v>
      </c>
      <c r="BF106" s="1301" t="s">
        <v>608</v>
      </c>
    </row>
    <row r="107" spans="1:58">
      <c r="B107" s="855" t="s">
        <v>25</v>
      </c>
      <c r="D107" s="1316"/>
      <c r="E107" s="864"/>
      <c r="G107" s="864"/>
      <c r="H107" s="1317"/>
      <c r="J107" s="1318"/>
      <c r="K107" s="864"/>
      <c r="L107" s="780"/>
      <c r="M107" s="864"/>
      <c r="N107" s="1292"/>
      <c r="O107" s="1317"/>
      <c r="P107" s="1293"/>
      <c r="R107" s="1294"/>
      <c r="T107" s="1123"/>
      <c r="W107" s="1319"/>
      <c r="X107" s="864"/>
      <c r="Y107" s="864"/>
      <c r="Z107" s="864"/>
      <c r="AA107" s="864"/>
      <c r="AB107" s="1320"/>
      <c r="AG107" s="1316" t="str">
        <f t="shared" si="76"/>
        <v/>
      </c>
      <c r="AH107" s="1296" t="str">
        <f t="shared" si="78"/>
        <v/>
      </c>
      <c r="AI107" s="1318"/>
      <c r="AJ107" s="1297" t="str">
        <f t="shared" si="88"/>
        <v/>
      </c>
      <c r="AK107" s="1297"/>
      <c r="AL107" s="1318"/>
      <c r="AM107" s="1296" t="str">
        <f t="shared" si="93"/>
        <v/>
      </c>
      <c r="AN107" s="1298" t="str">
        <f t="shared" si="89"/>
        <v/>
      </c>
      <c r="AP107" s="1321" t="s">
        <v>608</v>
      </c>
      <c r="AQ107" s="1299" t="s">
        <v>608</v>
      </c>
      <c r="AR107" s="1322"/>
      <c r="AS107" s="1300" t="s">
        <v>608</v>
      </c>
      <c r="AT107" s="1300"/>
      <c r="AU107" s="1322"/>
      <c r="AV107" s="1299" t="s">
        <v>608</v>
      </c>
      <c r="AW107" s="1301" t="s">
        <v>608</v>
      </c>
      <c r="AY107" s="1321" t="s">
        <v>608</v>
      </c>
      <c r="AZ107" s="1299" t="s">
        <v>608</v>
      </c>
      <c r="BA107" s="1322"/>
      <c r="BB107" s="1300" t="s">
        <v>608</v>
      </c>
      <c r="BC107" s="1300"/>
      <c r="BD107" s="1322"/>
      <c r="BE107" s="1299" t="s">
        <v>608</v>
      </c>
      <c r="BF107" s="1301" t="s">
        <v>608</v>
      </c>
    </row>
    <row r="108" spans="1:58">
      <c r="B108" s="862"/>
      <c r="D108" s="1316"/>
      <c r="E108" s="864"/>
      <c r="G108" s="864"/>
      <c r="H108" s="1317"/>
      <c r="J108" s="1318"/>
      <c r="K108" s="864"/>
      <c r="L108" s="780"/>
      <c r="M108" s="864"/>
      <c r="N108" s="1292"/>
      <c r="O108" s="1317"/>
      <c r="P108" s="1293"/>
      <c r="R108" s="1294"/>
      <c r="T108" s="1123"/>
      <c r="W108" s="1319"/>
      <c r="X108" s="864"/>
      <c r="Y108" s="864"/>
      <c r="Z108" s="864"/>
      <c r="AA108" s="864"/>
      <c r="AB108" s="1320"/>
      <c r="AG108" s="1316" t="str">
        <f t="shared" si="76"/>
        <v/>
      </c>
      <c r="AH108" s="1296" t="str">
        <f t="shared" si="78"/>
        <v/>
      </c>
      <c r="AI108" s="1318"/>
      <c r="AJ108" s="1297" t="str">
        <f t="shared" si="88"/>
        <v/>
      </c>
      <c r="AK108" s="1297"/>
      <c r="AL108" s="1318"/>
      <c r="AM108" s="1296" t="str">
        <f t="shared" si="93"/>
        <v/>
      </c>
      <c r="AN108" s="1298" t="str">
        <f t="shared" si="89"/>
        <v/>
      </c>
      <c r="AP108" s="1321" t="s">
        <v>608</v>
      </c>
      <c r="AQ108" s="1299" t="s">
        <v>608</v>
      </c>
      <c r="AR108" s="1322"/>
      <c r="AS108" s="1300" t="s">
        <v>608</v>
      </c>
      <c r="AT108" s="1300"/>
      <c r="AU108" s="1322"/>
      <c r="AV108" s="1299" t="s">
        <v>608</v>
      </c>
      <c r="AW108" s="1301" t="s">
        <v>608</v>
      </c>
      <c r="AY108" s="1321" t="s">
        <v>608</v>
      </c>
      <c r="AZ108" s="1299" t="s">
        <v>608</v>
      </c>
      <c r="BA108" s="1322"/>
      <c r="BB108" s="1300" t="s">
        <v>608</v>
      </c>
      <c r="BC108" s="1300"/>
      <c r="BD108" s="1322"/>
      <c r="BE108" s="1299" t="s">
        <v>608</v>
      </c>
      <c r="BF108" s="1301" t="s">
        <v>608</v>
      </c>
    </row>
    <row r="109" spans="1:58">
      <c r="B109" s="846" t="s">
        <v>462</v>
      </c>
      <c r="D109" s="1316"/>
      <c r="E109" s="864"/>
      <c r="G109" s="864"/>
      <c r="H109" s="1317"/>
      <c r="J109" s="1318"/>
      <c r="K109" s="864"/>
      <c r="L109" s="780"/>
      <c r="M109" s="864"/>
      <c r="N109" s="1292"/>
      <c r="O109" s="1317"/>
      <c r="P109" s="1293"/>
      <c r="R109" s="1294"/>
      <c r="T109" s="1123"/>
      <c r="W109" s="1319"/>
      <c r="X109" s="864"/>
      <c r="Y109" s="864"/>
      <c r="Z109" s="864"/>
      <c r="AA109" s="864"/>
      <c r="AB109" s="1320"/>
      <c r="AG109" s="1316" t="str">
        <f t="shared" si="76"/>
        <v/>
      </c>
      <c r="AH109" s="1296" t="str">
        <f t="shared" si="78"/>
        <v/>
      </c>
      <c r="AI109" s="1318"/>
      <c r="AJ109" s="1297" t="str">
        <f t="shared" si="88"/>
        <v/>
      </c>
      <c r="AK109" s="1297"/>
      <c r="AL109" s="1318"/>
      <c r="AM109" s="1296" t="str">
        <f t="shared" si="93"/>
        <v/>
      </c>
      <c r="AN109" s="1298" t="str">
        <f t="shared" si="89"/>
        <v/>
      </c>
      <c r="AP109" s="1321" t="s">
        <v>608</v>
      </c>
      <c r="AQ109" s="1299" t="s">
        <v>608</v>
      </c>
      <c r="AR109" s="1322"/>
      <c r="AS109" s="1300" t="s">
        <v>608</v>
      </c>
      <c r="AT109" s="1300"/>
      <c r="AU109" s="1322"/>
      <c r="AV109" s="1299" t="s">
        <v>608</v>
      </c>
      <c r="AW109" s="1301" t="s">
        <v>608</v>
      </c>
      <c r="AY109" s="1321" t="s">
        <v>608</v>
      </c>
      <c r="AZ109" s="1299" t="s">
        <v>608</v>
      </c>
      <c r="BA109" s="1322"/>
      <c r="BB109" s="1300" t="s">
        <v>608</v>
      </c>
      <c r="BC109" s="1300"/>
      <c r="BD109" s="1322"/>
      <c r="BE109" s="1299" t="s">
        <v>608</v>
      </c>
      <c r="BF109" s="1301" t="s">
        <v>608</v>
      </c>
    </row>
    <row r="110" spans="1:58">
      <c r="B110" s="847" t="s">
        <v>474</v>
      </c>
      <c r="D110" s="1316">
        <f>'Billing Units'!T79</f>
        <v>1400000</v>
      </c>
      <c r="E110" s="873">
        <f>'Rate Inputs'!T79+IF($D$7,$K$7,0)</f>
        <v>9.3411999999999995E-2</v>
      </c>
      <c r="F110" s="864" t="str">
        <f>'Rate Inputs'!U79</f>
        <v>per kWh</v>
      </c>
      <c r="G110" s="864"/>
      <c r="H110" s="860">
        <f>D110*E110</f>
        <v>130776.79999999999</v>
      </c>
      <c r="J110" s="1318">
        <f>'Billing Units'!V79</f>
        <v>1400000</v>
      </c>
      <c r="K110" s="1180">
        <f>IF($W$10,W110,(1+$T$138)*E110)</f>
        <v>6.9288786419716183E-2</v>
      </c>
      <c r="L110" s="1320" t="str">
        <f>'Rate Inputs'!W79</f>
        <v>per kWh</v>
      </c>
      <c r="M110" s="864"/>
      <c r="N110" s="1305">
        <f>J110*K110</f>
        <v>97004.300987602663</v>
      </c>
      <c r="O110" s="1317"/>
      <c r="P110" s="1047">
        <f>IF(AND(N110=0,NOT(H110=0)),0,N110-H110)</f>
        <v>-33772.499012397326</v>
      </c>
      <c r="Q110" s="1043"/>
      <c r="R110" s="1074">
        <f t="shared" ref="R110:R111" si="112">IF(D110=0,0,ROUND((N110-H110)/H110,9))</f>
        <v>-0.25824533900000002</v>
      </c>
      <c r="T110" s="1123"/>
      <c r="W110" s="1319">
        <f>INDEX($X110:$AB110,MATCH($D$6,$X$8:$AB$8,0))</f>
        <v>6.9288786419716183E-2</v>
      </c>
      <c r="X110" s="1349">
        <v>5.9290000000000002E-2</v>
      </c>
      <c r="Y110" s="1358">
        <v>9.3411999999999995E-2</v>
      </c>
      <c r="Z110" s="1525">
        <v>9.2367293560534247E-2</v>
      </c>
      <c r="AA110" s="1350">
        <f t="shared" ref="AA110" si="113">AV110</f>
        <v>6.9288786419716183E-2</v>
      </c>
      <c r="AB110" s="1351">
        <f t="shared" ref="AB110" si="114">BE110</f>
        <v>6.5567520565457421E-2</v>
      </c>
      <c r="AG110" s="1316">
        <f t="shared" ref="AG110:AG134" si="115">IF(J110="","",J110)</f>
        <v>1400000</v>
      </c>
      <c r="AH110" s="1296">
        <f t="shared" si="78"/>
        <v>9.3411999999999995E-2</v>
      </c>
      <c r="AI110" s="1318" t="s">
        <v>157</v>
      </c>
      <c r="AJ110" s="1297">
        <f t="shared" si="88"/>
        <v>130776.79999999999</v>
      </c>
      <c r="AK110" s="1297"/>
      <c r="AL110" s="1318"/>
      <c r="AM110" s="1296">
        <f t="shared" si="93"/>
        <v>0.1081472554751301</v>
      </c>
      <c r="AN110" s="1298">
        <f t="shared" si="89"/>
        <v>151406.15766518214</v>
      </c>
      <c r="AP110" s="1321">
        <v>1400000</v>
      </c>
      <c r="AQ110" s="1299">
        <v>5.9290000000000002E-2</v>
      </c>
      <c r="AR110" s="1322" t="s">
        <v>157</v>
      </c>
      <c r="AS110" s="1300">
        <v>83006</v>
      </c>
      <c r="AT110" s="1300"/>
      <c r="AU110" s="1322"/>
      <c r="AV110" s="1299">
        <v>6.9288786419716183E-2</v>
      </c>
      <c r="AW110" s="1301">
        <v>97004.300987602663</v>
      </c>
      <c r="AY110" s="1321">
        <v>1400000</v>
      </c>
      <c r="AZ110" s="1299">
        <v>5.9290000000000002E-2</v>
      </c>
      <c r="BA110" s="1322" t="s">
        <v>157</v>
      </c>
      <c r="BB110" s="1300">
        <v>83006</v>
      </c>
      <c r="BC110" s="1300"/>
      <c r="BD110" s="1322"/>
      <c r="BE110" s="1299">
        <v>6.5567520565457421E-2</v>
      </c>
      <c r="BF110" s="1301">
        <v>91794.52879164039</v>
      </c>
    </row>
    <row r="111" spans="1:58" s="12" customFormat="1" ht="13.8" thickBot="1">
      <c r="A111" s="865"/>
      <c r="B111" s="866" t="s">
        <v>511</v>
      </c>
      <c r="C111" s="865"/>
      <c r="D111" s="1333">
        <f>SUM(D109:D110)</f>
        <v>1400000</v>
      </c>
      <c r="E111" s="868"/>
      <c r="F111" s="865"/>
      <c r="G111" s="868"/>
      <c r="H111" s="1334">
        <f>SUM(H109:H110)</f>
        <v>130776.79999999999</v>
      </c>
      <c r="I111" s="865"/>
      <c r="J111" s="1335">
        <f>SUM(J109:J110)</f>
        <v>1400000</v>
      </c>
      <c r="K111" s="868"/>
      <c r="L111" s="1336"/>
      <c r="M111" s="868"/>
      <c r="N111" s="1337">
        <f>SUM(N109:N110)</f>
        <v>97004.300987602663</v>
      </c>
      <c r="O111" s="1338"/>
      <c r="P111" s="1085">
        <f>IF(AND(N111=0,NOT(H111=0)),0,N111-H111)</f>
        <v>-33772.499012397326</v>
      </c>
      <c r="Q111" s="1081"/>
      <c r="R111" s="1086">
        <f t="shared" si="112"/>
        <v>-0.25824533900000002</v>
      </c>
      <c r="S111" s="865"/>
      <c r="T111" s="1123"/>
      <c r="U111" s="838"/>
      <c r="V111" s="773"/>
      <c r="W111" s="1339"/>
      <c r="X111" s="868"/>
      <c r="Y111" s="868"/>
      <c r="Z111" s="868"/>
      <c r="AA111" s="868"/>
      <c r="AB111" s="1340"/>
      <c r="AC111" s="773"/>
      <c r="AD111" s="789"/>
      <c r="AE111" s="865"/>
      <c r="AF111" s="865"/>
      <c r="AG111" s="1333">
        <f t="shared" si="115"/>
        <v>1400000</v>
      </c>
      <c r="AH111" s="1341" t="str">
        <f t="shared" si="78"/>
        <v/>
      </c>
      <c r="AI111" s="1335"/>
      <c r="AJ111" s="1342" t="str">
        <f t="shared" si="88"/>
        <v/>
      </c>
      <c r="AK111" s="1342"/>
      <c r="AL111" s="1335"/>
      <c r="AM111" s="1341" t="str">
        <f t="shared" si="93"/>
        <v/>
      </c>
      <c r="AN111" s="1343" t="str">
        <f t="shared" si="89"/>
        <v/>
      </c>
      <c r="AO111" s="865"/>
      <c r="AP111" s="1344">
        <v>1400000</v>
      </c>
      <c r="AQ111" s="1345" t="s">
        <v>608</v>
      </c>
      <c r="AR111" s="1346"/>
      <c r="AS111" s="1347" t="s">
        <v>608</v>
      </c>
      <c r="AT111" s="1347"/>
      <c r="AU111" s="1346"/>
      <c r="AV111" s="1345" t="s">
        <v>608</v>
      </c>
      <c r="AW111" s="1348" t="s">
        <v>608</v>
      </c>
      <c r="AX111" s="865"/>
      <c r="AY111" s="1344">
        <v>1400000</v>
      </c>
      <c r="AZ111" s="1345" t="s">
        <v>608</v>
      </c>
      <c r="BA111" s="1346"/>
      <c r="BB111" s="1347" t="s">
        <v>608</v>
      </c>
      <c r="BC111" s="1347"/>
      <c r="BD111" s="1346"/>
      <c r="BE111" s="1345" t="s">
        <v>608</v>
      </c>
      <c r="BF111" s="1348" t="s">
        <v>608</v>
      </c>
    </row>
    <row r="112" spans="1:58" ht="13.8" thickTop="1">
      <c r="B112" s="862"/>
      <c r="D112" s="1316"/>
      <c r="E112" s="864"/>
      <c r="G112" s="864"/>
      <c r="H112" s="1317"/>
      <c r="J112" s="1318"/>
      <c r="K112" s="864"/>
      <c r="L112" s="780"/>
      <c r="M112" s="864"/>
      <c r="N112" s="1292"/>
      <c r="O112" s="1317"/>
      <c r="P112" s="1293"/>
      <c r="R112" s="1294"/>
      <c r="T112" s="1123"/>
      <c r="W112" s="1319"/>
      <c r="X112" s="864"/>
      <c r="Y112" s="864"/>
      <c r="Z112" s="864"/>
      <c r="AA112" s="864"/>
      <c r="AB112" s="1320"/>
      <c r="AG112" s="1316" t="str">
        <f t="shared" si="115"/>
        <v/>
      </c>
      <c r="AH112" s="1296" t="str">
        <f t="shared" si="78"/>
        <v/>
      </c>
      <c r="AI112" s="1318"/>
      <c r="AJ112" s="1297" t="str">
        <f t="shared" si="88"/>
        <v/>
      </c>
      <c r="AK112" s="1297"/>
      <c r="AL112" s="1318"/>
      <c r="AM112" s="1296" t="str">
        <f t="shared" si="93"/>
        <v/>
      </c>
      <c r="AN112" s="1298" t="str">
        <f t="shared" si="89"/>
        <v/>
      </c>
      <c r="AP112" s="1321" t="s">
        <v>608</v>
      </c>
      <c r="AQ112" s="1299" t="s">
        <v>608</v>
      </c>
      <c r="AR112" s="1322"/>
      <c r="AS112" s="1300" t="s">
        <v>608</v>
      </c>
      <c r="AT112" s="1300"/>
      <c r="AU112" s="1322"/>
      <c r="AV112" s="1299" t="s">
        <v>608</v>
      </c>
      <c r="AW112" s="1301" t="s">
        <v>608</v>
      </c>
      <c r="AY112" s="1321" t="s">
        <v>608</v>
      </c>
      <c r="AZ112" s="1299" t="s">
        <v>608</v>
      </c>
      <c r="BA112" s="1322"/>
      <c r="BB112" s="1300" t="s">
        <v>608</v>
      </c>
      <c r="BC112" s="1300"/>
      <c r="BD112" s="1322"/>
      <c r="BE112" s="1299" t="s">
        <v>608</v>
      </c>
      <c r="BF112" s="1301" t="s">
        <v>608</v>
      </c>
    </row>
    <row r="113" spans="1:58">
      <c r="B113" s="855" t="s">
        <v>26</v>
      </c>
      <c r="D113" s="1316"/>
      <c r="E113" s="864"/>
      <c r="G113" s="864"/>
      <c r="H113" s="1317"/>
      <c r="J113" s="1318"/>
      <c r="K113" s="864"/>
      <c r="L113" s="780"/>
      <c r="M113" s="864"/>
      <c r="N113" s="1292"/>
      <c r="O113" s="1317"/>
      <c r="P113" s="1293"/>
      <c r="R113" s="1294"/>
      <c r="T113" s="1123"/>
      <c r="W113" s="1319"/>
      <c r="X113" s="864"/>
      <c r="Y113" s="864"/>
      <c r="Z113" s="864"/>
      <c r="AA113" s="864"/>
      <c r="AB113" s="1320"/>
      <c r="AG113" s="1316" t="str">
        <f t="shared" si="115"/>
        <v/>
      </c>
      <c r="AH113" s="1296" t="str">
        <f t="shared" ref="AH113:AH134" si="116">IF(E113="","",E113)</f>
        <v/>
      </c>
      <c r="AI113" s="1318"/>
      <c r="AJ113" s="1297" t="str">
        <f t="shared" si="88"/>
        <v/>
      </c>
      <c r="AK113" s="1297"/>
      <c r="AL113" s="1318"/>
      <c r="AM113" s="1296" t="str">
        <f t="shared" si="93"/>
        <v/>
      </c>
      <c r="AN113" s="1298" t="str">
        <f t="shared" si="89"/>
        <v/>
      </c>
      <c r="AP113" s="1321" t="s">
        <v>608</v>
      </c>
      <c r="AQ113" s="1299" t="s">
        <v>608</v>
      </c>
      <c r="AR113" s="1322"/>
      <c r="AS113" s="1300" t="s">
        <v>608</v>
      </c>
      <c r="AT113" s="1300"/>
      <c r="AU113" s="1322"/>
      <c r="AV113" s="1299" t="s">
        <v>608</v>
      </c>
      <c r="AW113" s="1301" t="s">
        <v>608</v>
      </c>
      <c r="AY113" s="1321" t="s">
        <v>608</v>
      </c>
      <c r="AZ113" s="1299" t="s">
        <v>608</v>
      </c>
      <c r="BA113" s="1322"/>
      <c r="BB113" s="1300" t="s">
        <v>608</v>
      </c>
      <c r="BC113" s="1300"/>
      <c r="BD113" s="1322"/>
      <c r="BE113" s="1299" t="s">
        <v>608</v>
      </c>
      <c r="BF113" s="1301" t="s">
        <v>608</v>
      </c>
    </row>
    <row r="114" spans="1:58">
      <c r="B114" s="869"/>
      <c r="D114" s="1316"/>
      <c r="E114" s="864"/>
      <c r="G114" s="864"/>
      <c r="H114" s="1317"/>
      <c r="J114" s="1318"/>
      <c r="K114" s="864"/>
      <c r="L114" s="780"/>
      <c r="M114" s="864"/>
      <c r="N114" s="1292"/>
      <c r="O114" s="1317"/>
      <c r="P114" s="1293"/>
      <c r="R114" s="1294"/>
      <c r="T114" s="1123"/>
      <c r="W114" s="1319"/>
      <c r="X114" s="864"/>
      <c r="Y114" s="864"/>
      <c r="Z114" s="864"/>
      <c r="AA114" s="864"/>
      <c r="AB114" s="1320"/>
      <c r="AG114" s="1316" t="str">
        <f t="shared" si="115"/>
        <v/>
      </c>
      <c r="AH114" s="1296" t="str">
        <f t="shared" si="116"/>
        <v/>
      </c>
      <c r="AI114" s="1318"/>
      <c r="AJ114" s="1297" t="str">
        <f t="shared" si="88"/>
        <v/>
      </c>
      <c r="AK114" s="1297"/>
      <c r="AL114" s="1318"/>
      <c r="AM114" s="1296" t="str">
        <f t="shared" si="93"/>
        <v/>
      </c>
      <c r="AN114" s="1298" t="str">
        <f t="shared" si="89"/>
        <v/>
      </c>
      <c r="AP114" s="1321" t="s">
        <v>608</v>
      </c>
      <c r="AQ114" s="1299" t="s">
        <v>608</v>
      </c>
      <c r="AR114" s="1322"/>
      <c r="AS114" s="1300" t="s">
        <v>608</v>
      </c>
      <c r="AT114" s="1300"/>
      <c r="AU114" s="1322"/>
      <c r="AV114" s="1299" t="s">
        <v>608</v>
      </c>
      <c r="AW114" s="1301" t="s">
        <v>608</v>
      </c>
      <c r="AY114" s="1321" t="s">
        <v>608</v>
      </c>
      <c r="AZ114" s="1299" t="s">
        <v>608</v>
      </c>
      <c r="BA114" s="1322"/>
      <c r="BB114" s="1300" t="s">
        <v>608</v>
      </c>
      <c r="BC114" s="1300"/>
      <c r="BD114" s="1322"/>
      <c r="BE114" s="1299" t="s">
        <v>608</v>
      </c>
      <c r="BF114" s="1301" t="s">
        <v>608</v>
      </c>
    </row>
    <row r="115" spans="1:58">
      <c r="B115" s="857" t="s">
        <v>461</v>
      </c>
      <c r="D115" s="1316">
        <f>'Billing Units'!T82</f>
        <v>1038</v>
      </c>
      <c r="E115" s="864">
        <f>'Rate Inputs'!T82</f>
        <v>5</v>
      </c>
      <c r="F115" s="864" t="str">
        <f>'Rate Inputs'!U74</f>
        <v>per month</v>
      </c>
      <c r="G115" s="864"/>
      <c r="H115" s="860">
        <f t="shared" ref="H115" si="117">D115*E115*12</f>
        <v>62280</v>
      </c>
      <c r="J115" s="1318">
        <f>'Billing Units'!V82</f>
        <v>1038</v>
      </c>
      <c r="K115" s="1303">
        <f t="shared" ref="K115" si="118">W115</f>
        <v>5.8432101888780714</v>
      </c>
      <c r="L115" s="1320" t="str">
        <f>'Rate Inputs'!W74</f>
        <v>per month</v>
      </c>
      <c r="M115" s="864"/>
      <c r="N115" s="1305">
        <f t="shared" ref="N115" si="119">J115*K115*12</f>
        <v>72783.026112665262</v>
      </c>
      <c r="O115" s="1317"/>
      <c r="P115" s="1047">
        <f>IF(AND(N115=0,NOT(H115=0)),0,N115-H115)</f>
        <v>10503.026112665262</v>
      </c>
      <c r="Q115" s="1043"/>
      <c r="R115" s="1074">
        <f t="shared" ref="R115" si="120">IF(D115=0,0,ROUND((N115-H115)/H115,9))</f>
        <v>0.16864203799999999</v>
      </c>
      <c r="T115" s="1123"/>
      <c r="W115" s="1319">
        <f>INDEX($X115:$AB115,MATCH($D$6,$X$8:$AB$8,0))</f>
        <v>5.8432101888780714</v>
      </c>
      <c r="X115" s="1349">
        <v>5</v>
      </c>
      <c r="Y115" s="1349">
        <v>5</v>
      </c>
      <c r="Z115" s="1349">
        <f>Y115</f>
        <v>5</v>
      </c>
      <c r="AA115" s="1350">
        <f t="shared" ref="AA115" si="121">AV115</f>
        <v>5.8432101888780714</v>
      </c>
      <c r="AB115" s="1351">
        <f t="shared" ref="AB115" si="122">BE115</f>
        <v>5.5293911760379002</v>
      </c>
      <c r="AG115" s="1316">
        <f t="shared" si="115"/>
        <v>1038</v>
      </c>
      <c r="AH115" s="1296">
        <f t="shared" si="116"/>
        <v>5</v>
      </c>
      <c r="AI115" s="1318" t="s">
        <v>160</v>
      </c>
      <c r="AJ115" s="1297">
        <f t="shared" si="88"/>
        <v>62280</v>
      </c>
      <c r="AK115" s="1297"/>
      <c r="AL115" s="1318"/>
      <c r="AM115" s="1296">
        <f t="shared" si="93"/>
        <v>5.7887239045909578</v>
      </c>
      <c r="AN115" s="1298">
        <f t="shared" si="89"/>
        <v>72104.344955584966</v>
      </c>
      <c r="AP115" s="1321">
        <v>1038</v>
      </c>
      <c r="AQ115" s="1299">
        <v>5</v>
      </c>
      <c r="AR115" s="1322" t="s">
        <v>160</v>
      </c>
      <c r="AS115" s="1300">
        <v>62280</v>
      </c>
      <c r="AT115" s="1300"/>
      <c r="AU115" s="1322"/>
      <c r="AV115" s="1299">
        <v>5.8432101888780714</v>
      </c>
      <c r="AW115" s="1301">
        <v>72783.026112665262</v>
      </c>
      <c r="AY115" s="1321">
        <v>1034.9166666666667</v>
      </c>
      <c r="AZ115" s="1299">
        <v>5</v>
      </c>
      <c r="BA115" s="1322" t="s">
        <v>160</v>
      </c>
      <c r="BB115" s="1300">
        <v>62095.000000000007</v>
      </c>
      <c r="BC115" s="1300"/>
      <c r="BD115" s="1322"/>
      <c r="BE115" s="1299">
        <v>5.5293911760379002</v>
      </c>
      <c r="BF115" s="1301">
        <v>68669.509015214688</v>
      </c>
    </row>
    <row r="116" spans="1:58">
      <c r="B116" s="862"/>
      <c r="D116" s="1316"/>
      <c r="E116" s="864"/>
      <c r="F116" s="864"/>
      <c r="G116" s="864"/>
      <c r="H116" s="1317"/>
      <c r="J116" s="1318"/>
      <c r="K116" s="864"/>
      <c r="L116" s="1320"/>
      <c r="M116" s="864"/>
      <c r="N116" s="1292"/>
      <c r="O116" s="1317"/>
      <c r="P116" s="1293"/>
      <c r="R116" s="1294"/>
      <c r="T116" s="1123"/>
      <c r="W116" s="1319"/>
      <c r="X116" s="864"/>
      <c r="Y116" s="864"/>
      <c r="Z116" s="864"/>
      <c r="AA116" s="864"/>
      <c r="AB116" s="1320"/>
      <c r="AG116" s="1316" t="str">
        <f t="shared" si="115"/>
        <v/>
      </c>
      <c r="AH116" s="1296" t="str">
        <f t="shared" si="116"/>
        <v/>
      </c>
      <c r="AI116" s="1318"/>
      <c r="AJ116" s="1297" t="str">
        <f t="shared" si="88"/>
        <v/>
      </c>
      <c r="AK116" s="1297"/>
      <c r="AL116" s="1318"/>
      <c r="AM116" s="1296" t="str">
        <f t="shared" si="93"/>
        <v/>
      </c>
      <c r="AN116" s="1298" t="str">
        <f t="shared" si="89"/>
        <v/>
      </c>
      <c r="AP116" s="1321" t="s">
        <v>608</v>
      </c>
      <c r="AQ116" s="1299" t="s">
        <v>608</v>
      </c>
      <c r="AR116" s="1322"/>
      <c r="AS116" s="1300" t="s">
        <v>608</v>
      </c>
      <c r="AT116" s="1300"/>
      <c r="AU116" s="1322"/>
      <c r="AV116" s="1299" t="s">
        <v>608</v>
      </c>
      <c r="AW116" s="1301" t="s">
        <v>608</v>
      </c>
      <c r="AY116" s="1321" t="s">
        <v>608</v>
      </c>
      <c r="AZ116" s="1299" t="s">
        <v>608</v>
      </c>
      <c r="BA116" s="1322"/>
      <c r="BB116" s="1300" t="s">
        <v>608</v>
      </c>
      <c r="BC116" s="1300"/>
      <c r="BD116" s="1322"/>
      <c r="BE116" s="1299" t="s">
        <v>608</v>
      </c>
      <c r="BF116" s="1301" t="s">
        <v>608</v>
      </c>
    </row>
    <row r="117" spans="1:58">
      <c r="B117" s="846" t="s">
        <v>462</v>
      </c>
      <c r="D117" s="1316"/>
      <c r="E117" s="864"/>
      <c r="F117" s="864"/>
      <c r="G117" s="864"/>
      <c r="H117" s="1317"/>
      <c r="J117" s="1318"/>
      <c r="K117" s="864"/>
      <c r="L117" s="1320"/>
      <c r="M117" s="864"/>
      <c r="N117" s="1292"/>
      <c r="O117" s="1317"/>
      <c r="P117" s="1293"/>
      <c r="R117" s="1294"/>
      <c r="T117" s="1123"/>
      <c r="W117" s="1319"/>
      <c r="X117" s="864"/>
      <c r="Y117" s="864"/>
      <c r="Z117" s="864"/>
      <c r="AA117" s="864"/>
      <c r="AB117" s="1320"/>
      <c r="AG117" s="1316" t="str">
        <f t="shared" si="115"/>
        <v/>
      </c>
      <c r="AH117" s="1296" t="str">
        <f t="shared" si="116"/>
        <v/>
      </c>
      <c r="AI117" s="1318"/>
      <c r="AJ117" s="1297" t="str">
        <f t="shared" si="88"/>
        <v/>
      </c>
      <c r="AK117" s="1297"/>
      <c r="AL117" s="1318"/>
      <c r="AM117" s="1296" t="str">
        <f t="shared" si="93"/>
        <v/>
      </c>
      <c r="AN117" s="1298" t="str">
        <f t="shared" si="89"/>
        <v/>
      </c>
      <c r="AP117" s="1321" t="s">
        <v>608</v>
      </c>
      <c r="AQ117" s="1299" t="s">
        <v>608</v>
      </c>
      <c r="AR117" s="1322"/>
      <c r="AS117" s="1300" t="s">
        <v>608</v>
      </c>
      <c r="AT117" s="1300"/>
      <c r="AU117" s="1322"/>
      <c r="AV117" s="1299" t="s">
        <v>608</v>
      </c>
      <c r="AW117" s="1301" t="s">
        <v>608</v>
      </c>
      <c r="AY117" s="1321" t="s">
        <v>608</v>
      </c>
      <c r="AZ117" s="1299" t="s">
        <v>608</v>
      </c>
      <c r="BA117" s="1322"/>
      <c r="BB117" s="1300" t="s">
        <v>608</v>
      </c>
      <c r="BC117" s="1300"/>
      <c r="BD117" s="1322"/>
      <c r="BE117" s="1299" t="s">
        <v>608</v>
      </c>
      <c r="BF117" s="1301" t="s">
        <v>608</v>
      </c>
    </row>
    <row r="118" spans="1:58">
      <c r="B118" s="847" t="s">
        <v>474</v>
      </c>
      <c r="D118" s="1316">
        <f>'Billing Units'!T84</f>
        <v>13000000</v>
      </c>
      <c r="E118" s="873">
        <f>'Rate Inputs'!T84+IF($D$7,$K$7,0)</f>
        <v>7.9411999999999996E-2</v>
      </c>
      <c r="F118" s="864" t="str">
        <f>'Rate Inputs'!U76</f>
        <v>per kWh</v>
      </c>
      <c r="G118" s="864"/>
      <c r="H118" s="860">
        <f>D118*E118</f>
        <v>1032356</v>
      </c>
      <c r="J118" s="1318">
        <f>'Billing Units'!V84</f>
        <v>13000000</v>
      </c>
      <c r="K118" s="1180">
        <f>IF($W$10,W118,(1+$T$138)*E118)</f>
        <v>5.2927797890857574E-2</v>
      </c>
      <c r="L118" s="1320" t="str">
        <f>'Rate Inputs'!W76</f>
        <v>per kWh</v>
      </c>
      <c r="M118" s="864"/>
      <c r="N118" s="1305">
        <f>J118*K118</f>
        <v>688061.3725811484</v>
      </c>
      <c r="O118" s="1317"/>
      <c r="P118" s="1047">
        <f>IF(AND(N118=0,NOT(H118=0)),0,N118-H118)</f>
        <v>-344294.6274188516</v>
      </c>
      <c r="Q118" s="1043"/>
      <c r="R118" s="1074">
        <f t="shared" ref="R118:R119" si="123">IF(D118=0,0,ROUND((N118-H118)/H118,9))</f>
        <v>-0.333503779</v>
      </c>
      <c r="T118" s="1123"/>
      <c r="W118" s="1319">
        <f>INDEX($X118:$AB118,MATCH($D$6,$X$8:$AB$8,0))</f>
        <v>5.2927797890857574E-2</v>
      </c>
      <c r="X118" s="1349">
        <v>4.5289999999999997E-2</v>
      </c>
      <c r="Y118" s="1358">
        <v>7.9411999999999996E-2</v>
      </c>
      <c r="Z118" s="1525">
        <v>7.852386755694285E-2</v>
      </c>
      <c r="AA118" s="1350">
        <f t="shared" ref="AA118" si="124">AV118</f>
        <v>5.2927797890857574E-2</v>
      </c>
      <c r="AB118" s="1351">
        <f t="shared" ref="AB118" si="125">BE118</f>
        <v>5.0085225272551298E-2</v>
      </c>
      <c r="AG118" s="1316">
        <f t="shared" si="115"/>
        <v>13000000</v>
      </c>
      <c r="AH118" s="1296">
        <f t="shared" si="116"/>
        <v>7.9411999999999996E-2</v>
      </c>
      <c r="AI118" s="1318" t="s">
        <v>157</v>
      </c>
      <c r="AJ118" s="1297">
        <f>IFERROR(IF(AG118*AH118 = 0, "", AG118*AH118) * IF(OR(AI118 = "per month",AI118 = "per booth",AI118 = "per bus shelter",AI118 = "per strobe light"),12,1),"")</f>
        <v>1032356</v>
      </c>
      <c r="AK118" s="1297"/>
      <c r="AL118" s="1318"/>
      <c r="AM118" s="1296">
        <f t="shared" si="93"/>
        <v>9.1938828542275419E-2</v>
      </c>
      <c r="AN118" s="1298">
        <f t="shared" si="89"/>
        <v>1195204.7710495805</v>
      </c>
      <c r="AP118" s="1321">
        <v>13000000</v>
      </c>
      <c r="AQ118" s="1299">
        <v>4.5289999999999997E-2</v>
      </c>
      <c r="AR118" s="1322" t="s">
        <v>157</v>
      </c>
      <c r="AS118" s="1300">
        <v>588770</v>
      </c>
      <c r="AT118" s="1300"/>
      <c r="AU118" s="1322"/>
      <c r="AV118" s="1299">
        <v>5.2927797890857574E-2</v>
      </c>
      <c r="AW118" s="1301">
        <v>688061.3725811484</v>
      </c>
      <c r="AY118" s="1321">
        <v>13000000</v>
      </c>
      <c r="AZ118" s="1299">
        <v>4.5289999999999997E-2</v>
      </c>
      <c r="BA118" s="1322" t="s">
        <v>157</v>
      </c>
      <c r="BB118" s="1300">
        <v>588770</v>
      </c>
      <c r="BC118" s="1300"/>
      <c r="BD118" s="1322"/>
      <c r="BE118" s="1299">
        <v>5.0085225272551298E-2</v>
      </c>
      <c r="BF118" s="1301">
        <v>651107.92854316684</v>
      </c>
    </row>
    <row r="119" spans="1:58" s="12" customFormat="1" ht="13.8" thickBot="1">
      <c r="A119" s="865"/>
      <c r="B119" s="866" t="s">
        <v>512</v>
      </c>
      <c r="C119" s="865"/>
      <c r="D119" s="1333">
        <f>D115</f>
        <v>1038</v>
      </c>
      <c r="E119" s="868"/>
      <c r="F119" s="865"/>
      <c r="G119" s="868"/>
      <c r="H119" s="1334">
        <f>SUM(H115:H118)</f>
        <v>1094636</v>
      </c>
      <c r="I119" s="865"/>
      <c r="J119" s="1335">
        <f>J115</f>
        <v>1038</v>
      </c>
      <c r="K119" s="868"/>
      <c r="L119" s="1336"/>
      <c r="M119" s="868"/>
      <c r="N119" s="1337">
        <f>SUM(N115:N118)</f>
        <v>760844.39869381371</v>
      </c>
      <c r="O119" s="1338"/>
      <c r="P119" s="1085">
        <f>IF(AND(N119=0,NOT(H119=0)),0,N119-H119)</f>
        <v>-333791.60130618629</v>
      </c>
      <c r="Q119" s="1081"/>
      <c r="R119" s="1086">
        <f t="shared" si="123"/>
        <v>-0.30493387900000002</v>
      </c>
      <c r="S119" s="865"/>
      <c r="T119" s="1123"/>
      <c r="U119" s="838"/>
      <c r="V119" s="773"/>
      <c r="W119" s="1339"/>
      <c r="X119" s="868"/>
      <c r="Y119" s="868"/>
      <c r="Z119" s="868"/>
      <c r="AA119" s="868"/>
      <c r="AB119" s="1340"/>
      <c r="AC119" s="773"/>
      <c r="AD119" s="789"/>
      <c r="AE119" s="865"/>
      <c r="AF119" s="865"/>
      <c r="AG119" s="1333">
        <f t="shared" si="115"/>
        <v>1038</v>
      </c>
      <c r="AH119" s="1341" t="str">
        <f t="shared" si="116"/>
        <v/>
      </c>
      <c r="AI119" s="1335"/>
      <c r="AJ119" s="1342" t="str">
        <f t="shared" ref="AJ119:AJ133" si="126">IFERROR(IF(AG119*AH119 = 0, "", AG119*AH119) * IF(OR(AI119 = "per month",AI119 = "per booth",AI119 = "per bus shelter",AI119 = "per strobe light"),12,1),"")</f>
        <v/>
      </c>
      <c r="AK119" s="1342"/>
      <c r="AL119" s="1335"/>
      <c r="AM119" s="1341" t="str">
        <f t="shared" si="93"/>
        <v/>
      </c>
      <c r="AN119" s="1343" t="str">
        <f t="shared" si="89"/>
        <v/>
      </c>
      <c r="AO119" s="865"/>
      <c r="AP119" s="1344">
        <v>1038</v>
      </c>
      <c r="AQ119" s="1345" t="s">
        <v>608</v>
      </c>
      <c r="AR119" s="1346"/>
      <c r="AS119" s="1347" t="s">
        <v>608</v>
      </c>
      <c r="AT119" s="1347"/>
      <c r="AU119" s="1346"/>
      <c r="AV119" s="1345" t="s">
        <v>608</v>
      </c>
      <c r="AW119" s="1348" t="s">
        <v>608</v>
      </c>
      <c r="AX119" s="865"/>
      <c r="AY119" s="1344">
        <v>1034.9166666666667</v>
      </c>
      <c r="AZ119" s="1345" t="s">
        <v>608</v>
      </c>
      <c r="BA119" s="1346"/>
      <c r="BB119" s="1347" t="s">
        <v>608</v>
      </c>
      <c r="BC119" s="1347"/>
      <c r="BD119" s="1346"/>
      <c r="BE119" s="1345" t="s">
        <v>608</v>
      </c>
      <c r="BF119" s="1348" t="s">
        <v>608</v>
      </c>
    </row>
    <row r="120" spans="1:58" ht="13.8" thickTop="1">
      <c r="B120" s="862"/>
      <c r="D120" s="1316"/>
      <c r="E120" s="864"/>
      <c r="G120" s="864"/>
      <c r="H120" s="1317"/>
      <c r="J120" s="1318"/>
      <c r="K120" s="864"/>
      <c r="L120" s="780"/>
      <c r="M120" s="864"/>
      <c r="N120" s="1292"/>
      <c r="O120" s="1317"/>
      <c r="P120" s="1293"/>
      <c r="R120" s="1294"/>
      <c r="T120" s="1123"/>
      <c r="W120" s="1319"/>
      <c r="X120" s="864"/>
      <c r="Y120" s="864"/>
      <c r="Z120" s="864"/>
      <c r="AA120" s="864"/>
      <c r="AB120" s="1320"/>
      <c r="AG120" s="1316" t="str">
        <f t="shared" si="115"/>
        <v/>
      </c>
      <c r="AH120" s="1296" t="str">
        <f t="shared" si="116"/>
        <v/>
      </c>
      <c r="AI120" s="1318"/>
      <c r="AJ120" s="1297" t="str">
        <f t="shared" si="126"/>
        <v/>
      </c>
      <c r="AK120" s="1297"/>
      <c r="AL120" s="1318"/>
      <c r="AM120" s="1296" t="str">
        <f t="shared" si="93"/>
        <v/>
      </c>
      <c r="AN120" s="1298" t="str">
        <f t="shared" si="89"/>
        <v/>
      </c>
      <c r="AP120" s="1321" t="s">
        <v>608</v>
      </c>
      <c r="AQ120" s="1299" t="s">
        <v>608</v>
      </c>
      <c r="AR120" s="1322"/>
      <c r="AS120" s="1300" t="s">
        <v>608</v>
      </c>
      <c r="AT120" s="1300"/>
      <c r="AU120" s="1322"/>
      <c r="AV120" s="1299" t="s">
        <v>608</v>
      </c>
      <c r="AW120" s="1301" t="s">
        <v>608</v>
      </c>
      <c r="AY120" s="1321" t="s">
        <v>608</v>
      </c>
      <c r="AZ120" s="1299" t="s">
        <v>608</v>
      </c>
      <c r="BA120" s="1322"/>
      <c r="BB120" s="1300" t="s">
        <v>608</v>
      </c>
      <c r="BC120" s="1300"/>
      <c r="BD120" s="1322"/>
      <c r="BE120" s="1299" t="s">
        <v>608</v>
      </c>
      <c r="BF120" s="1301" t="s">
        <v>608</v>
      </c>
    </row>
    <row r="121" spans="1:58">
      <c r="B121" s="855" t="s">
        <v>27</v>
      </c>
      <c r="D121" s="1316"/>
      <c r="E121" s="864"/>
      <c r="G121" s="864"/>
      <c r="H121" s="1317"/>
      <c r="J121" s="1318"/>
      <c r="K121" s="864"/>
      <c r="L121" s="780"/>
      <c r="M121" s="864"/>
      <c r="N121" s="1292"/>
      <c r="O121" s="1317"/>
      <c r="P121" s="1293"/>
      <c r="R121" s="1294"/>
      <c r="T121" s="1123"/>
      <c r="W121" s="1319"/>
      <c r="X121" s="864"/>
      <c r="Y121" s="864"/>
      <c r="Z121" s="864"/>
      <c r="AA121" s="864"/>
      <c r="AB121" s="1320"/>
      <c r="AG121" s="1316" t="str">
        <f t="shared" si="115"/>
        <v/>
      </c>
      <c r="AH121" s="1296" t="str">
        <f t="shared" si="116"/>
        <v/>
      </c>
      <c r="AI121" s="1318"/>
      <c r="AJ121" s="1297" t="str">
        <f t="shared" si="126"/>
        <v/>
      </c>
      <c r="AK121" s="1297"/>
      <c r="AL121" s="1318"/>
      <c r="AM121" s="1296" t="str">
        <f t="shared" si="93"/>
        <v/>
      </c>
      <c r="AN121" s="1298" t="str">
        <f t="shared" si="89"/>
        <v/>
      </c>
      <c r="AP121" s="1321" t="s">
        <v>608</v>
      </c>
      <c r="AQ121" s="1299" t="s">
        <v>608</v>
      </c>
      <c r="AR121" s="1322"/>
      <c r="AS121" s="1300" t="s">
        <v>608</v>
      </c>
      <c r="AT121" s="1300"/>
      <c r="AU121" s="1322"/>
      <c r="AV121" s="1299" t="s">
        <v>608</v>
      </c>
      <c r="AW121" s="1301" t="s">
        <v>608</v>
      </c>
      <c r="AY121" s="1321" t="s">
        <v>608</v>
      </c>
      <c r="AZ121" s="1299" t="s">
        <v>608</v>
      </c>
      <c r="BA121" s="1322"/>
      <c r="BB121" s="1300" t="s">
        <v>608</v>
      </c>
      <c r="BC121" s="1300"/>
      <c r="BD121" s="1322"/>
      <c r="BE121" s="1299" t="s">
        <v>608</v>
      </c>
      <c r="BF121" s="1301" t="s">
        <v>608</v>
      </c>
    </row>
    <row r="122" spans="1:58">
      <c r="B122" s="862"/>
      <c r="D122" s="1316"/>
      <c r="E122" s="864"/>
      <c r="G122" s="864"/>
      <c r="H122" s="1317"/>
      <c r="J122" s="1318"/>
      <c r="K122" s="864"/>
      <c r="L122" s="780"/>
      <c r="M122" s="864"/>
      <c r="N122" s="1292"/>
      <c r="O122" s="1317"/>
      <c r="P122" s="1293"/>
      <c r="R122" s="1294"/>
      <c r="T122" s="1123"/>
      <c r="W122" s="1319"/>
      <c r="X122" s="864"/>
      <c r="Y122" s="864"/>
      <c r="Z122" s="864"/>
      <c r="AA122" s="864"/>
      <c r="AB122" s="1320"/>
      <c r="AG122" s="1316" t="str">
        <f t="shared" si="115"/>
        <v/>
      </c>
      <c r="AH122" s="1296" t="str">
        <f t="shared" si="116"/>
        <v/>
      </c>
      <c r="AI122" s="1318"/>
      <c r="AJ122" s="1297" t="str">
        <f t="shared" si="126"/>
        <v/>
      </c>
      <c r="AK122" s="1297"/>
      <c r="AL122" s="1318"/>
      <c r="AM122" s="1296" t="str">
        <f t="shared" si="93"/>
        <v/>
      </c>
      <c r="AN122" s="1298" t="str">
        <f t="shared" si="89"/>
        <v/>
      </c>
      <c r="AP122" s="1321" t="s">
        <v>608</v>
      </c>
      <c r="AQ122" s="1299" t="s">
        <v>608</v>
      </c>
      <c r="AR122" s="1322"/>
      <c r="AS122" s="1300" t="s">
        <v>608</v>
      </c>
      <c r="AT122" s="1300"/>
      <c r="AU122" s="1322"/>
      <c r="AV122" s="1299" t="s">
        <v>608</v>
      </c>
      <c r="AW122" s="1301" t="s">
        <v>608</v>
      </c>
      <c r="AY122" s="1321" t="s">
        <v>608</v>
      </c>
      <c r="AZ122" s="1299" t="s">
        <v>608</v>
      </c>
      <c r="BA122" s="1322"/>
      <c r="BB122" s="1300" t="s">
        <v>608</v>
      </c>
      <c r="BC122" s="1300"/>
      <c r="BD122" s="1322"/>
      <c r="BE122" s="1299" t="s">
        <v>608</v>
      </c>
      <c r="BF122" s="1301" t="s">
        <v>608</v>
      </c>
    </row>
    <row r="123" spans="1:58">
      <c r="B123" s="857" t="s">
        <v>504</v>
      </c>
      <c r="D123" s="1316">
        <f>'Billing Units'!T87</f>
        <v>12</v>
      </c>
      <c r="E123" s="864">
        <f>'Rate Inputs'!T87</f>
        <v>1.51</v>
      </c>
      <c r="F123" s="864" t="str">
        <f>'Rate Inputs'!U87</f>
        <v>per booth</v>
      </c>
      <c r="G123" s="864"/>
      <c r="H123" s="860">
        <f t="shared" ref="H123" si="127">D123*E123*12</f>
        <v>217.44</v>
      </c>
      <c r="J123" s="1318">
        <f>'Billing Units'!V87</f>
        <v>12</v>
      </c>
      <c r="K123" s="1303">
        <f>W123</f>
        <v>1.7646494770411778</v>
      </c>
      <c r="L123" s="1320" t="str">
        <f>'Rate Inputs'!W87</f>
        <v>per booth</v>
      </c>
      <c r="M123" s="864"/>
      <c r="N123" s="1305">
        <f t="shared" ref="N123" si="128">J123*K123*12</f>
        <v>254.10952469392961</v>
      </c>
      <c r="O123" s="1317"/>
      <c r="P123" s="1047">
        <f>IF(AND(N123=0,NOT(H123=0)),0,N123-H123)</f>
        <v>36.669524693929617</v>
      </c>
      <c r="Q123" s="1043"/>
      <c r="R123" s="1074">
        <f t="shared" ref="R123" si="129">IF(D123=0,0,ROUND((N123-H123)/H123,9))</f>
        <v>0.16864203799999999</v>
      </c>
      <c r="T123" s="1123"/>
      <c r="W123" s="1319">
        <f>INDEX($X123:$AB123,MATCH($D$6,$X$8:$AB$8,0))</f>
        <v>1.7646494770411778</v>
      </c>
      <c r="X123" s="1349">
        <v>1.51</v>
      </c>
      <c r="Y123" s="1349">
        <v>1.51</v>
      </c>
      <c r="Z123" s="1349">
        <f>Y123</f>
        <v>1.51</v>
      </c>
      <c r="AA123" s="1350">
        <f t="shared" ref="AA123" si="130">AV123</f>
        <v>1.7646494770411778</v>
      </c>
      <c r="AB123" s="1351">
        <f t="shared" ref="AB123" si="131">BE123</f>
        <v>1.6698761351634459</v>
      </c>
      <c r="AG123" s="1316">
        <f t="shared" si="115"/>
        <v>12</v>
      </c>
      <c r="AH123" s="1296">
        <f t="shared" si="116"/>
        <v>1.51</v>
      </c>
      <c r="AI123" s="1318" t="s">
        <v>169</v>
      </c>
      <c r="AJ123" s="1297">
        <f t="shared" si="126"/>
        <v>217.44</v>
      </c>
      <c r="AK123" s="1297"/>
      <c r="AL123" s="1318"/>
      <c r="AM123" s="1296">
        <f t="shared" si="93"/>
        <v>1.7481946191864692</v>
      </c>
      <c r="AN123" s="1298">
        <f>IFERROR(IF(AG123*AM123 = 0, "", AG123*AM123) * IF(OR(AI123 = "per month",AI123 = "per booth",AI123 = "per bus shelter",AI123 = "per strobe light"),12,1),"")</f>
        <v>251.74002516285157</v>
      </c>
      <c r="AP123" s="1321">
        <v>12</v>
      </c>
      <c r="AQ123" s="1299">
        <v>1.51</v>
      </c>
      <c r="AR123" s="1322" t="s">
        <v>169</v>
      </c>
      <c r="AS123" s="1300">
        <v>217.44</v>
      </c>
      <c r="AT123" s="1300"/>
      <c r="AU123" s="1322"/>
      <c r="AV123" s="1299">
        <v>1.7646494770411778</v>
      </c>
      <c r="AW123" s="1301">
        <v>254.10952469392961</v>
      </c>
      <c r="AY123" s="1321">
        <v>12</v>
      </c>
      <c r="AZ123" s="1299">
        <v>1.51</v>
      </c>
      <c r="BA123" s="1322" t="s">
        <v>169</v>
      </c>
      <c r="BB123" s="1300">
        <v>217.44</v>
      </c>
      <c r="BC123" s="1300"/>
      <c r="BD123" s="1322"/>
      <c r="BE123" s="1299">
        <v>1.6698761351634459</v>
      </c>
      <c r="BF123" s="1301">
        <v>240.4621634635362</v>
      </c>
    </row>
    <row r="124" spans="1:58" s="12" customFormat="1" ht="13.8" thickBot="1">
      <c r="A124" s="865"/>
      <c r="B124" s="866" t="s">
        <v>513</v>
      </c>
      <c r="C124" s="865"/>
      <c r="D124" s="1333">
        <f>SUM(D123:D123)</f>
        <v>12</v>
      </c>
      <c r="E124" s="868"/>
      <c r="F124" s="865"/>
      <c r="G124" s="868"/>
      <c r="H124" s="1334">
        <f>SUM(H123:H123)</f>
        <v>217.44</v>
      </c>
      <c r="I124" s="865"/>
      <c r="J124" s="1335">
        <f>J123</f>
        <v>12</v>
      </c>
      <c r="K124" s="868"/>
      <c r="L124" s="1336"/>
      <c r="M124" s="868"/>
      <c r="N124" s="1337">
        <f>SUM(N123:N123)</f>
        <v>254.10952469392961</v>
      </c>
      <c r="O124" s="1338"/>
      <c r="P124" s="1085">
        <f>IF(AND(N124=0,NOT(H124=0)),0,N124-H124)</f>
        <v>36.669524693929617</v>
      </c>
      <c r="Q124" s="1081"/>
      <c r="R124" s="1086">
        <f t="shared" ref="R124" si="132">IF(D124=0,0,ROUND((N124-H124)/H124,9))</f>
        <v>0.16864203799999999</v>
      </c>
      <c r="S124" s="865"/>
      <c r="T124" s="1123"/>
      <c r="U124" s="838"/>
      <c r="V124" s="773"/>
      <c r="W124" s="1339"/>
      <c r="X124" s="868"/>
      <c r="Y124" s="868"/>
      <c r="Z124" s="868"/>
      <c r="AA124" s="868"/>
      <c r="AB124" s="1340"/>
      <c r="AC124" s="773"/>
      <c r="AD124" s="789"/>
      <c r="AE124" s="865"/>
      <c r="AF124" s="865"/>
      <c r="AG124" s="1333">
        <f t="shared" si="115"/>
        <v>12</v>
      </c>
      <c r="AH124" s="1341" t="str">
        <f t="shared" si="116"/>
        <v/>
      </c>
      <c r="AI124" s="1335"/>
      <c r="AJ124" s="1342" t="str">
        <f t="shared" si="126"/>
        <v/>
      </c>
      <c r="AK124" s="1342"/>
      <c r="AL124" s="1335"/>
      <c r="AM124" s="1341" t="str">
        <f t="shared" si="93"/>
        <v/>
      </c>
      <c r="AN124" s="1343" t="str">
        <f t="shared" si="89"/>
        <v/>
      </c>
      <c r="AO124" s="865"/>
      <c r="AP124" s="1344">
        <v>12</v>
      </c>
      <c r="AQ124" s="1345" t="s">
        <v>608</v>
      </c>
      <c r="AR124" s="1346"/>
      <c r="AS124" s="1347" t="s">
        <v>608</v>
      </c>
      <c r="AT124" s="1347"/>
      <c r="AU124" s="1346"/>
      <c r="AV124" s="1345" t="s">
        <v>608</v>
      </c>
      <c r="AW124" s="1348" t="s">
        <v>608</v>
      </c>
      <c r="AX124" s="865"/>
      <c r="AY124" s="1344">
        <v>12</v>
      </c>
      <c r="AZ124" s="1345" t="s">
        <v>608</v>
      </c>
      <c r="BA124" s="1346"/>
      <c r="BB124" s="1347" t="s">
        <v>608</v>
      </c>
      <c r="BC124" s="1347"/>
      <c r="BD124" s="1346"/>
      <c r="BE124" s="1345" t="s">
        <v>608</v>
      </c>
      <c r="BF124" s="1348" t="s">
        <v>608</v>
      </c>
    </row>
    <row r="125" spans="1:58" ht="13.8" thickTop="1">
      <c r="B125" s="862"/>
      <c r="D125" s="1316"/>
      <c r="E125" s="864"/>
      <c r="G125" s="864"/>
      <c r="H125" s="1317"/>
      <c r="J125" s="1318"/>
      <c r="K125" s="864"/>
      <c r="L125" s="780"/>
      <c r="M125" s="864"/>
      <c r="N125" s="1292"/>
      <c r="O125" s="1317"/>
      <c r="P125" s="1293"/>
      <c r="R125" s="1294"/>
      <c r="T125" s="1123"/>
      <c r="W125" s="1319"/>
      <c r="X125" s="864"/>
      <c r="Y125" s="864"/>
      <c r="Z125" s="864"/>
      <c r="AA125" s="864"/>
      <c r="AB125" s="1320"/>
      <c r="AG125" s="1316" t="str">
        <f t="shared" si="115"/>
        <v/>
      </c>
      <c r="AH125" s="1296" t="str">
        <f t="shared" si="116"/>
        <v/>
      </c>
      <c r="AI125" s="1318"/>
      <c r="AJ125" s="1297" t="str">
        <f t="shared" si="126"/>
        <v/>
      </c>
      <c r="AK125" s="1297"/>
      <c r="AL125" s="1318"/>
      <c r="AM125" s="1296" t="str">
        <f t="shared" si="93"/>
        <v/>
      </c>
      <c r="AN125" s="1298" t="str">
        <f t="shared" si="89"/>
        <v/>
      </c>
      <c r="AP125" s="1321" t="s">
        <v>608</v>
      </c>
      <c r="AQ125" s="1299" t="s">
        <v>608</v>
      </c>
      <c r="AR125" s="1322"/>
      <c r="AS125" s="1300" t="s">
        <v>608</v>
      </c>
      <c r="AT125" s="1300"/>
      <c r="AU125" s="1322"/>
      <c r="AV125" s="1299" t="s">
        <v>608</v>
      </c>
      <c r="AW125" s="1301" t="s">
        <v>608</v>
      </c>
      <c r="AY125" s="1321" t="s">
        <v>608</v>
      </c>
      <c r="AZ125" s="1299" t="s">
        <v>608</v>
      </c>
      <c r="BA125" s="1322"/>
      <c r="BB125" s="1300" t="s">
        <v>608</v>
      </c>
      <c r="BC125" s="1300"/>
      <c r="BD125" s="1322"/>
      <c r="BE125" s="1299" t="s">
        <v>608</v>
      </c>
      <c r="BF125" s="1301" t="s">
        <v>608</v>
      </c>
    </row>
    <row r="126" spans="1:58">
      <c r="B126" s="855" t="s">
        <v>28</v>
      </c>
      <c r="D126" s="1316"/>
      <c r="E126" s="864"/>
      <c r="G126" s="864"/>
      <c r="H126" s="1317"/>
      <c r="J126" s="1318"/>
      <c r="K126" s="864"/>
      <c r="L126" s="780"/>
      <c r="M126" s="864"/>
      <c r="N126" s="1292"/>
      <c r="O126" s="1317"/>
      <c r="P126" s="1293"/>
      <c r="R126" s="1294"/>
      <c r="T126" s="1123"/>
      <c r="V126" s="692"/>
      <c r="W126" s="1319"/>
      <c r="X126" s="864"/>
      <c r="Y126" s="864"/>
      <c r="Z126" s="864"/>
      <c r="AA126" s="864"/>
      <c r="AB126" s="1320"/>
      <c r="AC126" s="692"/>
      <c r="AG126" s="1316" t="str">
        <f t="shared" si="115"/>
        <v/>
      </c>
      <c r="AH126" s="1296" t="str">
        <f t="shared" si="116"/>
        <v/>
      </c>
      <c r="AI126" s="1318"/>
      <c r="AJ126" s="1297" t="str">
        <f t="shared" si="126"/>
        <v/>
      </c>
      <c r="AK126" s="1297"/>
      <c r="AL126" s="1318"/>
      <c r="AM126" s="1296" t="str">
        <f t="shared" si="93"/>
        <v/>
      </c>
      <c r="AN126" s="1298" t="str">
        <f t="shared" si="89"/>
        <v/>
      </c>
      <c r="AP126" s="1321" t="s">
        <v>608</v>
      </c>
      <c r="AQ126" s="1299" t="s">
        <v>608</v>
      </c>
      <c r="AR126" s="1322"/>
      <c r="AS126" s="1300" t="s">
        <v>608</v>
      </c>
      <c r="AT126" s="1300"/>
      <c r="AU126" s="1322"/>
      <c r="AV126" s="1299" t="s">
        <v>608</v>
      </c>
      <c r="AW126" s="1301" t="s">
        <v>608</v>
      </c>
      <c r="AY126" s="1321" t="s">
        <v>608</v>
      </c>
      <c r="AZ126" s="1299" t="s">
        <v>608</v>
      </c>
      <c r="BA126" s="1322"/>
      <c r="BB126" s="1300" t="s">
        <v>608</v>
      </c>
      <c r="BC126" s="1300"/>
      <c r="BD126" s="1322"/>
      <c r="BE126" s="1299" t="s">
        <v>608</v>
      </c>
      <c r="BF126" s="1301" t="s">
        <v>608</v>
      </c>
    </row>
    <row r="127" spans="1:58">
      <c r="B127" s="862"/>
      <c r="D127" s="1316"/>
      <c r="E127" s="864"/>
      <c r="G127" s="864"/>
      <c r="H127" s="1317"/>
      <c r="J127" s="1318"/>
      <c r="K127" s="864"/>
      <c r="L127" s="780"/>
      <c r="M127" s="864"/>
      <c r="N127" s="1292"/>
      <c r="O127" s="1317"/>
      <c r="P127" s="1293"/>
      <c r="R127" s="1294"/>
      <c r="T127" s="1123"/>
      <c r="V127" s="692"/>
      <c r="W127" s="1319"/>
      <c r="X127" s="864"/>
      <c r="Y127" s="864"/>
      <c r="Z127" s="864"/>
      <c r="AA127" s="864"/>
      <c r="AB127" s="1320"/>
      <c r="AC127" s="692"/>
      <c r="AG127" s="1316" t="str">
        <f t="shared" si="115"/>
        <v/>
      </c>
      <c r="AH127" s="1296" t="str">
        <f t="shared" si="116"/>
        <v/>
      </c>
      <c r="AI127" s="1318"/>
      <c r="AJ127" s="1297" t="str">
        <f t="shared" si="126"/>
        <v/>
      </c>
      <c r="AK127" s="1297"/>
      <c r="AL127" s="1318"/>
      <c r="AM127" s="1296" t="str">
        <f t="shared" si="93"/>
        <v/>
      </c>
      <c r="AN127" s="1298" t="str">
        <f t="shared" si="89"/>
        <v/>
      </c>
      <c r="AP127" s="1321" t="s">
        <v>608</v>
      </c>
      <c r="AQ127" s="1299" t="s">
        <v>608</v>
      </c>
      <c r="AR127" s="1322"/>
      <c r="AS127" s="1300" t="s">
        <v>608</v>
      </c>
      <c r="AT127" s="1300"/>
      <c r="AU127" s="1322"/>
      <c r="AV127" s="1299" t="s">
        <v>608</v>
      </c>
      <c r="AW127" s="1301" t="s">
        <v>608</v>
      </c>
      <c r="AY127" s="1321" t="s">
        <v>608</v>
      </c>
      <c r="AZ127" s="1299" t="s">
        <v>608</v>
      </c>
      <c r="BA127" s="1322"/>
      <c r="BB127" s="1300" t="s">
        <v>608</v>
      </c>
      <c r="BC127" s="1300"/>
      <c r="BD127" s="1322"/>
      <c r="BE127" s="1299" t="s">
        <v>608</v>
      </c>
      <c r="BF127" s="1301" t="s">
        <v>608</v>
      </c>
    </row>
    <row r="128" spans="1:58">
      <c r="B128" s="857" t="s">
        <v>504</v>
      </c>
      <c r="D128" s="1316">
        <f>'Billing Units'!T90</f>
        <v>26</v>
      </c>
      <c r="E128" s="864">
        <f>'Rate Inputs'!T90</f>
        <v>7.51</v>
      </c>
      <c r="F128" s="864" t="str">
        <f>'Rate Inputs'!U90</f>
        <v>per bus shelter</v>
      </c>
      <c r="G128" s="864"/>
      <c r="H128" s="860">
        <f t="shared" ref="H128" si="133">D128*E128*12</f>
        <v>2343.12</v>
      </c>
      <c r="J128" s="1318">
        <f>'Billing Units'!V90</f>
        <v>26</v>
      </c>
      <c r="K128" s="1303">
        <f>W128</f>
        <v>8.7765017036948638</v>
      </c>
      <c r="L128" s="1320" t="str">
        <f>'Rate Inputs'!W90</f>
        <v>per bus shelter</v>
      </c>
      <c r="M128" s="864"/>
      <c r="N128" s="1305">
        <f t="shared" ref="N128" si="134">J128*K128*12</f>
        <v>2738.2685315527979</v>
      </c>
      <c r="O128" s="1317"/>
      <c r="P128" s="1047">
        <f>IF(AND(N128=0,NOT(H128=0)),0,N128-H128)</f>
        <v>395.14853155279798</v>
      </c>
      <c r="Q128" s="1043"/>
      <c r="R128" s="1074">
        <f t="shared" ref="R128:R129" si="135">IF(D128=0,0,ROUND((N128-H128)/H128,9))</f>
        <v>0.16864203799999999</v>
      </c>
      <c r="T128" s="1123"/>
      <c r="V128" s="692"/>
      <c r="W128" s="1319">
        <f>INDEX($X128:$AB128,MATCH($D$6,$X$8:$AB$8,0))</f>
        <v>8.7765017036948638</v>
      </c>
      <c r="X128" s="1349">
        <v>7.51</v>
      </c>
      <c r="Y128" s="1349">
        <v>7.51</v>
      </c>
      <c r="Z128" s="1349">
        <f>Y128</f>
        <v>7.51</v>
      </c>
      <c r="AA128" s="1350">
        <f t="shared" ref="AA128" si="136">AV128</f>
        <v>8.7765017036948638</v>
      </c>
      <c r="AB128" s="1351">
        <f t="shared" ref="AB128" si="137">BE128</f>
        <v>8.3051455464089248</v>
      </c>
      <c r="AC128" s="692"/>
      <c r="AG128" s="1316">
        <f t="shared" si="115"/>
        <v>26</v>
      </c>
      <c r="AH128" s="1296">
        <f t="shared" si="116"/>
        <v>7.51</v>
      </c>
      <c r="AI128" s="1318" t="s">
        <v>170</v>
      </c>
      <c r="AJ128" s="1297">
        <f t="shared" si="126"/>
        <v>2343.12</v>
      </c>
      <c r="AK128" s="1297"/>
      <c r="AL128" s="1318"/>
      <c r="AM128" s="1296">
        <f t="shared" si="93"/>
        <v>8.6946633046956183</v>
      </c>
      <c r="AN128" s="1298">
        <f>IFERROR(IF(AG128*AM128 = 0, "", AG128*AM128) * IF(OR(AI128 = "per month",AI128 = "per booth",AI128 = "per bus shelter",AI128 = "per strobe light"),12,1),"")</f>
        <v>2712.7349510650329</v>
      </c>
      <c r="AP128" s="1321">
        <v>26</v>
      </c>
      <c r="AQ128" s="1299">
        <v>7.51</v>
      </c>
      <c r="AR128" s="1322" t="s">
        <v>170</v>
      </c>
      <c r="AS128" s="1300">
        <v>2343.12</v>
      </c>
      <c r="AT128" s="1300"/>
      <c r="AU128" s="1322"/>
      <c r="AV128" s="1299">
        <v>8.7765017036948638</v>
      </c>
      <c r="AW128" s="1301">
        <v>2738.2685315527979</v>
      </c>
      <c r="AY128" s="1321">
        <v>26</v>
      </c>
      <c r="AZ128" s="1299">
        <v>7.51</v>
      </c>
      <c r="BA128" s="1322" t="s">
        <v>170</v>
      </c>
      <c r="BB128" s="1300">
        <v>2343.12</v>
      </c>
      <c r="BC128" s="1300"/>
      <c r="BD128" s="1322"/>
      <c r="BE128" s="1299">
        <v>8.3051455464089248</v>
      </c>
      <c r="BF128" s="1301">
        <v>2591.2054104795848</v>
      </c>
    </row>
    <row r="129" spans="1:58" s="12" customFormat="1" ht="13.8" thickBot="1">
      <c r="A129" s="865"/>
      <c r="B129" s="866" t="s">
        <v>514</v>
      </c>
      <c r="C129" s="865"/>
      <c r="D129" s="1333">
        <f>SUM(D128)</f>
        <v>26</v>
      </c>
      <c r="E129" s="868"/>
      <c r="F129" s="865"/>
      <c r="G129" s="868"/>
      <c r="H129" s="1334">
        <f>H128</f>
        <v>2343.12</v>
      </c>
      <c r="I129" s="865"/>
      <c r="J129" s="1335">
        <f>SUM(J128)</f>
        <v>26</v>
      </c>
      <c r="K129" s="868"/>
      <c r="L129" s="1336"/>
      <c r="M129" s="868"/>
      <c r="N129" s="1337">
        <f>N128</f>
        <v>2738.2685315527979</v>
      </c>
      <c r="O129" s="1338"/>
      <c r="P129" s="1085">
        <f>IF(AND(N129=0,NOT(H129=0)),0,N129-H129)</f>
        <v>395.14853155279798</v>
      </c>
      <c r="Q129" s="1081"/>
      <c r="R129" s="1086">
        <f t="shared" si="135"/>
        <v>0.16864203799999999</v>
      </c>
      <c r="S129" s="865"/>
      <c r="T129" s="1123"/>
      <c r="U129" s="838"/>
      <c r="V129" s="692"/>
      <c r="W129" s="1339"/>
      <c r="X129" s="868"/>
      <c r="Y129" s="868"/>
      <c r="Z129" s="868"/>
      <c r="AA129" s="868"/>
      <c r="AB129" s="1340"/>
      <c r="AC129" s="692"/>
      <c r="AD129" s="789"/>
      <c r="AE129" s="865"/>
      <c r="AF129" s="865"/>
      <c r="AG129" s="1333">
        <f t="shared" si="115"/>
        <v>26</v>
      </c>
      <c r="AH129" s="1341" t="str">
        <f t="shared" si="116"/>
        <v/>
      </c>
      <c r="AI129" s="1335"/>
      <c r="AJ129" s="1342" t="str">
        <f t="shared" si="126"/>
        <v/>
      </c>
      <c r="AK129" s="1342"/>
      <c r="AL129" s="1335"/>
      <c r="AM129" s="1341" t="str">
        <f t="shared" si="93"/>
        <v/>
      </c>
      <c r="AN129" s="1343" t="str">
        <f t="shared" si="89"/>
        <v/>
      </c>
      <c r="AO129" s="865"/>
      <c r="AP129" s="1344">
        <v>26</v>
      </c>
      <c r="AQ129" s="1345" t="s">
        <v>608</v>
      </c>
      <c r="AR129" s="1346"/>
      <c r="AS129" s="1347" t="s">
        <v>608</v>
      </c>
      <c r="AT129" s="1347"/>
      <c r="AU129" s="1346"/>
      <c r="AV129" s="1345" t="s">
        <v>608</v>
      </c>
      <c r="AW129" s="1348" t="s">
        <v>608</v>
      </c>
      <c r="AX129" s="865"/>
      <c r="AY129" s="1344">
        <v>26</v>
      </c>
      <c r="AZ129" s="1345" t="s">
        <v>608</v>
      </c>
      <c r="BA129" s="1346"/>
      <c r="BB129" s="1347" t="s">
        <v>608</v>
      </c>
      <c r="BC129" s="1347"/>
      <c r="BD129" s="1346"/>
      <c r="BE129" s="1345" t="s">
        <v>608</v>
      </c>
      <c r="BF129" s="1348" t="s">
        <v>608</v>
      </c>
    </row>
    <row r="130" spans="1:58" ht="13.8" thickTop="1">
      <c r="B130" s="862"/>
      <c r="D130" s="1316"/>
      <c r="E130" s="864"/>
      <c r="G130" s="864"/>
      <c r="H130" s="1317"/>
      <c r="J130" s="1318"/>
      <c r="K130" s="864"/>
      <c r="L130" s="780"/>
      <c r="M130" s="864"/>
      <c r="N130" s="1292"/>
      <c r="O130" s="1317"/>
      <c r="P130" s="1293"/>
      <c r="R130" s="1294"/>
      <c r="T130" s="1123"/>
      <c r="V130" s="692"/>
      <c r="W130" s="1319"/>
      <c r="X130" s="864"/>
      <c r="Y130" s="864"/>
      <c r="Z130" s="864"/>
      <c r="AA130" s="864"/>
      <c r="AB130" s="1320"/>
      <c r="AC130" s="692"/>
      <c r="AG130" s="1316" t="str">
        <f t="shared" si="115"/>
        <v/>
      </c>
      <c r="AH130" s="1296" t="str">
        <f t="shared" si="116"/>
        <v/>
      </c>
      <c r="AI130" s="1318"/>
      <c r="AJ130" s="1297" t="str">
        <f t="shared" si="126"/>
        <v/>
      </c>
      <c r="AK130" s="1297"/>
      <c r="AL130" s="1318"/>
      <c r="AM130" s="1296" t="str">
        <f t="shared" si="93"/>
        <v/>
      </c>
      <c r="AN130" s="1298" t="str">
        <f t="shared" si="89"/>
        <v/>
      </c>
      <c r="AP130" s="1321" t="s">
        <v>608</v>
      </c>
      <c r="AQ130" s="1299" t="s">
        <v>608</v>
      </c>
      <c r="AR130" s="1322"/>
      <c r="AS130" s="1300" t="s">
        <v>608</v>
      </c>
      <c r="AT130" s="1300"/>
      <c r="AU130" s="1322"/>
      <c r="AV130" s="1299" t="s">
        <v>608</v>
      </c>
      <c r="AW130" s="1301" t="s">
        <v>608</v>
      </c>
      <c r="AY130" s="1321" t="s">
        <v>608</v>
      </c>
      <c r="AZ130" s="1299" t="s">
        <v>608</v>
      </c>
      <c r="BA130" s="1322"/>
      <c r="BB130" s="1300" t="s">
        <v>608</v>
      </c>
      <c r="BC130" s="1300"/>
      <c r="BD130" s="1322"/>
      <c r="BE130" s="1299" t="s">
        <v>608</v>
      </c>
      <c r="BF130" s="1301" t="s">
        <v>608</v>
      </c>
    </row>
    <row r="131" spans="1:58">
      <c r="B131" s="855" t="s">
        <v>29</v>
      </c>
      <c r="D131" s="1316"/>
      <c r="E131" s="864"/>
      <c r="H131" s="1317"/>
      <c r="J131" s="1318"/>
      <c r="K131" s="864"/>
      <c r="L131" s="780"/>
      <c r="N131" s="1292"/>
      <c r="P131" s="1293"/>
      <c r="R131" s="1294"/>
      <c r="T131" s="1123"/>
      <c r="V131" s="692"/>
      <c r="W131" s="1319"/>
      <c r="X131" s="864"/>
      <c r="Y131" s="864"/>
      <c r="Z131" s="864"/>
      <c r="AA131" s="864"/>
      <c r="AB131" s="1320"/>
      <c r="AC131" s="692"/>
      <c r="AG131" s="1316" t="str">
        <f t="shared" si="115"/>
        <v/>
      </c>
      <c r="AH131" s="1296" t="str">
        <f t="shared" si="116"/>
        <v/>
      </c>
      <c r="AI131" s="1318"/>
      <c r="AJ131" s="1297" t="str">
        <f t="shared" si="126"/>
        <v/>
      </c>
      <c r="AK131" s="1297"/>
      <c r="AL131" s="1318"/>
      <c r="AM131" s="1296" t="str">
        <f t="shared" si="93"/>
        <v/>
      </c>
      <c r="AN131" s="1298" t="str">
        <f t="shared" si="89"/>
        <v/>
      </c>
      <c r="AP131" s="1321" t="s">
        <v>608</v>
      </c>
      <c r="AQ131" s="1299" t="s">
        <v>608</v>
      </c>
      <c r="AR131" s="1322"/>
      <c r="AS131" s="1300" t="s">
        <v>608</v>
      </c>
      <c r="AT131" s="1300"/>
      <c r="AU131" s="1322"/>
      <c r="AV131" s="1299" t="s">
        <v>608</v>
      </c>
      <c r="AW131" s="1301" t="s">
        <v>608</v>
      </c>
      <c r="AY131" s="1321" t="s">
        <v>608</v>
      </c>
      <c r="AZ131" s="1299" t="s">
        <v>608</v>
      </c>
      <c r="BA131" s="1322"/>
      <c r="BB131" s="1300" t="s">
        <v>608</v>
      </c>
      <c r="BC131" s="1300"/>
      <c r="BD131" s="1322"/>
      <c r="BE131" s="1299" t="s">
        <v>608</v>
      </c>
      <c r="BF131" s="1301" t="s">
        <v>608</v>
      </c>
    </row>
    <row r="132" spans="1:58">
      <c r="B132" s="856"/>
      <c r="D132" s="1316"/>
      <c r="E132" s="864"/>
      <c r="H132" s="1317"/>
      <c r="J132" s="1318"/>
      <c r="K132" s="864"/>
      <c r="L132" s="780"/>
      <c r="N132" s="1292"/>
      <c r="P132" s="1293"/>
      <c r="R132" s="1294"/>
      <c r="T132" s="1038"/>
      <c r="V132" s="692"/>
      <c r="W132" s="1319"/>
      <c r="X132" s="864"/>
      <c r="Y132" s="864"/>
      <c r="Z132" s="864"/>
      <c r="AA132" s="864"/>
      <c r="AB132" s="1320"/>
      <c r="AC132" s="692"/>
      <c r="AG132" s="1316" t="str">
        <f t="shared" si="115"/>
        <v/>
      </c>
      <c r="AH132" s="1296" t="str">
        <f t="shared" si="116"/>
        <v/>
      </c>
      <c r="AI132" s="1318"/>
      <c r="AJ132" s="1297" t="str">
        <f t="shared" si="126"/>
        <v/>
      </c>
      <c r="AK132" s="1297"/>
      <c r="AL132" s="1318"/>
      <c r="AM132" s="1296" t="str">
        <f t="shared" si="93"/>
        <v/>
      </c>
      <c r="AN132" s="1298" t="str">
        <f t="shared" si="89"/>
        <v/>
      </c>
      <c r="AP132" s="1321" t="s">
        <v>608</v>
      </c>
      <c r="AQ132" s="1299" t="s">
        <v>608</v>
      </c>
      <c r="AR132" s="1322"/>
      <c r="AS132" s="1300" t="s">
        <v>608</v>
      </c>
      <c r="AT132" s="1300"/>
      <c r="AU132" s="1322"/>
      <c r="AV132" s="1299" t="s">
        <v>608</v>
      </c>
      <c r="AW132" s="1301" t="s">
        <v>608</v>
      </c>
      <c r="AY132" s="1321" t="s">
        <v>608</v>
      </c>
      <c r="AZ132" s="1299" t="s">
        <v>608</v>
      </c>
      <c r="BA132" s="1322"/>
      <c r="BB132" s="1300" t="s">
        <v>608</v>
      </c>
      <c r="BC132" s="1300"/>
      <c r="BD132" s="1322"/>
      <c r="BE132" s="1299" t="s">
        <v>608</v>
      </c>
      <c r="BF132" s="1301" t="s">
        <v>608</v>
      </c>
    </row>
    <row r="133" spans="1:58">
      <c r="B133" s="857" t="s">
        <v>504</v>
      </c>
      <c r="D133" s="1316">
        <f>'Billing Units'!T93</f>
        <v>37</v>
      </c>
      <c r="E133" s="873">
        <f>'Rate Inputs'!T93</f>
        <v>2</v>
      </c>
      <c r="F133" s="873" t="str">
        <f>'Rate Inputs'!U93</f>
        <v>per strobe light</v>
      </c>
      <c r="H133" s="860">
        <f t="shared" ref="H133" si="138">D133*E133*12</f>
        <v>888</v>
      </c>
      <c r="J133" s="1318">
        <f>'Billing Units'!V93</f>
        <v>37</v>
      </c>
      <c r="K133" s="1303">
        <f>W133</f>
        <v>2.3372840755512287</v>
      </c>
      <c r="L133" s="1356" t="str">
        <f>'Rate Inputs'!W93</f>
        <v>per strobe light</v>
      </c>
      <c r="N133" s="1305">
        <f t="shared" ref="N133" si="139">J133*K133*12</f>
        <v>1037.7541295447456</v>
      </c>
      <c r="P133" s="1047">
        <f>IF(AND(N133=0,NOT(H133=0)),0,N133-H133)</f>
        <v>149.75412954474564</v>
      </c>
      <c r="Q133" s="1043"/>
      <c r="R133" s="1074">
        <f>IF(D133=0,0,ROUND((N133-H133)/H133,9))</f>
        <v>0.16864203799999999</v>
      </c>
      <c r="T133" s="1049"/>
      <c r="W133" s="1357">
        <f>INDEX($X133:$AB133,MATCH($D$6,$X$8:$AB$8,0))</f>
        <v>2.3372840755512287</v>
      </c>
      <c r="X133" s="1358">
        <v>2</v>
      </c>
      <c r="Y133" s="1358">
        <v>2</v>
      </c>
      <c r="Z133" s="1358">
        <f>Y133</f>
        <v>2</v>
      </c>
      <c r="AA133" s="1359">
        <f t="shared" ref="AA133" si="140">AV133</f>
        <v>2.3372840755512287</v>
      </c>
      <c r="AB133" s="1360">
        <f t="shared" ref="AB133" si="141">BE133</f>
        <v>2.21175647041516</v>
      </c>
      <c r="AG133" s="1316">
        <f t="shared" si="115"/>
        <v>37</v>
      </c>
      <c r="AH133" s="1296">
        <f t="shared" si="116"/>
        <v>2</v>
      </c>
      <c r="AI133" s="1318" t="s">
        <v>171</v>
      </c>
      <c r="AJ133" s="1297">
        <f t="shared" si="126"/>
        <v>888</v>
      </c>
      <c r="AK133" s="1297"/>
      <c r="AL133" s="1318"/>
      <c r="AM133" s="1296">
        <f t="shared" si="93"/>
        <v>2.3154895618363831</v>
      </c>
      <c r="AN133" s="1298">
        <f>IFERROR(IF(AG133*AM133 = 0, "", AG133*AM133) * IF(OR(AI133 = "per month",AI133 = "per booth",AI133 = "per bus shelter",AI133 = "per strobe light"),12,1),"")</f>
        <v>1028.0773654553541</v>
      </c>
      <c r="AP133" s="1321">
        <v>37</v>
      </c>
      <c r="AQ133" s="1299">
        <v>2</v>
      </c>
      <c r="AR133" s="1322" t="s">
        <v>171</v>
      </c>
      <c r="AS133" s="1300">
        <v>888</v>
      </c>
      <c r="AT133" s="1300"/>
      <c r="AU133" s="1322"/>
      <c r="AV133" s="1299">
        <v>2.3372840755512287</v>
      </c>
      <c r="AW133" s="1301">
        <v>1037.7541295447456</v>
      </c>
      <c r="AY133" s="1321">
        <v>37</v>
      </c>
      <c r="AZ133" s="1299">
        <v>2</v>
      </c>
      <c r="BA133" s="1322" t="s">
        <v>171</v>
      </c>
      <c r="BB133" s="1300">
        <v>888</v>
      </c>
      <c r="BC133" s="1300"/>
      <c r="BD133" s="1322"/>
      <c r="BE133" s="1299">
        <v>2.21175647041516</v>
      </c>
      <c r="BF133" s="1301">
        <v>982.01987286433098</v>
      </c>
    </row>
    <row r="134" spans="1:58" s="12" customFormat="1" ht="13.8" thickBot="1">
      <c r="A134" s="865"/>
      <c r="B134" s="866" t="s">
        <v>515</v>
      </c>
      <c r="C134" s="865"/>
      <c r="D134" s="1333">
        <f>D133</f>
        <v>37</v>
      </c>
      <c r="E134" s="868"/>
      <c r="F134" s="865"/>
      <c r="G134" s="868"/>
      <c r="H134" s="1334">
        <f>H133</f>
        <v>888</v>
      </c>
      <c r="I134" s="865"/>
      <c r="J134" s="1335">
        <f>J133</f>
        <v>37</v>
      </c>
      <c r="K134" s="868"/>
      <c r="L134" s="1336"/>
      <c r="M134" s="868"/>
      <c r="N134" s="1337">
        <f>N133</f>
        <v>1037.7541295447456</v>
      </c>
      <c r="O134" s="1338"/>
      <c r="P134" s="1085">
        <f>IF(AND(N134=0,NOT(H134=0)),0,N134-H134)</f>
        <v>149.75412954474564</v>
      </c>
      <c r="Q134" s="1081"/>
      <c r="R134" s="1086">
        <f>IF(D134=0,0,ROUND((N134-H134)/H134,9))</f>
        <v>0.16864203799999999</v>
      </c>
      <c r="S134" s="865"/>
      <c r="T134" s="1041"/>
      <c r="U134" s="838"/>
      <c r="V134" s="773"/>
      <c r="W134" s="1339"/>
      <c r="X134" s="868"/>
      <c r="Y134" s="868"/>
      <c r="Z134" s="868"/>
      <c r="AA134" s="868"/>
      <c r="AB134" s="1340"/>
      <c r="AC134" s="773"/>
      <c r="AD134" s="789"/>
      <c r="AE134" s="865"/>
      <c r="AF134" s="865"/>
      <c r="AG134" s="1333">
        <f t="shared" si="115"/>
        <v>37</v>
      </c>
      <c r="AH134" s="1335" t="str">
        <f t="shared" si="116"/>
        <v/>
      </c>
      <c r="AI134" s="1335"/>
      <c r="AJ134" s="1342" t="str">
        <f t="shared" ref="AJ134" si="142">IFERROR(IF(AG134*AH134 = 0, "", AG134*AH134) * IF(AI134 = "per month",12,1),"")</f>
        <v/>
      </c>
      <c r="AK134" s="1342"/>
      <c r="AL134" s="1335"/>
      <c r="AM134" s="1335"/>
      <c r="AN134" s="1343" t="str">
        <f t="shared" ref="AN134" si="143">IFERROR(IF(AK134*AL134 = 0, "", AK134*AL134) * IF(AM134 = "per month",12,1),"")</f>
        <v/>
      </c>
      <c r="AO134" s="865"/>
      <c r="AP134" s="1344">
        <v>37</v>
      </c>
      <c r="AQ134" s="1346" t="s">
        <v>608</v>
      </c>
      <c r="AR134" s="1346"/>
      <c r="AS134" s="1347" t="s">
        <v>608</v>
      </c>
      <c r="AT134" s="1347"/>
      <c r="AU134" s="1346"/>
      <c r="AV134" s="1346"/>
      <c r="AW134" s="1348" t="s">
        <v>608</v>
      </c>
      <c r="AX134" s="865"/>
      <c r="AY134" s="1344">
        <v>37</v>
      </c>
      <c r="AZ134" s="1346" t="s">
        <v>608</v>
      </c>
      <c r="BA134" s="1346"/>
      <c r="BB134" s="1347" t="s">
        <v>608</v>
      </c>
      <c r="BC134" s="1347"/>
      <c r="BD134" s="1346"/>
      <c r="BE134" s="1346"/>
      <c r="BF134" s="1348" t="s">
        <v>608</v>
      </c>
    </row>
    <row r="135" spans="1:58" ht="14.4" thickTop="1" thickBot="1">
      <c r="B135" s="862"/>
      <c r="D135" s="1316"/>
      <c r="E135" s="864"/>
      <c r="G135" s="864"/>
      <c r="H135" s="1317"/>
      <c r="J135" s="1318"/>
      <c r="K135" s="864"/>
      <c r="L135" s="780"/>
      <c r="M135" s="864"/>
      <c r="N135" s="1292"/>
      <c r="O135" s="1317"/>
      <c r="P135" s="1293"/>
      <c r="R135" s="1294"/>
      <c r="T135" s="1041"/>
      <c r="W135" s="1319"/>
      <c r="X135" s="864"/>
      <c r="Y135" s="864"/>
      <c r="Z135" s="864"/>
      <c r="AA135" s="864"/>
      <c r="AB135" s="1320"/>
      <c r="AG135" s="1316"/>
      <c r="AH135" s="1318"/>
      <c r="AI135" s="1318"/>
      <c r="AJ135" s="1297"/>
      <c r="AK135" s="1297"/>
      <c r="AL135" s="1318"/>
      <c r="AM135" s="1318"/>
      <c r="AN135" s="1298"/>
      <c r="AP135" s="1321"/>
      <c r="AQ135" s="1322"/>
      <c r="AR135" s="1322"/>
      <c r="AS135" s="1300"/>
      <c r="AT135" s="1300"/>
      <c r="AU135" s="1322"/>
      <c r="AV135" s="1322"/>
      <c r="AW135" s="1301"/>
      <c r="AY135" s="1321"/>
      <c r="AZ135" s="1322"/>
      <c r="BA135" s="1322"/>
      <c r="BB135" s="1300"/>
      <c r="BC135" s="1300"/>
      <c r="BD135" s="1322"/>
      <c r="BE135" s="1322"/>
      <c r="BF135" s="1301"/>
    </row>
    <row r="136" spans="1:58" ht="14.4" thickTop="1" thickBot="1">
      <c r="B136" s="1361"/>
      <c r="C136" s="1361"/>
      <c r="D136" s="1362"/>
      <c r="E136" s="1361"/>
      <c r="F136" s="1361"/>
      <c r="G136" s="1361"/>
      <c r="H136" s="1361"/>
      <c r="I136" s="1361"/>
      <c r="J136" s="1361"/>
      <c r="K136" s="1361"/>
      <c r="L136" s="1363"/>
      <c r="M136" s="1361"/>
      <c r="N136" s="1364"/>
      <c r="O136" s="1361"/>
      <c r="P136" s="1365"/>
      <c r="Q136" s="1361"/>
      <c r="R136" s="1366"/>
      <c r="S136" s="1361"/>
      <c r="T136" s="1049"/>
      <c r="W136" s="1367"/>
      <c r="X136" s="1361"/>
      <c r="Y136" s="1361"/>
      <c r="Z136" s="1361"/>
      <c r="AA136" s="1361"/>
      <c r="AB136" s="1363"/>
      <c r="AG136" s="1362"/>
      <c r="AH136" s="1361"/>
      <c r="AI136" s="1361"/>
      <c r="AJ136" s="1368"/>
      <c r="AK136" s="1368"/>
      <c r="AL136" s="1361"/>
      <c r="AM136" s="1361"/>
      <c r="AN136" s="1369"/>
      <c r="AP136" s="1370"/>
      <c r="AQ136" s="1371"/>
      <c r="AR136" s="1371"/>
      <c r="AS136" s="1372"/>
      <c r="AT136" s="1372"/>
      <c r="AU136" s="1371"/>
      <c r="AV136" s="1371"/>
      <c r="AW136" s="1373"/>
      <c r="AY136" s="1370"/>
      <c r="AZ136" s="1371"/>
      <c r="BA136" s="1371"/>
      <c r="BB136" s="1372"/>
      <c r="BC136" s="1372"/>
      <c r="BD136" s="1371"/>
      <c r="BE136" s="1371"/>
      <c r="BF136" s="1373"/>
    </row>
    <row r="137" spans="1:58" ht="14.4" thickTop="1" thickBot="1">
      <c r="B137" s="1374" t="s">
        <v>516</v>
      </c>
      <c r="C137" s="1375"/>
      <c r="D137" s="1376">
        <f>SUM(D118,D110,D104,D70,D23)</f>
        <v>265679709.2753191</v>
      </c>
      <c r="E137" s="1377" t="s">
        <v>517</v>
      </c>
      <c r="F137" s="1377"/>
      <c r="G137" s="1377"/>
      <c r="H137" s="1378">
        <f>SUM(H134,H129,H124,H119,H111,H105,H97,H81,H63)</f>
        <v>69758794.879999995</v>
      </c>
      <c r="I137" s="1375"/>
      <c r="J137" s="1379"/>
      <c r="K137" s="1380"/>
      <c r="L137" s="1381"/>
      <c r="M137" s="1377"/>
      <c r="N137" s="1382">
        <f>SUM(N134,N129,N124,N119,N111,N105,N97,N81,N63)</f>
        <v>75410466.880217284</v>
      </c>
      <c r="O137" s="1383"/>
      <c r="P137" s="1384">
        <f>IF(AND(N137=0,NOT(H137=0)),0,N137-H137)</f>
        <v>5651672.0002172887</v>
      </c>
      <c r="Q137" s="1383"/>
      <c r="R137" s="1385" t="s">
        <v>518</v>
      </c>
      <c r="S137" s="1361"/>
      <c r="T137" s="1087">
        <f>INDEX('Revenue Summary'!$R$10:$R$38,MATCH(AD137,'Revenue Summary'!$B$10:$B$38,0))</f>
        <v>75410466.880217254</v>
      </c>
      <c r="W137" s="1386"/>
      <c r="X137" s="1387"/>
      <c r="Y137" s="1387"/>
      <c r="Z137" s="1387"/>
      <c r="AA137" s="1387"/>
      <c r="AB137" s="1388"/>
      <c r="AD137" s="789" t="str" cm="1">
        <f t="array" ref="AD137">INDEX(_xlfn.TEXTSPLIT(B137," "),2)</f>
        <v>PLG</v>
      </c>
      <c r="AG137" s="1389"/>
      <c r="AH137" s="1379" t="s">
        <v>517</v>
      </c>
      <c r="AI137" s="1379"/>
      <c r="AJ137" s="1390">
        <f>SUM(AJ23:AJ134)</f>
        <v>65135656.945402294</v>
      </c>
      <c r="AK137" s="1391">
        <f>T137</f>
        <v>75410466.880217254</v>
      </c>
      <c r="AL137" s="1392">
        <f>AK137/AJ137</f>
        <v>1.1577447809181916</v>
      </c>
      <c r="AM137" s="1379"/>
      <c r="AN137" s="1393">
        <f>SUM(AN23:AN134)</f>
        <v>75410466.880217284</v>
      </c>
      <c r="AP137" s="1394"/>
      <c r="AQ137" s="1395" t="s">
        <v>517</v>
      </c>
      <c r="AR137" s="1395"/>
      <c r="AS137" s="1396">
        <v>64528285.3454023</v>
      </c>
      <c r="AT137" s="1396">
        <v>75410466.880217254</v>
      </c>
      <c r="AU137" s="1397">
        <v>1.1686420377756144</v>
      </c>
      <c r="AV137" s="1395"/>
      <c r="AW137" s="1398">
        <v>75410466.880217284</v>
      </c>
      <c r="AY137" s="1394"/>
      <c r="AZ137" s="1395" t="s">
        <v>517</v>
      </c>
      <c r="BA137" s="1395"/>
      <c r="BB137" s="1396">
        <v>64528040.3454023</v>
      </c>
      <c r="BC137" s="1396">
        <v>71360155.378577024</v>
      </c>
      <c r="BD137" s="1397">
        <v>1.10587823520758</v>
      </c>
      <c r="BE137" s="1395"/>
      <c r="BF137" s="1398">
        <v>71360155.378577024</v>
      </c>
    </row>
    <row r="138" spans="1:58" ht="13.8" thickTop="1">
      <c r="N138" s="1317"/>
      <c r="R138" s="1399" t="s">
        <v>541</v>
      </c>
      <c r="T138" s="1203">
        <f>(T137-SUM(N46:N48)-H137)/H137</f>
        <v>-0.11694474061225375</v>
      </c>
      <c r="V138" s="838"/>
      <c r="W138" s="838"/>
      <c r="X138" s="838"/>
      <c r="Y138" s="838"/>
      <c r="Z138" s="838"/>
      <c r="AA138" s="838"/>
      <c r="AB138" s="838"/>
      <c r="AC138" s="838"/>
      <c r="AD138" s="838"/>
      <c r="AG138" s="1244"/>
      <c r="AN138" s="780"/>
      <c r="AP138" s="1245"/>
      <c r="AQ138" s="1246"/>
      <c r="AR138" s="1246"/>
      <c r="AS138" s="1246"/>
      <c r="AT138" s="1246"/>
      <c r="AU138" s="1246"/>
      <c r="AV138" s="1246"/>
      <c r="AW138" s="1247"/>
      <c r="AY138" s="1245"/>
      <c r="AZ138" s="1246"/>
      <c r="BA138" s="1246"/>
      <c r="BB138" s="1246"/>
      <c r="BC138" s="1246"/>
      <c r="BD138" s="1246"/>
      <c r="BE138" s="1246"/>
      <c r="BF138" s="1247"/>
    </row>
    <row r="139" spans="1:58">
      <c r="B139" s="838" t="s">
        <v>519</v>
      </c>
      <c r="D139" s="1317">
        <f>SUM(D137,D16)</f>
        <v>268788866.84097916</v>
      </c>
      <c r="H139" s="1317">
        <f>SUM(H137,H16)</f>
        <v>70157650.879999995</v>
      </c>
      <c r="N139" s="1317">
        <f>SUM(N137,N16)</f>
        <v>75767960.880217284</v>
      </c>
      <c r="R139" s="1399" t="s">
        <v>542</v>
      </c>
      <c r="T139" s="1203">
        <f>(T137-H137)/H137</f>
        <v>8.1017339963216681E-2</v>
      </c>
      <c r="V139" s="838"/>
      <c r="W139" s="838"/>
      <c r="X139" s="838"/>
      <c r="Y139" s="838"/>
      <c r="Z139" s="838"/>
      <c r="AA139" s="838"/>
      <c r="AB139" s="838"/>
      <c r="AC139" s="838"/>
      <c r="AD139" s="838"/>
      <c r="AG139" s="997" t="s">
        <v>144</v>
      </c>
      <c r="AH139" s="997"/>
      <c r="AI139" s="997"/>
      <c r="AJ139" s="997"/>
      <c r="AK139" s="997"/>
      <c r="AL139" s="997"/>
      <c r="AM139" s="997"/>
      <c r="AN139" s="785"/>
      <c r="AP139" s="1400"/>
      <c r="AQ139" s="1401"/>
      <c r="AR139" s="1401"/>
      <c r="AS139" s="1401"/>
      <c r="AT139" s="1401"/>
      <c r="AU139" s="1401"/>
      <c r="AV139" s="1401"/>
      <c r="AW139" s="1402"/>
      <c r="AY139" s="1400"/>
      <c r="AZ139" s="1401"/>
      <c r="BA139" s="1401"/>
      <c r="BB139" s="1401"/>
      <c r="BC139" s="1401"/>
      <c r="BD139" s="1401"/>
      <c r="BE139" s="1401"/>
      <c r="BF139" s="1402"/>
    </row>
    <row r="140" spans="1:58" s="656" customFormat="1" ht="39.6">
      <c r="A140" s="874"/>
      <c r="B140" s="874"/>
      <c r="C140" s="874"/>
      <c r="D140" s="874"/>
      <c r="E140" s="874"/>
      <c r="F140" s="874"/>
      <c r="G140" s="874"/>
      <c r="H140" s="874"/>
      <c r="I140" s="874"/>
      <c r="J140" s="874"/>
      <c r="K140" s="874"/>
      <c r="L140" s="874"/>
      <c r="M140" s="874"/>
      <c r="N140" s="1526"/>
      <c r="O140" s="874"/>
      <c r="P140" s="874"/>
      <c r="Q140" s="874"/>
      <c r="R140" s="874"/>
      <c r="S140" s="874"/>
      <c r="T140" s="1403"/>
      <c r="U140" s="874"/>
      <c r="V140" s="874"/>
      <c r="W140" s="874"/>
      <c r="X140" s="874"/>
      <c r="Y140" s="874"/>
      <c r="Z140" s="874"/>
      <c r="AA140" s="874"/>
      <c r="AB140" s="874"/>
      <c r="AC140" s="874"/>
      <c r="AD140" s="874"/>
      <c r="AE140" s="874"/>
      <c r="AF140" s="874"/>
      <c r="AG140" s="874" t="s">
        <v>504</v>
      </c>
      <c r="AH140" s="874" t="s">
        <v>609</v>
      </c>
      <c r="AI140" s="874" t="s">
        <v>610</v>
      </c>
      <c r="AJ140" s="874" t="s">
        <v>611</v>
      </c>
      <c r="AK140" s="874" t="s">
        <v>614</v>
      </c>
      <c r="AL140" s="874" t="s">
        <v>615</v>
      </c>
      <c r="AM140" s="874"/>
      <c r="AN140" s="874"/>
      <c r="AO140" s="874"/>
      <c r="AP140" s="874"/>
      <c r="AQ140" s="874"/>
      <c r="AR140" s="874"/>
      <c r="AS140" s="874"/>
      <c r="AT140" s="874"/>
      <c r="AU140" s="874"/>
      <c r="AV140" s="874"/>
      <c r="AW140" s="874"/>
      <c r="AX140" s="874"/>
      <c r="AY140" s="874"/>
      <c r="AZ140" s="874"/>
      <c r="BA140" s="874"/>
      <c r="BB140" s="874"/>
      <c r="BC140" s="874"/>
      <c r="BD140" s="874"/>
      <c r="BE140" s="874"/>
      <c r="BF140" s="874"/>
    </row>
    <row r="141" spans="1:58">
      <c r="D141" s="1317">
        <f>D16+D63+D70+D104+D111</f>
        <v>8425771.565660065</v>
      </c>
      <c r="E141" s="838" t="s">
        <v>191</v>
      </c>
      <c r="N141" s="1317"/>
      <c r="T141" s="838"/>
      <c r="V141" s="838"/>
      <c r="W141" s="838"/>
      <c r="X141" s="838"/>
      <c r="Y141" s="838"/>
      <c r="Z141" s="838"/>
      <c r="AA141" s="838"/>
      <c r="AB141" s="838"/>
      <c r="AC141" s="838"/>
      <c r="AD141" s="838"/>
      <c r="AG141" s="838" t="s">
        <v>423</v>
      </c>
      <c r="AH141" s="838">
        <v>16982</v>
      </c>
      <c r="AI141" s="1404">
        <v>11</v>
      </c>
      <c r="AJ141" s="1405">
        <f>AH141*AI141*12</f>
        <v>2241624</v>
      </c>
      <c r="AK141" s="1405">
        <f>AI141*$AJ$147/$AJ$146</f>
        <v>6.3278676057660022</v>
      </c>
      <c r="AL141" s="1406">
        <f>AH141*AK141*12</f>
        <v>1289518.172173419</v>
      </c>
    </row>
    <row r="142" spans="1:58">
      <c r="N142" s="1203"/>
      <c r="V142" s="838"/>
      <c r="W142" s="838"/>
      <c r="X142" s="838"/>
      <c r="Y142" s="838"/>
      <c r="Z142" s="838"/>
      <c r="AA142" s="838"/>
      <c r="AB142" s="838"/>
      <c r="AC142" s="838"/>
      <c r="AD142" s="838"/>
      <c r="AG142" s="838" t="s">
        <v>424</v>
      </c>
      <c r="AH142" s="838">
        <v>25000</v>
      </c>
      <c r="AI142" s="1407">
        <v>13</v>
      </c>
      <c r="AJ142" s="1405">
        <f t="shared" ref="AJ142:AJ143" si="144">AH142*AI142*12</f>
        <v>3900000</v>
      </c>
      <c r="AK142" s="1405">
        <f t="shared" ref="AK142:AK143" si="145">AI142*$AJ$147/$AJ$146</f>
        <v>7.4783889886325499</v>
      </c>
      <c r="AL142" s="1406">
        <f t="shared" ref="AL142:AL143" si="146">AH142*AK142*12</f>
        <v>2243516.6965897647</v>
      </c>
    </row>
    <row r="143" spans="1:58">
      <c r="D143" s="993">
        <f>D141+'Consumer Analysis'!D164</f>
        <v>15266028984.695765</v>
      </c>
      <c r="T143" s="838"/>
      <c r="V143" s="838"/>
      <c r="W143" s="838"/>
      <c r="X143" s="838"/>
      <c r="Y143" s="838"/>
      <c r="Z143" s="838"/>
      <c r="AA143" s="838"/>
      <c r="AB143" s="838"/>
      <c r="AC143" s="838"/>
      <c r="AD143" s="838"/>
      <c r="AG143" s="838" t="s">
        <v>425</v>
      </c>
      <c r="AH143" s="838">
        <v>75000</v>
      </c>
      <c r="AI143" s="1407">
        <v>16</v>
      </c>
      <c r="AJ143" s="1405">
        <f t="shared" si="144"/>
        <v>14400000</v>
      </c>
      <c r="AK143" s="1405">
        <f t="shared" si="145"/>
        <v>9.2041710629323674</v>
      </c>
      <c r="AL143" s="1406">
        <f t="shared" si="146"/>
        <v>8283753.9566391297</v>
      </c>
    </row>
    <row r="144" spans="1:58">
      <c r="T144" s="838"/>
      <c r="V144" s="838"/>
      <c r="W144" s="838"/>
      <c r="X144" s="838"/>
      <c r="Y144" s="838"/>
      <c r="Z144" s="838"/>
      <c r="AA144" s="838"/>
      <c r="AB144" s="838"/>
      <c r="AC144" s="838"/>
      <c r="AD144" s="838"/>
      <c r="AJ144" s="1317">
        <f>SUM(AJ141:AJ143)</f>
        <v>20541624</v>
      </c>
      <c r="AK144" s="1405"/>
      <c r="AL144" s="1317">
        <f>SUM(AL141:AL143)</f>
        <v>11816788.825402314</v>
      </c>
    </row>
    <row r="145" spans="2:36">
      <c r="B145" s="999" t="s">
        <v>605</v>
      </c>
      <c r="T145" s="838"/>
      <c r="V145" s="838"/>
      <c r="W145" s="838"/>
      <c r="X145" s="838"/>
      <c r="Y145" s="838"/>
      <c r="Z145" s="838"/>
      <c r="AA145" s="838"/>
      <c r="AB145" s="838"/>
      <c r="AC145" s="838"/>
      <c r="AD145" s="838"/>
    </row>
    <row r="146" spans="2:36" ht="13.8" thickBot="1">
      <c r="B146" s="854" t="s">
        <v>503</v>
      </c>
      <c r="D146" s="853"/>
      <c r="E146" s="853"/>
      <c r="F146" s="853"/>
      <c r="G146" s="853"/>
      <c r="H146" s="853"/>
      <c r="I146" s="853"/>
      <c r="J146" s="853"/>
      <c r="T146" s="838"/>
      <c r="V146" s="838"/>
      <c r="W146" s="838"/>
      <c r="X146" s="838"/>
      <c r="Y146" s="838"/>
      <c r="Z146" s="838"/>
      <c r="AA146" s="838"/>
      <c r="AB146" s="838"/>
      <c r="AC146" s="838"/>
      <c r="AD146" s="838"/>
      <c r="AI146" s="1408" t="s">
        <v>612</v>
      </c>
      <c r="AJ146" s="1409">
        <v>100147108.92081283</v>
      </c>
    </row>
    <row r="147" spans="2:36" ht="14.4" thickTop="1" thickBot="1">
      <c r="B147" s="854"/>
      <c r="D147" s="853"/>
      <c r="E147" s="853"/>
      <c r="F147" s="853"/>
      <c r="G147" s="853"/>
      <c r="H147" s="853"/>
      <c r="I147" s="853"/>
      <c r="J147" s="853"/>
      <c r="T147" s="838"/>
      <c r="V147" s="838"/>
      <c r="W147" s="838"/>
      <c r="X147" s="838"/>
      <c r="Y147" s="838"/>
      <c r="Z147" s="838"/>
      <c r="AA147" s="838"/>
      <c r="AB147" s="838"/>
      <c r="AC147" s="838"/>
      <c r="AD147" s="838"/>
      <c r="AI147" s="1408" t="s">
        <v>613</v>
      </c>
      <c r="AJ147" s="1409">
        <v>57610695.122830093</v>
      </c>
    </row>
    <row r="148" spans="2:36" ht="13.8" thickTop="1">
      <c r="B148" s="855" t="s">
        <v>2</v>
      </c>
      <c r="D148" s="853"/>
      <c r="E148" s="853"/>
      <c r="F148" s="853"/>
      <c r="G148" s="853"/>
      <c r="H148" s="853"/>
      <c r="I148" s="853"/>
      <c r="J148" s="853"/>
      <c r="T148" s="838"/>
      <c r="V148" s="838"/>
      <c r="W148" s="838"/>
      <c r="X148" s="838"/>
      <c r="Y148" s="838"/>
      <c r="Z148" s="838"/>
      <c r="AA148" s="838"/>
      <c r="AB148" s="838"/>
      <c r="AC148" s="838"/>
      <c r="AD148" s="838"/>
    </row>
    <row r="149" spans="2:36">
      <c r="B149" s="854"/>
      <c r="D149" s="853"/>
      <c r="E149" s="853"/>
      <c r="F149" s="853"/>
      <c r="G149" s="853"/>
      <c r="H149" s="853"/>
      <c r="I149" s="853"/>
      <c r="J149" s="853"/>
      <c r="T149" s="838"/>
      <c r="V149" s="838"/>
      <c r="W149" s="838"/>
      <c r="X149" s="838"/>
      <c r="Y149" s="838"/>
      <c r="Z149" s="838"/>
      <c r="AA149" s="838"/>
      <c r="AB149" s="838"/>
      <c r="AC149" s="838"/>
      <c r="AD149" s="838"/>
    </row>
    <row r="150" spans="2:36">
      <c r="B150" s="856" t="s">
        <v>472</v>
      </c>
      <c r="D150" s="1200">
        <v>263836432.14609084</v>
      </c>
      <c r="E150" s="853">
        <v>3.4122E-2</v>
      </c>
      <c r="F150" s="853" t="s">
        <v>157</v>
      </c>
      <c r="G150" s="853"/>
      <c r="H150" s="1410">
        <v>9002627</v>
      </c>
      <c r="I150" s="853"/>
      <c r="J150" s="853"/>
      <c r="T150" s="838"/>
      <c r="V150" s="838"/>
      <c r="W150" s="838"/>
      <c r="X150" s="838"/>
      <c r="Y150" s="838"/>
      <c r="Z150" s="838"/>
      <c r="AA150" s="838"/>
      <c r="AB150" s="838"/>
      <c r="AC150" s="838"/>
      <c r="AD150" s="838"/>
    </row>
    <row r="151" spans="2:36">
      <c r="B151" s="854"/>
      <c r="D151" s="853"/>
      <c r="E151" s="853"/>
      <c r="F151" s="853"/>
      <c r="G151" s="853"/>
      <c r="H151" s="853"/>
      <c r="I151" s="853"/>
      <c r="J151" s="853"/>
      <c r="T151" s="838"/>
      <c r="V151" s="838"/>
      <c r="W151" s="838"/>
      <c r="X151" s="838"/>
      <c r="Y151" s="838"/>
      <c r="Z151" s="838"/>
      <c r="AA151" s="838"/>
      <c r="AB151" s="838"/>
      <c r="AC151" s="838"/>
      <c r="AD151" s="838"/>
    </row>
    <row r="152" spans="2:36">
      <c r="B152" s="856" t="s">
        <v>70</v>
      </c>
      <c r="D152" s="853"/>
      <c r="E152" s="853"/>
      <c r="F152" s="853"/>
      <c r="G152" s="853"/>
      <c r="H152" s="853"/>
      <c r="I152" s="853"/>
      <c r="J152" s="853"/>
      <c r="T152" s="838"/>
      <c r="V152" s="838"/>
      <c r="W152" s="838"/>
      <c r="X152" s="838"/>
      <c r="Y152" s="838"/>
      <c r="Z152" s="838"/>
      <c r="AA152" s="838"/>
      <c r="AB152" s="838"/>
      <c r="AC152" s="838"/>
      <c r="AD152" s="838"/>
    </row>
    <row r="153" spans="2:36">
      <c r="B153" s="857" t="s">
        <v>504</v>
      </c>
      <c r="D153" s="853"/>
      <c r="E153" s="853"/>
      <c r="F153" s="853"/>
      <c r="G153" s="853"/>
      <c r="H153" s="853"/>
      <c r="I153" s="853"/>
      <c r="J153" s="853"/>
      <c r="T153" s="838"/>
      <c r="V153" s="838"/>
      <c r="W153" s="838"/>
      <c r="X153" s="838"/>
      <c r="Y153" s="838"/>
      <c r="Z153" s="838"/>
      <c r="AA153" s="838"/>
      <c r="AB153" s="838"/>
      <c r="AC153" s="838"/>
      <c r="AD153" s="838"/>
    </row>
    <row r="154" spans="2:36">
      <c r="B154" s="858" t="s">
        <v>75</v>
      </c>
      <c r="D154" s="853">
        <v>11</v>
      </c>
      <c r="E154" s="859">
        <v>5.9</v>
      </c>
      <c r="F154" s="853" t="s">
        <v>160</v>
      </c>
      <c r="G154" s="853"/>
      <c r="H154" s="859">
        <v>778.80000000000007</v>
      </c>
      <c r="I154" s="853"/>
      <c r="J154" s="1411">
        <v>11</v>
      </c>
      <c r="T154" s="838"/>
      <c r="V154" s="838"/>
      <c r="W154" s="838"/>
      <c r="X154" s="838"/>
      <c r="Y154" s="838"/>
      <c r="Z154" s="838"/>
      <c r="AA154" s="838"/>
      <c r="AB154" s="838"/>
      <c r="AC154" s="838"/>
      <c r="AD154" s="838"/>
    </row>
    <row r="155" spans="2:36">
      <c r="B155" s="858" t="s">
        <v>80</v>
      </c>
      <c r="D155" s="853">
        <v>10011</v>
      </c>
      <c r="E155" s="859">
        <v>6.32</v>
      </c>
      <c r="F155" s="853" t="s">
        <v>160</v>
      </c>
      <c r="G155" s="853"/>
      <c r="H155" s="859">
        <v>759234.24</v>
      </c>
      <c r="I155" s="853"/>
      <c r="J155" s="1411">
        <v>10011</v>
      </c>
      <c r="T155" s="838"/>
      <c r="V155" s="838"/>
      <c r="W155" s="838"/>
      <c r="X155" s="838"/>
      <c r="Y155" s="838"/>
      <c r="Z155" s="838"/>
      <c r="AA155" s="838"/>
      <c r="AB155" s="838"/>
      <c r="AC155" s="838"/>
      <c r="AD155" s="838"/>
    </row>
    <row r="156" spans="2:36">
      <c r="B156" s="858" t="s">
        <v>83</v>
      </c>
      <c r="D156" s="853">
        <v>74170</v>
      </c>
      <c r="E156" s="859">
        <v>7.05</v>
      </c>
      <c r="F156" s="853" t="s">
        <v>160</v>
      </c>
      <c r="G156" s="853"/>
      <c r="H156" s="859">
        <v>6274782</v>
      </c>
      <c r="I156" s="853"/>
      <c r="J156" s="1411">
        <v>74170</v>
      </c>
      <c r="T156" s="838"/>
      <c r="V156" s="838"/>
      <c r="W156" s="838"/>
      <c r="X156" s="838"/>
      <c r="Y156" s="838"/>
      <c r="Z156" s="838"/>
      <c r="AA156" s="838"/>
      <c r="AB156" s="838"/>
      <c r="AC156" s="838"/>
      <c r="AD156" s="838"/>
    </row>
    <row r="157" spans="2:36">
      <c r="B157" s="858" t="s">
        <v>85</v>
      </c>
      <c r="D157" s="853">
        <v>610</v>
      </c>
      <c r="E157" s="859">
        <v>7.89</v>
      </c>
      <c r="F157" s="853" t="s">
        <v>160</v>
      </c>
      <c r="G157" s="853"/>
      <c r="H157" s="859">
        <v>57754.799999999996</v>
      </c>
      <c r="I157" s="853"/>
      <c r="J157" s="1411">
        <v>610</v>
      </c>
      <c r="T157" s="838"/>
      <c r="V157" s="838"/>
      <c r="W157" s="838"/>
      <c r="X157" s="838"/>
      <c r="Y157" s="838"/>
      <c r="Z157" s="838"/>
      <c r="AA157" s="838"/>
      <c r="AB157" s="838"/>
      <c r="AC157" s="838"/>
      <c r="AD157" s="838"/>
    </row>
    <row r="158" spans="2:36">
      <c r="B158" s="858" t="s">
        <v>87</v>
      </c>
      <c r="D158" s="853">
        <v>18448</v>
      </c>
      <c r="E158" s="859">
        <v>12.16</v>
      </c>
      <c r="F158" s="853" t="s">
        <v>160</v>
      </c>
      <c r="G158" s="853"/>
      <c r="H158" s="859">
        <v>2691932.1600000001</v>
      </c>
      <c r="I158" s="853"/>
      <c r="J158" s="1411">
        <v>18448</v>
      </c>
      <c r="T158" s="838"/>
      <c r="V158" s="838"/>
      <c r="W158" s="838"/>
      <c r="X158" s="838"/>
      <c r="Y158" s="838"/>
      <c r="Z158" s="838"/>
      <c r="AA158" s="838"/>
      <c r="AB158" s="838"/>
      <c r="AC158" s="838"/>
      <c r="AD158" s="838"/>
    </row>
    <row r="159" spans="2:36">
      <c r="B159" s="858" t="s">
        <v>91</v>
      </c>
      <c r="D159" s="853">
        <v>746</v>
      </c>
      <c r="E159" s="859">
        <v>13.32</v>
      </c>
      <c r="F159" s="853" t="s">
        <v>160</v>
      </c>
      <c r="G159" s="853"/>
      <c r="H159" s="859">
        <v>119240.63999999998</v>
      </c>
      <c r="I159" s="853"/>
      <c r="J159" s="1411">
        <v>746</v>
      </c>
      <c r="T159" s="838"/>
      <c r="V159" s="838"/>
      <c r="W159" s="838"/>
      <c r="X159" s="838"/>
      <c r="Y159" s="838"/>
      <c r="Z159" s="838"/>
      <c r="AA159" s="838"/>
      <c r="AB159" s="838"/>
      <c r="AC159" s="838"/>
      <c r="AD159" s="838"/>
    </row>
    <row r="160" spans="2:36">
      <c r="B160" s="858" t="s">
        <v>93</v>
      </c>
      <c r="D160" s="853">
        <v>1136</v>
      </c>
      <c r="E160" s="859">
        <v>18.16</v>
      </c>
      <c r="F160" s="853" t="s">
        <v>160</v>
      </c>
      <c r="G160" s="853"/>
      <c r="H160" s="859">
        <v>247557.12</v>
      </c>
      <c r="I160" s="853"/>
      <c r="J160" s="1411">
        <v>1136</v>
      </c>
      <c r="T160" s="838"/>
      <c r="V160" s="838"/>
      <c r="W160" s="838"/>
      <c r="X160" s="838"/>
      <c r="Y160" s="838"/>
      <c r="Z160" s="838"/>
      <c r="AA160" s="838"/>
      <c r="AB160" s="838"/>
      <c r="AC160" s="838"/>
      <c r="AD160" s="838"/>
    </row>
    <row r="161" spans="2:30">
      <c r="B161" s="861"/>
      <c r="D161" s="1412"/>
      <c r="E161" s="859"/>
      <c r="F161" s="1413"/>
      <c r="G161" s="853"/>
      <c r="H161" s="859"/>
      <c r="I161" s="853"/>
      <c r="J161" s="853"/>
      <c r="T161" s="838"/>
      <c r="V161" s="838"/>
      <c r="W161" s="838"/>
      <c r="X161" s="838"/>
      <c r="Y161" s="838"/>
      <c r="Z161" s="838"/>
      <c r="AA161" s="838"/>
      <c r="AB161" s="838"/>
      <c r="AC161" s="838"/>
      <c r="AD161" s="838"/>
    </row>
    <row r="162" spans="2:30">
      <c r="B162" s="856" t="s">
        <v>94</v>
      </c>
      <c r="D162" s="1412"/>
      <c r="E162" s="859"/>
      <c r="F162" s="1413"/>
      <c r="G162" s="853"/>
      <c r="H162" s="859"/>
      <c r="I162" s="853"/>
      <c r="J162" s="853"/>
      <c r="T162" s="838"/>
      <c r="V162" s="838"/>
      <c r="W162" s="838"/>
      <c r="X162" s="838"/>
      <c r="Y162" s="838"/>
      <c r="Z162" s="838"/>
      <c r="AA162" s="838"/>
      <c r="AB162" s="838"/>
      <c r="AC162" s="838"/>
      <c r="AD162" s="838"/>
    </row>
    <row r="163" spans="2:30">
      <c r="B163" s="857" t="s">
        <v>504</v>
      </c>
      <c r="D163" s="1412"/>
      <c r="E163" s="859"/>
      <c r="F163" s="1413"/>
      <c r="G163" s="853"/>
      <c r="H163" s="859"/>
      <c r="I163" s="853"/>
      <c r="J163" s="853"/>
      <c r="T163" s="838"/>
      <c r="V163" s="838"/>
      <c r="W163" s="838"/>
      <c r="X163" s="838"/>
      <c r="Y163" s="838"/>
      <c r="Z163" s="838"/>
      <c r="AA163" s="838"/>
      <c r="AB163" s="838"/>
      <c r="AC163" s="838"/>
      <c r="AD163" s="838"/>
    </row>
    <row r="164" spans="2:30">
      <c r="B164" s="858" t="s">
        <v>75</v>
      </c>
      <c r="D164" s="853">
        <v>35</v>
      </c>
      <c r="E164" s="859">
        <v>8.9499999999999993</v>
      </c>
      <c r="F164" s="859" t="s">
        <v>160</v>
      </c>
      <c r="G164" s="853"/>
      <c r="H164" s="859">
        <v>3759</v>
      </c>
      <c r="I164" s="853"/>
      <c r="J164" s="1411">
        <v>35</v>
      </c>
      <c r="T164" s="838"/>
      <c r="V164" s="838"/>
      <c r="W164" s="838"/>
      <c r="X164" s="838"/>
      <c r="Y164" s="838"/>
      <c r="Z164" s="838"/>
      <c r="AA164" s="838"/>
      <c r="AB164" s="838"/>
      <c r="AC164" s="838"/>
      <c r="AD164" s="838"/>
    </row>
    <row r="165" spans="2:30">
      <c r="B165" s="858" t="s">
        <v>80</v>
      </c>
      <c r="D165" s="1414">
        <v>57291</v>
      </c>
      <c r="E165" s="859">
        <v>9.32</v>
      </c>
      <c r="F165" s="859" t="s">
        <v>160</v>
      </c>
      <c r="G165" s="853"/>
      <c r="H165" s="859">
        <v>6407425.4399999995</v>
      </c>
      <c r="I165" s="853"/>
      <c r="J165" s="1411">
        <v>48238</v>
      </c>
      <c r="T165" s="838"/>
      <c r="V165" s="838"/>
      <c r="W165" s="838"/>
      <c r="X165" s="838"/>
      <c r="Y165" s="838"/>
      <c r="Z165" s="838"/>
      <c r="AA165" s="838"/>
      <c r="AB165" s="838"/>
      <c r="AC165" s="838"/>
      <c r="AD165" s="838"/>
    </row>
    <row r="166" spans="2:30">
      <c r="B166" s="858" t="s">
        <v>83</v>
      </c>
      <c r="D166" s="1414">
        <v>262102</v>
      </c>
      <c r="E166" s="859">
        <v>10.1</v>
      </c>
      <c r="F166" s="859" t="s">
        <v>160</v>
      </c>
      <c r="G166" s="853"/>
      <c r="H166" s="859">
        <v>31766762.399999999</v>
      </c>
      <c r="I166" s="853"/>
      <c r="J166" s="1411">
        <v>239243</v>
      </c>
      <c r="T166" s="838"/>
      <c r="V166" s="838"/>
      <c r="W166" s="838"/>
      <c r="X166" s="838"/>
      <c r="Y166" s="838"/>
      <c r="Z166" s="838"/>
      <c r="AA166" s="838"/>
      <c r="AB166" s="838"/>
      <c r="AC166" s="838"/>
      <c r="AD166" s="838"/>
    </row>
    <row r="167" spans="2:30">
      <c r="B167" s="858" t="s">
        <v>85</v>
      </c>
      <c r="D167" s="853">
        <v>736</v>
      </c>
      <c r="E167" s="859">
        <v>10.89</v>
      </c>
      <c r="F167" s="859" t="s">
        <v>160</v>
      </c>
      <c r="G167" s="853"/>
      <c r="H167" s="859">
        <v>96180.48000000001</v>
      </c>
      <c r="I167" s="853"/>
      <c r="J167" s="1411">
        <v>736</v>
      </c>
      <c r="T167" s="838"/>
      <c r="V167" s="838"/>
      <c r="W167" s="838"/>
      <c r="X167" s="838"/>
      <c r="Y167" s="838"/>
      <c r="Z167" s="838"/>
      <c r="AA167" s="838"/>
      <c r="AB167" s="838"/>
      <c r="AC167" s="838"/>
      <c r="AD167" s="838"/>
    </row>
    <row r="168" spans="2:30">
      <c r="B168" s="858" t="s">
        <v>87</v>
      </c>
      <c r="D168" s="853">
        <v>36502</v>
      </c>
      <c r="E168" s="859">
        <v>13.16</v>
      </c>
      <c r="F168" s="859" t="s">
        <v>160</v>
      </c>
      <c r="G168" s="853"/>
      <c r="H168" s="859">
        <v>5764395.8399999999</v>
      </c>
      <c r="I168" s="853"/>
      <c r="J168" s="1411">
        <v>36502</v>
      </c>
    </row>
    <row r="169" spans="2:30">
      <c r="B169" s="858" t="s">
        <v>91</v>
      </c>
      <c r="D169" s="853">
        <v>139</v>
      </c>
      <c r="E169" s="859">
        <v>14.32</v>
      </c>
      <c r="F169" s="859" t="s">
        <v>160</v>
      </c>
      <c r="G169" s="853"/>
      <c r="H169" s="859">
        <v>23885.760000000002</v>
      </c>
      <c r="I169" s="853"/>
      <c r="J169" s="1411">
        <v>139</v>
      </c>
    </row>
    <row r="170" spans="2:30">
      <c r="B170" s="858"/>
      <c r="D170" s="1412"/>
      <c r="E170" s="859"/>
      <c r="F170" s="859"/>
      <c r="G170" s="853"/>
      <c r="H170" s="859"/>
      <c r="I170" s="853"/>
      <c r="J170" s="1411"/>
    </row>
    <row r="171" spans="2:30">
      <c r="B171" s="856" t="s">
        <v>144</v>
      </c>
      <c r="D171" s="1412"/>
      <c r="E171" s="859"/>
      <c r="F171" s="1413"/>
      <c r="G171" s="853"/>
      <c r="H171" s="859"/>
      <c r="I171" s="853"/>
      <c r="J171" s="853"/>
    </row>
    <row r="172" spans="2:30">
      <c r="B172" s="857" t="s">
        <v>504</v>
      </c>
      <c r="D172" s="1415"/>
      <c r="E172" s="863"/>
      <c r="F172" s="853"/>
      <c r="G172" s="853"/>
      <c r="H172" s="1406"/>
      <c r="I172" s="853"/>
      <c r="J172" s="1415"/>
    </row>
    <row r="173" spans="2:30">
      <c r="B173" s="857" t="s">
        <v>423</v>
      </c>
      <c r="D173" s="1415">
        <v>0</v>
      </c>
      <c r="E173" s="863">
        <v>0</v>
      </c>
      <c r="F173" s="853" t="s">
        <v>160</v>
      </c>
      <c r="G173" s="853"/>
      <c r="H173" s="1406">
        <v>0</v>
      </c>
      <c r="I173" s="853"/>
      <c r="J173" s="1323">
        <v>16982</v>
      </c>
    </row>
    <row r="174" spans="2:30">
      <c r="B174" s="857" t="s">
        <v>424</v>
      </c>
      <c r="D174" s="1415">
        <v>0</v>
      </c>
      <c r="E174" s="863">
        <v>0</v>
      </c>
      <c r="F174" s="853" t="s">
        <v>160</v>
      </c>
      <c r="G174" s="853"/>
      <c r="H174" s="1406">
        <v>0</v>
      </c>
      <c r="I174" s="853"/>
      <c r="J174" s="1323">
        <v>25000</v>
      </c>
    </row>
    <row r="175" spans="2:30">
      <c r="B175" s="857" t="s">
        <v>425</v>
      </c>
      <c r="D175" s="1415">
        <v>0</v>
      </c>
      <c r="E175" s="863">
        <v>0</v>
      </c>
      <c r="F175" s="853" t="s">
        <v>160</v>
      </c>
      <c r="G175" s="853"/>
      <c r="H175" s="1406">
        <v>0</v>
      </c>
      <c r="I175" s="853"/>
      <c r="J175" s="1323">
        <v>75000</v>
      </c>
    </row>
    <row r="176" spans="2:30">
      <c r="B176" s="858"/>
      <c r="D176" s="1412"/>
      <c r="E176" s="859"/>
      <c r="F176" s="1413"/>
      <c r="G176" s="853"/>
      <c r="H176" s="859"/>
      <c r="I176" s="853"/>
      <c r="J176" s="853"/>
    </row>
    <row r="177" spans="2:10">
      <c r="B177" s="856" t="s">
        <v>107</v>
      </c>
      <c r="D177" s="1412"/>
      <c r="E177" s="859"/>
      <c r="F177" s="1413"/>
      <c r="G177" s="853"/>
      <c r="H177" s="859"/>
      <c r="I177" s="853"/>
      <c r="J177" s="853"/>
    </row>
    <row r="178" spans="2:10">
      <c r="B178" s="857" t="s">
        <v>505</v>
      </c>
      <c r="D178" s="1412"/>
      <c r="E178" s="859"/>
      <c r="F178" s="1413"/>
      <c r="G178" s="853"/>
      <c r="H178" s="859"/>
      <c r="I178" s="853"/>
      <c r="J178" s="853"/>
    </row>
    <row r="179" spans="2:10">
      <c r="B179" s="858" t="s">
        <v>110</v>
      </c>
      <c r="D179" s="1416">
        <v>731</v>
      </c>
      <c r="E179" s="859">
        <v>5.82</v>
      </c>
      <c r="F179" s="859" t="s">
        <v>160</v>
      </c>
      <c r="G179" s="853"/>
      <c r="H179" s="859">
        <v>51053.04</v>
      </c>
      <c r="I179" s="853"/>
      <c r="J179" s="1330">
        <v>0</v>
      </c>
    </row>
    <row r="180" spans="2:10">
      <c r="B180" s="858" t="s">
        <v>112</v>
      </c>
      <c r="D180" s="1416">
        <v>25809</v>
      </c>
      <c r="E180" s="859">
        <v>7.83</v>
      </c>
      <c r="F180" s="859" t="s">
        <v>160</v>
      </c>
      <c r="G180" s="853"/>
      <c r="H180" s="859">
        <v>2425013.64</v>
      </c>
      <c r="I180" s="853"/>
      <c r="J180" s="1330">
        <v>4275</v>
      </c>
    </row>
    <row r="181" spans="2:10">
      <c r="B181" s="858" t="s">
        <v>114</v>
      </c>
      <c r="D181" s="1416">
        <v>3380</v>
      </c>
      <c r="E181" s="859">
        <v>13.41</v>
      </c>
      <c r="F181" s="859" t="s">
        <v>160</v>
      </c>
      <c r="G181" s="853"/>
      <c r="H181" s="859">
        <v>543909.60000000009</v>
      </c>
      <c r="I181" s="853"/>
      <c r="J181" s="1330">
        <v>1380</v>
      </c>
    </row>
    <row r="182" spans="2:10">
      <c r="B182" s="858" t="s">
        <v>116</v>
      </c>
      <c r="D182" s="1416">
        <v>2223</v>
      </c>
      <c r="E182" s="859">
        <v>28.03</v>
      </c>
      <c r="F182" s="859" t="s">
        <v>160</v>
      </c>
      <c r="G182" s="853"/>
      <c r="H182" s="859">
        <v>747728.28</v>
      </c>
      <c r="I182" s="853"/>
      <c r="J182" s="1330">
        <v>523</v>
      </c>
    </row>
    <row r="183" spans="2:10">
      <c r="B183" s="858" t="s">
        <v>118</v>
      </c>
      <c r="D183" s="1416">
        <v>4</v>
      </c>
      <c r="E183" s="859">
        <v>25.03</v>
      </c>
      <c r="F183" s="859" t="s">
        <v>160</v>
      </c>
      <c r="G183" s="853"/>
      <c r="H183" s="859">
        <v>1201.44</v>
      </c>
      <c r="I183" s="853"/>
      <c r="J183" s="1330">
        <v>4</v>
      </c>
    </row>
    <row r="184" spans="2:10">
      <c r="B184" s="858"/>
      <c r="D184" s="1416"/>
      <c r="E184" s="859"/>
      <c r="F184" s="1413"/>
      <c r="G184" s="853"/>
      <c r="H184" s="859"/>
      <c r="I184" s="853"/>
      <c r="J184" s="853"/>
    </row>
    <row r="185" spans="2:10">
      <c r="B185" s="857" t="s">
        <v>506</v>
      </c>
      <c r="D185" s="1416"/>
      <c r="E185" s="859"/>
      <c r="F185" s="1413"/>
      <c r="G185" s="853"/>
      <c r="H185" s="859"/>
      <c r="I185" s="853"/>
      <c r="J185" s="853"/>
    </row>
    <row r="186" spans="2:10">
      <c r="B186" s="858" t="s">
        <v>110</v>
      </c>
      <c r="D186" s="1416">
        <v>9860</v>
      </c>
      <c r="E186" s="859">
        <v>4.22</v>
      </c>
      <c r="F186" s="859" t="s">
        <v>160</v>
      </c>
      <c r="G186" s="853"/>
      <c r="H186" s="859">
        <v>499310.39999999997</v>
      </c>
      <c r="I186" s="853"/>
      <c r="J186" s="1330">
        <v>2860</v>
      </c>
    </row>
    <row r="187" spans="2:10">
      <c r="B187" s="858" t="s">
        <v>112</v>
      </c>
      <c r="D187" s="1416">
        <v>11308</v>
      </c>
      <c r="E187" s="859">
        <v>6.18</v>
      </c>
      <c r="F187" s="859" t="s">
        <v>160</v>
      </c>
      <c r="G187" s="853"/>
      <c r="H187" s="859">
        <v>838601.28</v>
      </c>
      <c r="I187" s="853"/>
      <c r="J187" s="1330">
        <v>4205</v>
      </c>
    </row>
    <row r="188" spans="2:10">
      <c r="B188" s="858" t="s">
        <v>114</v>
      </c>
      <c r="D188" s="1416">
        <v>876</v>
      </c>
      <c r="E188" s="859">
        <v>8.31</v>
      </c>
      <c r="F188" s="859" t="s">
        <v>160</v>
      </c>
      <c r="G188" s="853"/>
      <c r="H188" s="859">
        <v>87354.72</v>
      </c>
      <c r="I188" s="853"/>
      <c r="J188" s="1330">
        <v>500</v>
      </c>
    </row>
    <row r="189" spans="2:10">
      <c r="B189" s="858" t="s">
        <v>116</v>
      </c>
      <c r="D189" s="1416">
        <v>486</v>
      </c>
      <c r="E189" s="859">
        <v>12.08</v>
      </c>
      <c r="F189" s="859" t="s">
        <v>160</v>
      </c>
      <c r="G189" s="853"/>
      <c r="H189" s="859">
        <v>70450.559999999998</v>
      </c>
      <c r="I189" s="853"/>
      <c r="J189" s="1330">
        <v>150</v>
      </c>
    </row>
    <row r="190" spans="2:10" ht="13.8" thickBot="1">
      <c r="B190" s="866" t="s">
        <v>507</v>
      </c>
      <c r="C190" s="865"/>
      <c r="D190" s="1417">
        <v>516614</v>
      </c>
      <c r="E190" s="867"/>
      <c r="F190" s="1418"/>
      <c r="G190" s="867"/>
      <c r="H190" s="1419">
        <v>68480938.640000001</v>
      </c>
      <c r="I190" s="1418"/>
      <c r="J190" s="1417">
        <v>560904</v>
      </c>
    </row>
    <row r="191" spans="2:10" ht="13.8" thickTop="1">
      <c r="F191" s="1215" t="s">
        <v>606</v>
      </c>
      <c r="G191" s="773"/>
      <c r="H191" s="1420">
        <f>H150/D190/12</f>
        <v>1.452184642047383</v>
      </c>
      <c r="J191" s="838" t="s">
        <v>607</v>
      </c>
    </row>
    <row r="193" spans="6:10">
      <c r="F193" s="1521" t="s">
        <v>690</v>
      </c>
      <c r="H193" s="864">
        <f>H190*0.0112</f>
        <v>766986.51276800002</v>
      </c>
    </row>
    <row r="194" spans="6:10">
      <c r="F194" s="1522" t="s">
        <v>691</v>
      </c>
      <c r="H194" s="864">
        <f>H193/D190/12</f>
        <v>0.12372011352899198</v>
      </c>
      <c r="J194" s="838" t="s">
        <v>607</v>
      </c>
    </row>
  </sheetData>
  <mergeCells count="6">
    <mergeCell ref="X7:AB7"/>
    <mergeCell ref="B2:D2"/>
    <mergeCell ref="AY7:BF7"/>
    <mergeCell ref="AP7:AW7"/>
    <mergeCell ref="N7:R7"/>
    <mergeCell ref="AG7:AN7"/>
  </mergeCells>
  <conditionalFormatting sqref="J13:R13 J14:M15 O14:R15 K16:R26 K44:R45 T19:T21 T16 T133:T135 T137 K49:R51 L46:R48 K11:R12 AH14:AN15 W11:AB137">
    <cfRule type="expression" dxfId="64" priority="112">
      <formula>HideProposed</formula>
    </cfRule>
  </conditionalFormatting>
  <conditionalFormatting sqref="K34:R36 K43:M43 K45:M45 L52:M56 K57:R58 K63:M63 K64:R66 L67:M67 K68:R69 L70:M70 K71:R72 K82:R86 K93:R95 K98:R100 L101:M101 K102:R103 K112:R114 L115:M115 K116:R117 K137:M137 O137:Q137 L27:M33 L37:M42 L46:M48 L59:M62 L87:M92">
    <cfRule type="expression" dxfId="63" priority="156">
      <formula>HideProposed</formula>
    </cfRule>
  </conditionalFormatting>
  <conditionalFormatting sqref="K81:M81 L73:M80">
    <cfRule type="expression" dxfId="62" priority="147">
      <formula>HideProposed</formula>
    </cfRule>
  </conditionalFormatting>
  <conditionalFormatting sqref="K97:M97 L96:M96">
    <cfRule type="expression" dxfId="61" priority="146">
      <formula>HideProposed</formula>
    </cfRule>
  </conditionalFormatting>
  <conditionalFormatting sqref="K105:M105 L104:M104">
    <cfRule type="expression" dxfId="60" priority="145">
      <formula>HideProposed</formula>
    </cfRule>
  </conditionalFormatting>
  <conditionalFormatting sqref="K119:M119 K120:R122 L123:M123 O123 K125:R127 K130:R132 L118:M118">
    <cfRule type="expression" dxfId="59" priority="142">
      <formula>HideProposed</formula>
    </cfRule>
  </conditionalFormatting>
  <conditionalFormatting sqref="K129:M129 L128:M128">
    <cfRule type="expression" dxfId="58" priority="140">
      <formula>HideProposed</formula>
    </cfRule>
  </conditionalFormatting>
  <conditionalFormatting sqref="K134:M134 L133:M133">
    <cfRule type="expression" dxfId="57" priority="139">
      <formula>HideProposed</formula>
    </cfRule>
  </conditionalFormatting>
  <conditionalFormatting sqref="K111:O111">
    <cfRule type="expression" dxfId="56" priority="143">
      <formula>HideProposed</formula>
    </cfRule>
  </conditionalFormatting>
  <conditionalFormatting sqref="K124:O124">
    <cfRule type="expression" dxfId="55" priority="141">
      <formula>HideProposed</formula>
    </cfRule>
  </conditionalFormatting>
  <conditionalFormatting sqref="K106:R109 L110:M110 O110">
    <cfRule type="expression" dxfId="54" priority="144">
      <formula>HideProposed</formula>
    </cfRule>
  </conditionalFormatting>
  <conditionalFormatting sqref="K135:R136">
    <cfRule type="expression" dxfId="53" priority="109">
      <formula>HideProposed</formula>
    </cfRule>
  </conditionalFormatting>
  <conditionalFormatting sqref="O27:R33">
    <cfRule type="expression" dxfId="52" priority="138">
      <formula>HideProposed</formula>
    </cfRule>
  </conditionalFormatting>
  <conditionalFormatting sqref="O37:R43 O45:R48">
    <cfRule type="expression" dxfId="51" priority="137">
      <formula>HideProposed</formula>
    </cfRule>
  </conditionalFormatting>
  <conditionalFormatting sqref="O52:R56">
    <cfRule type="expression" dxfId="50" priority="136">
      <formula>HideProposed</formula>
    </cfRule>
  </conditionalFormatting>
  <conditionalFormatting sqref="O59:R63">
    <cfRule type="expression" dxfId="49" priority="135">
      <formula>HideProposed</formula>
    </cfRule>
  </conditionalFormatting>
  <conditionalFormatting sqref="O67:R67">
    <cfRule type="expression" dxfId="48" priority="134">
      <formula>HideProposed</formula>
    </cfRule>
  </conditionalFormatting>
  <conditionalFormatting sqref="O70:R70">
    <cfRule type="expression" dxfId="47" priority="133">
      <formula>HideProposed</formula>
    </cfRule>
  </conditionalFormatting>
  <conditionalFormatting sqref="O73:R81">
    <cfRule type="expression" dxfId="46" priority="131">
      <formula>HideProposed</formula>
    </cfRule>
  </conditionalFormatting>
  <conditionalFormatting sqref="O87:R92">
    <cfRule type="expression" dxfId="45" priority="130">
      <formula>HideProposed</formula>
    </cfRule>
  </conditionalFormatting>
  <conditionalFormatting sqref="O96:R97">
    <cfRule type="expression" dxfId="44" priority="128">
      <formula>HideProposed</formula>
    </cfRule>
  </conditionalFormatting>
  <conditionalFormatting sqref="O101:R101">
    <cfRule type="expression" dxfId="43" priority="127">
      <formula>HideProposed</formula>
    </cfRule>
  </conditionalFormatting>
  <conditionalFormatting sqref="O104:R105">
    <cfRule type="expression" dxfId="42" priority="125">
      <formula>HideProposed</formula>
    </cfRule>
  </conditionalFormatting>
  <conditionalFormatting sqref="O115:R115">
    <cfRule type="expression" dxfId="41" priority="122">
      <formula>HideProposed</formula>
    </cfRule>
  </conditionalFormatting>
  <conditionalFormatting sqref="O118:R119">
    <cfRule type="expression" dxfId="40" priority="120">
      <formula>HideProposed</formula>
    </cfRule>
  </conditionalFormatting>
  <conditionalFormatting sqref="O128:R129">
    <cfRule type="expression" dxfId="39" priority="115">
      <formula>HideProposed</formula>
    </cfRule>
  </conditionalFormatting>
  <conditionalFormatting sqref="O133:R134">
    <cfRule type="expression" dxfId="38" priority="113">
      <formula>HideProposed</formula>
    </cfRule>
  </conditionalFormatting>
  <conditionalFormatting sqref="P110:R111">
    <cfRule type="expression" dxfId="37" priority="123">
      <formula>HideProposed</formula>
    </cfRule>
  </conditionalFormatting>
  <conditionalFormatting sqref="P123:R124">
    <cfRule type="expression" dxfId="36" priority="117">
      <formula>HideProposed</formula>
    </cfRule>
  </conditionalFormatting>
  <conditionalFormatting sqref="V10:V11">
    <cfRule type="expression" dxfId="35" priority="101">
      <formula>HideProposed</formula>
    </cfRule>
  </conditionalFormatting>
  <conditionalFormatting sqref="T10:T12 T14:T15">
    <cfRule type="expression" dxfId="34" priority="99">
      <formula>HideProposed</formula>
    </cfRule>
  </conditionalFormatting>
  <conditionalFormatting sqref="T23:T24">
    <cfRule type="expression" dxfId="33" priority="98">
      <formula>HideProposed</formula>
    </cfRule>
  </conditionalFormatting>
  <conditionalFormatting sqref="K46:K48">
    <cfRule type="expression" dxfId="32" priority="59">
      <formula>HideProposed</formula>
    </cfRule>
  </conditionalFormatting>
  <conditionalFormatting sqref="K133">
    <cfRule type="expression" dxfId="31" priority="44">
      <formula>HideProposed</formula>
    </cfRule>
  </conditionalFormatting>
  <conditionalFormatting sqref="K128">
    <cfRule type="expression" dxfId="30" priority="43">
      <formula>HideProposed</formula>
    </cfRule>
  </conditionalFormatting>
  <conditionalFormatting sqref="K123">
    <cfRule type="expression" dxfId="29" priority="42">
      <formula>HideProposed</formula>
    </cfRule>
  </conditionalFormatting>
  <conditionalFormatting sqref="K118">
    <cfRule type="expression" dxfId="28" priority="40">
      <formula>HideProposed</formula>
    </cfRule>
  </conditionalFormatting>
  <conditionalFormatting sqref="K110">
    <cfRule type="expression" dxfId="27" priority="38">
      <formula>HideProposed</formula>
    </cfRule>
  </conditionalFormatting>
  <conditionalFormatting sqref="K104">
    <cfRule type="expression" dxfId="26" priority="37">
      <formula>HideProposed</formula>
    </cfRule>
  </conditionalFormatting>
  <conditionalFormatting sqref="K80">
    <cfRule type="expression" dxfId="25" priority="33">
      <formula>HideProposed</formula>
    </cfRule>
  </conditionalFormatting>
  <conditionalFormatting sqref="K70">
    <cfRule type="expression" dxfId="24" priority="32">
      <formula>HideProposed</formula>
    </cfRule>
  </conditionalFormatting>
  <conditionalFormatting sqref="K27:K33">
    <cfRule type="expression" dxfId="23" priority="27">
      <formula>HideProposed</formula>
    </cfRule>
  </conditionalFormatting>
  <conditionalFormatting sqref="K146:K150">
    <cfRule type="expression" dxfId="22" priority="26">
      <formula>HideProposed</formula>
    </cfRule>
  </conditionalFormatting>
  <conditionalFormatting sqref="W10">
    <cfRule type="expression" dxfId="21" priority="25">
      <formula>HideProposed</formula>
    </cfRule>
  </conditionalFormatting>
  <conditionalFormatting sqref="AG14:AG15">
    <cfRule type="expression" dxfId="20" priority="24">
      <formula>HideProposed</formula>
    </cfRule>
  </conditionalFormatting>
  <conditionalFormatting sqref="AL141:AL143">
    <cfRule type="expression" dxfId="19" priority="16">
      <formula>HideProposed</formula>
    </cfRule>
  </conditionalFormatting>
  <conditionalFormatting sqref="AJ146:AJ147">
    <cfRule type="expression" dxfId="18" priority="15">
      <formula>HideProposed</formula>
    </cfRule>
  </conditionalFormatting>
  <conditionalFormatting sqref="K37:K42">
    <cfRule type="expression" dxfId="17" priority="14">
      <formula>HideProposed</formula>
    </cfRule>
  </conditionalFormatting>
  <conditionalFormatting sqref="K52:K56">
    <cfRule type="expression" dxfId="16" priority="13">
      <formula>HideProposed</formula>
    </cfRule>
  </conditionalFormatting>
  <conditionalFormatting sqref="K59:K62">
    <cfRule type="expression" dxfId="15" priority="12">
      <formula>HideProposed</formula>
    </cfRule>
  </conditionalFormatting>
  <conditionalFormatting sqref="K67">
    <cfRule type="expression" dxfId="14" priority="11">
      <formula>HideProposed</formula>
    </cfRule>
  </conditionalFormatting>
  <conditionalFormatting sqref="K73:K79">
    <cfRule type="expression" dxfId="13" priority="9">
      <formula>HideProposed</formula>
    </cfRule>
  </conditionalFormatting>
  <conditionalFormatting sqref="K87:K92">
    <cfRule type="expression" dxfId="12" priority="8">
      <formula>HideProposed</formula>
    </cfRule>
  </conditionalFormatting>
  <conditionalFormatting sqref="K96">
    <cfRule type="expression" dxfId="11" priority="7">
      <formula>HideProposed</formula>
    </cfRule>
  </conditionalFormatting>
  <conditionalFormatting sqref="K101">
    <cfRule type="expression" dxfId="10" priority="6">
      <formula>HideProposed</formula>
    </cfRule>
  </conditionalFormatting>
  <conditionalFormatting sqref="K115">
    <cfRule type="expression" dxfId="9" priority="5">
      <formula>HideProposed</formula>
    </cfRule>
  </conditionalFormatting>
  <conditionalFormatting sqref="AQ14:AW15">
    <cfRule type="expression" dxfId="8" priority="4">
      <formula>HideProposed</formula>
    </cfRule>
  </conditionalFormatting>
  <conditionalFormatting sqref="AP14:AP15">
    <cfRule type="expression" dxfId="7" priority="3">
      <formula>HideProposed</formula>
    </cfRule>
  </conditionalFormatting>
  <conditionalFormatting sqref="AZ14:BF15">
    <cfRule type="expression" dxfId="6" priority="2">
      <formula>HideProposed</formula>
    </cfRule>
  </conditionalFormatting>
  <conditionalFormatting sqref="AY14:AY15">
    <cfRule type="expression" dxfId="5" priority="1">
      <formula>HideProposed</formula>
    </cfRule>
  </conditionalFormatting>
  <pageMargins left="0.7" right="0.7" top="0.75" bottom="0.75" header="0.3" footer="0.3"/>
  <pageSetup scale="49" fitToWidth="0" fitToHeight="0" orientation="portrait" blackAndWhite="1" r:id="rId1"/>
  <headerFooter scaleWithDoc="0">
    <oddHeader>&amp;LDocket NEPR-AP-2023-0003
&amp;RSchedule M-1
Page &amp;P of &amp;N</oddHeader>
    <oddFooter>&amp;R&amp;"Times New Roman,Regular"&amp;8Rendered: &amp;D &amp;T</oddFooter>
  </headerFooter>
  <rowBreaks count="1" manualBreakCount="1">
    <brk id="64" min="1"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75A-7B02-44C9-8C8C-4AE3B4ED9358}">
  <sheetPr>
    <tabColor theme="3" tint="0.79998168889431442"/>
  </sheetPr>
  <dimension ref="A1:AA44"/>
  <sheetViews>
    <sheetView workbookViewId="0"/>
  </sheetViews>
  <sheetFormatPr defaultRowHeight="13.8"/>
  <cols>
    <col min="1" max="1" width="1.19921875" style="665" customWidth="1"/>
    <col min="2" max="2" width="22.3984375" style="692" customWidth="1"/>
    <col min="3" max="3" width="1" style="692" customWidth="1"/>
    <col min="4" max="4" width="44" style="692" customWidth="1"/>
    <col min="5" max="5" width="14" style="692" customWidth="1"/>
    <col min="6" max="6" width="16.5" style="692" customWidth="1"/>
    <col min="7" max="14" width="8.69921875" style="665"/>
  </cols>
  <sheetData>
    <row r="1" spans="1:27">
      <c r="C1" s="689"/>
      <c r="D1" s="689"/>
      <c r="F1" s="665"/>
    </row>
    <row r="2" spans="1:27" s="3" customFormat="1">
      <c r="A2" s="692"/>
      <c r="B2" s="1604" t="s">
        <v>635</v>
      </c>
      <c r="C2" s="1604"/>
      <c r="D2" s="1604"/>
      <c r="E2" s="689"/>
      <c r="F2" s="689"/>
      <c r="G2" s="665"/>
      <c r="H2" s="665"/>
      <c r="I2" s="665"/>
      <c r="J2" s="665"/>
      <c r="K2" s="665"/>
      <c r="L2" s="665"/>
      <c r="M2" s="665"/>
      <c r="N2" s="665"/>
      <c r="O2"/>
      <c r="P2"/>
      <c r="Q2"/>
      <c r="R2"/>
      <c r="S2"/>
      <c r="T2"/>
      <c r="U2"/>
      <c r="V2"/>
      <c r="W2"/>
      <c r="X2"/>
      <c r="Y2"/>
      <c r="Z2"/>
      <c r="AA2"/>
    </row>
    <row r="3" spans="1:27" s="3" customFormat="1">
      <c r="A3" s="692"/>
      <c r="B3" s="779" t="s">
        <v>526</v>
      </c>
      <c r="C3" s="773"/>
      <c r="D3" s="875">
        <f>'Lists and Mapping'!C10</f>
        <v>2027</v>
      </c>
      <c r="E3" s="689"/>
      <c r="F3" s="689"/>
      <c r="G3" s="665"/>
      <c r="H3" s="665"/>
      <c r="I3" s="665"/>
      <c r="J3" s="665"/>
      <c r="K3" s="665"/>
      <c r="L3" s="665"/>
      <c r="M3" s="665"/>
      <c r="N3" s="665"/>
      <c r="O3"/>
      <c r="P3"/>
      <c r="Q3"/>
      <c r="R3"/>
      <c r="S3"/>
      <c r="T3"/>
      <c r="U3"/>
      <c r="V3"/>
      <c r="W3"/>
      <c r="X3"/>
      <c r="Y3"/>
      <c r="Z3"/>
      <c r="AA3"/>
    </row>
    <row r="4" spans="1:27" s="3" customFormat="1">
      <c r="A4" s="692"/>
      <c r="B4" s="779" t="s">
        <v>334</v>
      </c>
      <c r="C4" s="773"/>
      <c r="D4" s="875" t="str">
        <f>'Lists and Mapping'!C12</f>
        <v>PREB Approved, Reconciliation in FY27</v>
      </c>
      <c r="E4" s="689"/>
      <c r="F4" s="689"/>
      <c r="G4" s="665"/>
      <c r="H4" s="665"/>
      <c r="I4" s="665"/>
      <c r="J4" s="665"/>
      <c r="K4" s="665"/>
      <c r="L4" s="665"/>
      <c r="M4" s="665"/>
      <c r="N4" s="665"/>
      <c r="O4"/>
      <c r="P4"/>
      <c r="Q4"/>
      <c r="R4"/>
      <c r="S4"/>
      <c r="T4"/>
      <c r="U4"/>
      <c r="V4"/>
      <c r="W4"/>
      <c r="X4"/>
      <c r="Y4"/>
      <c r="Z4"/>
      <c r="AA4"/>
    </row>
    <row r="5" spans="1:27" s="3" customFormat="1">
      <c r="A5" s="692"/>
      <c r="B5" s="779" t="s">
        <v>529</v>
      </c>
      <c r="C5" s="773"/>
      <c r="D5" s="875" t="str">
        <f>'Lists and Mapping'!C13</f>
        <v>PREB FY2027</v>
      </c>
      <c r="E5" s="689"/>
      <c r="F5" s="689"/>
      <c r="G5" s="665"/>
      <c r="H5" s="665"/>
      <c r="I5" s="665"/>
      <c r="J5" s="665"/>
      <c r="K5" s="665"/>
      <c r="L5" s="665"/>
      <c r="M5" s="665"/>
      <c r="N5" s="665"/>
      <c r="O5"/>
      <c r="P5"/>
      <c r="Q5"/>
      <c r="R5"/>
      <c r="S5"/>
      <c r="T5"/>
      <c r="U5"/>
      <c r="V5"/>
      <c r="W5"/>
      <c r="X5"/>
      <c r="Y5"/>
      <c r="Z5"/>
      <c r="AA5"/>
    </row>
    <row r="6" spans="1:27" s="3" customFormat="1">
      <c r="A6" s="692"/>
      <c r="B6" s="784" t="s">
        <v>532</v>
      </c>
      <c r="C6" s="878"/>
      <c r="D6" s="875" t="str">
        <f>'Lists and Mapping'!C14</f>
        <v>PREB FY2027</v>
      </c>
      <c r="E6" s="692"/>
      <c r="F6" s="692" t="s">
        <v>549</v>
      </c>
      <c r="G6" s="665"/>
      <c r="H6" s="665"/>
      <c r="I6" s="665"/>
      <c r="J6" s="665"/>
      <c r="K6" s="665"/>
      <c r="L6" s="665"/>
      <c r="M6" s="665"/>
      <c r="N6" s="665"/>
      <c r="O6"/>
      <c r="P6"/>
      <c r="Q6"/>
      <c r="R6"/>
      <c r="S6"/>
      <c r="T6"/>
      <c r="U6"/>
      <c r="V6"/>
      <c r="W6"/>
      <c r="X6"/>
      <c r="Y6"/>
      <c r="Z6"/>
      <c r="AA6"/>
    </row>
    <row r="7" spans="1:27">
      <c r="C7" s="689"/>
      <c r="D7" s="1421"/>
      <c r="E7" s="879" t="s">
        <v>339</v>
      </c>
      <c r="F7" s="880" t="s">
        <v>544</v>
      </c>
    </row>
    <row r="8" spans="1:27">
      <c r="B8" s="736"/>
      <c r="C8" s="689"/>
      <c r="D8" s="883" t="s">
        <v>343</v>
      </c>
      <c r="E8" s="884" t="s">
        <v>344</v>
      </c>
      <c r="F8" s="885" t="s">
        <v>536</v>
      </c>
    </row>
    <row r="9" spans="1:27">
      <c r="E9" s="890"/>
      <c r="F9" s="891"/>
    </row>
    <row r="10" spans="1:27">
      <c r="B10" s="699" t="s">
        <v>3</v>
      </c>
      <c r="D10" s="692" t="s">
        <v>347</v>
      </c>
      <c r="E10" s="892">
        <f>VLOOKUP("TOTAL "&amp;$B10, 'Consumer Analysis'!$B$11:$N$162, 3,FALSE)</f>
        <v>5466100000</v>
      </c>
      <c r="F10" s="893">
        <f>SUMIF('Rate Inputs'!$AF$5:$AF$17, "*"&amp;$B10&amp;"*",'Rate Inputs'!$AD$5:$AD$17)*VLOOKUP($B10, 'Billing Units'!$C$44:$K$74, 9,FALSE)</f>
        <v>970538851.60000014</v>
      </c>
      <c r="G10" s="1422"/>
    </row>
    <row r="11" spans="1:27">
      <c r="B11" s="699" t="s">
        <v>6</v>
      </c>
      <c r="D11" s="692" t="s">
        <v>348</v>
      </c>
      <c r="E11" s="892">
        <f>VLOOKUP("TOTAL "&amp;$B11, 'Consumer Analysis'!$B$11:$N$162, 3,FALSE)</f>
        <v>455100000</v>
      </c>
      <c r="F11" s="893">
        <f>SUMIF('Rate Inputs'!$AF$5:$AF$17, "*"&amp;$B11&amp;"*",'Rate Inputs'!$AD$5:$AD$17)*VLOOKUP($B11, 'Billing Units'!$C$44:$K$74, 9,FALSE)</f>
        <v>80805735.600000009</v>
      </c>
      <c r="G11" s="1422"/>
    </row>
    <row r="12" spans="1:27">
      <c r="B12" s="699" t="s">
        <v>8</v>
      </c>
      <c r="D12" s="692" t="s">
        <v>349</v>
      </c>
      <c r="E12" s="892">
        <f>VLOOKUP("TOTAL "&amp;$B12, 'Consumer Analysis'!$B$11:$N$162, 3,FALSE)</f>
        <v>16400000</v>
      </c>
      <c r="F12" s="893">
        <f>SUMIF('Rate Inputs'!$AF$5:$AF$17, "*"&amp;$B12&amp;"*",'Rate Inputs'!$AD$5:$AD$17)*VLOOKUP($B12, 'Billing Units'!$C$44:$K$74, 9,FALSE)</f>
        <v>2911918.4000000004</v>
      </c>
      <c r="G12" s="1422"/>
    </row>
    <row r="13" spans="1:27" ht="26.4">
      <c r="B13" s="699" t="s">
        <v>9</v>
      </c>
      <c r="D13" s="715" t="s">
        <v>350</v>
      </c>
      <c r="E13" s="892">
        <f>VLOOKUP("TOTAL "&amp;$B13, 'Consumer Analysis'!$B$11:$N$162, 3,FALSE)</f>
        <v>262000000.00000003</v>
      </c>
      <c r="F13" s="893">
        <f>SUMIF('Rate Inputs'!$AF$5:$AF$17, "*"&amp;$B13&amp;"*",'Rate Inputs'!$AD$5:$AD$17)*E13</f>
        <v>46519672.000000007</v>
      </c>
      <c r="G13" s="1422"/>
    </row>
    <row r="14" spans="1:27">
      <c r="B14" s="728"/>
      <c r="D14" s="728" t="s">
        <v>351</v>
      </c>
      <c r="E14" s="919">
        <f>SUM(E10:E13)</f>
        <v>6199600000</v>
      </c>
      <c r="F14" s="920">
        <f>SUM(F10:F13)</f>
        <v>1100776177.6000001</v>
      </c>
      <c r="G14" s="1422"/>
    </row>
    <row r="15" spans="1:27">
      <c r="E15" s="892"/>
      <c r="F15" s="935"/>
      <c r="G15" s="1422"/>
    </row>
    <row r="16" spans="1:27">
      <c r="B16" s="699" t="s">
        <v>10</v>
      </c>
      <c r="D16" s="692" t="s">
        <v>352</v>
      </c>
      <c r="E16" s="892">
        <f>VLOOKUP("TOTAL "&amp;$B16, 'Consumer Analysis'!$B$11:$N$162, 3,FALSE)</f>
        <v>2239100000</v>
      </c>
      <c r="F16" s="893">
        <f>SUMIF('Rate Inputs'!$AF$5:$AF$17, "*"&amp;$B16&amp;"*",'Rate Inputs'!$AD$5:$AD$17)*VLOOKUP($B16, 'Billing Units'!$C$44:$K$74, 9,FALSE)</f>
        <v>397565639.60000002</v>
      </c>
      <c r="G16" s="1422"/>
    </row>
    <row r="17" spans="2:7">
      <c r="B17" s="699" t="s">
        <v>22</v>
      </c>
      <c r="D17" s="692" t="s">
        <v>353</v>
      </c>
      <c r="E17" s="892">
        <f>VLOOKUP("TOTAL "&amp;$B17, 'Consumer Analysis'!$B$11:$N$162, 3,FALSE)</f>
        <v>150000</v>
      </c>
      <c r="F17" s="893">
        <f>SUMIF('Rate Inputs'!$AF$5:$AF$17, "*"&amp;$B17&amp;"*",'Rate Inputs'!$AD$5:$AD$17)*VLOOKUP($B17, 'Billing Units'!$C$44:$K$74, 9,FALSE)</f>
        <v>26633.4</v>
      </c>
      <c r="G17" s="1422"/>
    </row>
    <row r="18" spans="2:7">
      <c r="B18" s="735" t="s">
        <v>21</v>
      </c>
      <c r="D18" s="736" t="s">
        <v>354</v>
      </c>
      <c r="E18" s="944">
        <f>VLOOKUP("TOTAL "&amp;$B18, 'Consumer Analysis'!$B$11:$N$162, 3,FALSE)</f>
        <v>16450000</v>
      </c>
      <c r="F18" s="893">
        <f>SUMIF('Rate Inputs'!$AF$5:$AF$17, "*"&amp;$B18&amp;"*",'Rate Inputs'!$AB$5:$AB$17)*VLOOKUP($B18, 'Billing Units'!$C$6:$K$36, 9,FALSE)</f>
        <v>2920796.2</v>
      </c>
      <c r="G18" s="1422"/>
    </row>
    <row r="19" spans="2:7">
      <c r="B19" s="739"/>
      <c r="D19" s="728" t="s">
        <v>355</v>
      </c>
      <c r="E19" s="919">
        <f>SUM(E16:E18)</f>
        <v>2255700000</v>
      </c>
      <c r="F19" s="920">
        <f>SUM(F16:F18)</f>
        <v>400513069.19999999</v>
      </c>
      <c r="G19" s="1422"/>
    </row>
    <row r="20" spans="2:7">
      <c r="B20" s="699"/>
      <c r="E20" s="892"/>
      <c r="F20" s="935"/>
      <c r="G20" s="1422"/>
    </row>
    <row r="21" spans="2:7">
      <c r="B21" s="699" t="s">
        <v>12</v>
      </c>
      <c r="D21" s="692" t="s">
        <v>356</v>
      </c>
      <c r="E21" s="892">
        <f>VLOOKUP("TOTAL "&amp;$B21, 'Consumer Analysis'!$B$11:$N$162, 3,FALSE)</f>
        <v>3794500000</v>
      </c>
      <c r="F21" s="893">
        <f>SUMIF('Rate Inputs'!$AF$5:$AF$17, "*"&amp;$B21&amp;"*",'Rate Inputs'!$AD$5:$AD$17)*VLOOKUP($B21, 'Billing Units'!$C$44:$K$74, 9,FALSE)</f>
        <v>673736242.00000012</v>
      </c>
      <c r="G21" s="1422"/>
    </row>
    <row r="22" spans="2:7">
      <c r="B22" s="699" t="s">
        <v>14</v>
      </c>
      <c r="D22" s="692" t="s">
        <v>357</v>
      </c>
      <c r="E22" s="892">
        <f>VLOOKUP("TOTAL "&amp;$B22, 'Consumer Analysis'!$B$11:$N$162, 3,FALSE)</f>
        <v>6100000</v>
      </c>
      <c r="F22" s="893">
        <f>SUMIF('Rate Inputs'!$AF$5:$AF$17, "*"&amp;$B22&amp;"*",'Rate Inputs'!$AB$5:$AB$17)*VLOOKUP($B22, 'Billing Units'!$C$6:$K$36, 9,FALSE)</f>
        <v>1083091.6000000001</v>
      </c>
      <c r="G22" s="1422"/>
    </row>
    <row r="23" spans="2:7">
      <c r="B23" s="728"/>
      <c r="D23" s="728" t="s">
        <v>358</v>
      </c>
      <c r="E23" s="919">
        <f>SUM(E21:E22)</f>
        <v>3800600000</v>
      </c>
      <c r="F23" s="920">
        <f>SUM(F21:F22)</f>
        <v>674819333.60000014</v>
      </c>
      <c r="G23" s="1422"/>
    </row>
    <row r="24" spans="2:7">
      <c r="E24" s="892"/>
      <c r="F24" s="893"/>
      <c r="G24" s="1422"/>
    </row>
    <row r="25" spans="2:7">
      <c r="B25" s="699" t="s">
        <v>13</v>
      </c>
      <c r="D25" s="743" t="s">
        <v>359</v>
      </c>
      <c r="E25" s="892">
        <f>VLOOKUP("TOTAL "&amp;$B25, 'Consumer Analysis'!$B$11:$N$162, 3,FALSE)</f>
        <v>2624493598.1999998</v>
      </c>
      <c r="F25" s="893">
        <f>SUMIF('Rate Inputs'!$AF$5:$AF$17, "*"&amp;$B25&amp;"*",'Rate Inputs'!$AD$5:$AD$17)*VLOOKUP($B25, 'Billing Units'!$C$44:$K$74, 9,FALSE)</f>
        <v>465994585.32199919</v>
      </c>
      <c r="G25" s="1422"/>
    </row>
    <row r="26" spans="2:7">
      <c r="B26" s="699" t="s">
        <v>16</v>
      </c>
      <c r="D26" s="692" t="s">
        <v>360</v>
      </c>
      <c r="E26" s="892">
        <f>VLOOKUP("TOTAL "&amp;$B26, 'Consumer Analysis'!$B$11:$N$162, 3,FALSE)</f>
        <v>289200000</v>
      </c>
      <c r="F26" s="893">
        <f>SUMIF('Rate Inputs'!$AF$5:$AF$17, "*"&amp;$B26&amp;"*",'Rate Inputs'!$AD$5:$AD$17)*VLOOKUP($B26, 'Billing Units'!$C$44:$K$74, 9,FALSE)</f>
        <v>51349195.200000003</v>
      </c>
      <c r="G26" s="1422"/>
    </row>
    <row r="27" spans="2:7">
      <c r="B27" s="699" t="s">
        <v>17</v>
      </c>
      <c r="D27" s="692" t="s">
        <v>361</v>
      </c>
      <c r="E27" s="892">
        <f>VLOOKUP("TOTAL "&amp;$B27, 'Consumer Analysis'!$B$11:$N$162, 3,FALSE)</f>
        <v>60700000</v>
      </c>
      <c r="F27" s="893">
        <f>SUMIF('Rate Inputs'!$AF$5:$AF$17, "*"&amp;$B27&amp;"*",'Rate Inputs'!$AD$5:$AD$17)*VLOOKUP($B27, 'Billing Units'!$C$44:$K$74, 9,FALSE)</f>
        <v>10777649.200000001</v>
      </c>
      <c r="G27" s="1422"/>
    </row>
    <row r="28" spans="2:7">
      <c r="B28" s="699" t="s">
        <v>24</v>
      </c>
      <c r="D28" s="692" t="s">
        <v>362</v>
      </c>
      <c r="E28" s="892">
        <f>VLOOKUP("TOTAL "&amp;$B28, 'Consumer Analysis'!$B$11:$N$162, 3,FALSE)</f>
        <v>4200000</v>
      </c>
      <c r="F28" s="893">
        <f>SUMIF('Rate Inputs'!$AF$5:$AF$17, "*"&amp;$B28&amp;"*",'Rate Inputs'!$AD$5:$AD$17)*VLOOKUP($B28, 'Billing Units'!$C$44:$K$74, 9,FALSE)</f>
        <v>745735.20000000007</v>
      </c>
      <c r="G28" s="1422"/>
    </row>
    <row r="29" spans="2:7">
      <c r="B29" s="728"/>
      <c r="D29" s="728" t="s">
        <v>363</v>
      </c>
      <c r="E29" s="919">
        <f>SUM(E25:E28)</f>
        <v>2978593598.1999998</v>
      </c>
      <c r="F29" s="920">
        <f>SUM(F25:F28)</f>
        <v>528867164.92199916</v>
      </c>
      <c r="G29" s="1422"/>
    </row>
    <row r="30" spans="2:7">
      <c r="E30" s="890"/>
      <c r="F30" s="893"/>
      <c r="G30" s="1422"/>
    </row>
    <row r="31" spans="2:7">
      <c r="B31" s="699" t="s">
        <v>1</v>
      </c>
      <c r="D31" s="743" t="s">
        <v>364</v>
      </c>
      <c r="E31" s="892">
        <f>VLOOKUP("TOTAL "&amp;$B31, 'Consumer Analysis - Lighting'!$B$19:$N$137, 3,FALSE)</f>
        <v>265679709.2753191</v>
      </c>
      <c r="F31" s="893">
        <f>SUMIF('Rate Inputs'!$AF$5:$AF$17, "*"&amp;$B31&amp;"*",'Rate Inputs'!$AB$5:$AB$17)*E31</f>
        <v>47173026.460088566</v>
      </c>
      <c r="G31" s="1422"/>
    </row>
    <row r="32" spans="2:7">
      <c r="B32" s="699" t="s">
        <v>20</v>
      </c>
      <c r="D32" s="750" t="s">
        <v>365</v>
      </c>
      <c r="E32" s="1423">
        <f>VLOOKUP("TOTAL "&amp;$B32, 'Consumer Analysis - Lighting'!$B$13:$N$137, 3,FALSE)</f>
        <v>3109157.565660065</v>
      </c>
      <c r="F32" s="893">
        <f>SUMIF('Rate Inputs'!$AF$5:$AF$17, "*"&amp;$B32&amp;"*",'Rate Inputs'!$AB$5:$AB$17)*VLOOKUP($B32, 'Billing Units'!$R$7:$V$12, 5,FALSE)</f>
        <v>552049.58072833857</v>
      </c>
      <c r="G32" s="1422"/>
    </row>
    <row r="33" spans="2:7">
      <c r="B33" s="692" t="s">
        <v>329</v>
      </c>
      <c r="D33" s="728" t="s">
        <v>366</v>
      </c>
      <c r="E33" s="919">
        <f>SUM(E31:E32)</f>
        <v>268788866.84097916</v>
      </c>
      <c r="F33" s="920">
        <f>SUM(F31:F32)</f>
        <v>47725076.040816903</v>
      </c>
      <c r="G33" s="1422"/>
    </row>
    <row r="34" spans="2:7">
      <c r="E34" s="890"/>
      <c r="F34" s="893"/>
      <c r="G34" s="1422"/>
    </row>
    <row r="35" spans="2:7" ht="26.4">
      <c r="B35" s="699" t="s">
        <v>19</v>
      </c>
      <c r="D35" s="715" t="s">
        <v>367</v>
      </c>
      <c r="E35" s="892">
        <f>VLOOKUP("TOTAL "&amp;$B35, 'Consumer Analysis'!$B$11:$N$162, 3,FALSE)</f>
        <v>23109614.930104855</v>
      </c>
      <c r="F35" s="893">
        <f>SUMIF('Rate Inputs'!$AF$5:$AF$17, "*"&amp;$B35&amp;"*",'Rate Inputs'!$AD$5:$AD$17)*VLOOKUP($B35, 'Billing Units'!$C$44:$K$74, 9,FALSE)</f>
        <v>4103250.7885296983</v>
      </c>
      <c r="G35" s="1422"/>
    </row>
    <row r="36" spans="2:7">
      <c r="B36" s="692" t="s">
        <v>330</v>
      </c>
      <c r="C36" s="728"/>
      <c r="D36" s="728" t="s">
        <v>368</v>
      </c>
      <c r="E36" s="919">
        <f>SUM(E35)</f>
        <v>23109614.930104855</v>
      </c>
      <c r="F36" s="920">
        <f>SUM(F35)</f>
        <v>4103250.7885296983</v>
      </c>
      <c r="G36" s="1422"/>
    </row>
    <row r="37" spans="2:7">
      <c r="E37" s="890"/>
      <c r="F37" s="954"/>
    </row>
    <row r="38" spans="2:7" ht="14.4" thickBot="1">
      <c r="B38" s="753" t="s">
        <v>369</v>
      </c>
      <c r="C38" s="754"/>
      <c r="D38" s="754"/>
      <c r="E38" s="1424">
        <f>E14+E19+E23+E29+E33+E36</f>
        <v>15526392079.971085</v>
      </c>
      <c r="F38" s="1425">
        <f>SUM(F14,F19,F23,F29,F33,F36)</f>
        <v>2756804072.1513462</v>
      </c>
    </row>
    <row r="39" spans="2:7" ht="14.4" thickTop="1">
      <c r="B39" s="743"/>
      <c r="E39" s="975"/>
      <c r="F39" s="895"/>
    </row>
    <row r="44" spans="2:7">
      <c r="F44" s="732"/>
    </row>
  </sheetData>
  <mergeCells count="1">
    <mergeCell ref="B2:D2"/>
  </mergeCells>
  <conditionalFormatting sqref="F9">
    <cfRule type="expression" dxfId="4" priority="2">
      <formula>HideProposed</formula>
    </cfRule>
  </conditionalFormatting>
  <conditionalFormatting sqref="F39">
    <cfRule type="expression" dxfId="3" priority="1">
      <formula>HideProposed</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3a2f0e7-51cf-48cd-adec-bedcff26d88c">
      <Terms xmlns="http://schemas.microsoft.com/office/infopath/2007/PartnerControls"/>
    </lcf76f155ced4ddcb4097134ff3c332f>
    <TaxCatchAll xmlns="724e5eed-b049-4945-bcdd-b2975bc1a7b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F0738DDCC164A4786A9B1023525ECCF" ma:contentTypeVersion="12" ma:contentTypeDescription="Create a new document." ma:contentTypeScope="" ma:versionID="2535eb45db461d05b6f57272828fc833">
  <xsd:schema xmlns:xsd="http://www.w3.org/2001/XMLSchema" xmlns:xs="http://www.w3.org/2001/XMLSchema" xmlns:p="http://schemas.microsoft.com/office/2006/metadata/properties" xmlns:ns2="53a2f0e7-51cf-48cd-adec-bedcff26d88c" xmlns:ns3="724e5eed-b049-4945-bcdd-b2975bc1a7bb" targetNamespace="http://schemas.microsoft.com/office/2006/metadata/properties" ma:root="true" ma:fieldsID="f813bd712aa89b53f14c6f144719039b" ns2:_="" ns3:_="">
    <xsd:import namespace="53a2f0e7-51cf-48cd-adec-bedcff26d88c"/>
    <xsd:import namespace="724e5eed-b049-4945-bcdd-b2975bc1a7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a2f0e7-51cf-48cd-adec-bedcff26d8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5d88ab5-8cf0-45ea-9ae7-05172922330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e5eed-b049-4945-bcdd-b2975bc1a7b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5176891-1d51-4330-92d0-ee434dfaa74e}" ma:internalName="TaxCatchAll" ma:showField="CatchAllData" ma:web="724e5eed-b049-4945-bcdd-b2975bc1a7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2B2D2A-9DC8-4D89-9603-7D22C900D0B9}">
  <ds:schemaRefs>
    <ds:schemaRef ds:uri="53a2f0e7-51cf-48cd-adec-bedcff26d88c"/>
    <ds:schemaRef ds:uri="724e5eed-b049-4945-bcdd-b2975bc1a7bb"/>
    <ds:schemaRef ds:uri="http://www.w3.org/XML/1998/namespace"/>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2C03A455-49BF-4043-945B-D4C45322CA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a2f0e7-51cf-48cd-adec-bedcff26d88c"/>
    <ds:schemaRef ds:uri="724e5eed-b049-4945-bcdd-b2975bc1a7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809039-D99D-48FF-8646-36A15BE362AE}">
  <ds:schemaRefs>
    <ds:schemaRef ds:uri="http://schemas.microsoft.com/sharepoint/v3/contenttype/forms"/>
  </ds:schemaRefs>
</ds:datastoreItem>
</file>

<file path=docMetadata/LabelInfo.xml><?xml version="1.0" encoding="utf-8"?>
<clbl:labelList xmlns:clbl="http://schemas.microsoft.com/office/2020/mipLabelMetadata">
  <clbl:label id="{78d53608-54ca-4a74-8beb-8a1399c1189c}" enabled="0" method="" siteId="{78d53608-54ca-4a74-8beb-8a1399c1189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11</vt:i4>
      </vt:variant>
    </vt:vector>
  </HeadingPairs>
  <TitlesOfParts>
    <vt:vector size="34" baseType="lpstr">
      <vt:lpstr>Cover</vt:lpstr>
      <vt:lpstr>Dashboard</vt:lpstr>
      <vt:lpstr>Rates</vt:lpstr>
      <vt:lpstr>Lighting Rates</vt:lpstr>
      <vt:lpstr>Calculations &gt;</vt:lpstr>
      <vt:lpstr>Revenue Summary</vt:lpstr>
      <vt:lpstr>Consumer Analysis</vt:lpstr>
      <vt:lpstr>Consumer Analysis - Lighting</vt:lpstr>
      <vt:lpstr>Riders</vt:lpstr>
      <vt:lpstr>Revenue Summary w Riders</vt:lpstr>
      <vt:lpstr>Inputs &gt;</vt:lpstr>
      <vt:lpstr>Revenue Requirement</vt:lpstr>
      <vt:lpstr>COSS Results</vt:lpstr>
      <vt:lpstr>Billing Determinant Forecast</vt:lpstr>
      <vt:lpstr>2026 Forecast</vt:lpstr>
      <vt:lpstr>2027 Forecast</vt:lpstr>
      <vt:lpstr>2028 Forecast</vt:lpstr>
      <vt:lpstr>Helpers &gt;</vt:lpstr>
      <vt:lpstr>Lists and Mapping</vt:lpstr>
      <vt:lpstr>Billing Units</vt:lpstr>
      <vt:lpstr>Rate Inputs</vt:lpstr>
      <vt:lpstr>Rate Summary</vt:lpstr>
      <vt:lpstr>Revenue Requir (old)</vt:lpstr>
      <vt:lpstr>model_year</vt:lpstr>
      <vt:lpstr>'Consumer Analysis'!Print_Area</vt:lpstr>
      <vt:lpstr>'Consumer Analysis - Lighting'!Print_Area</vt:lpstr>
      <vt:lpstr>'Rate Summary'!Print_Area</vt:lpstr>
      <vt:lpstr>'Revenue Summary w Riders'!Print_Area</vt:lpstr>
      <vt:lpstr>'Consumer Analysis'!Print_Titles</vt:lpstr>
      <vt:lpstr>'Consumer Analysis - Lighting'!Print_Titles</vt:lpstr>
      <vt:lpstr>'Rate Summary'!Print_Titles</vt:lpstr>
      <vt:lpstr>rate_design_proposal</vt:lpstr>
      <vt:lpstr>RR_allocation</vt:lpstr>
      <vt:lpstr>RR_toggle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Lily Taylor</dc:creator>
  <cp:keywords/>
  <dc:description/>
  <cp:lastModifiedBy>Jose E. Rosado Melendez</cp:lastModifiedBy>
  <cp:revision/>
  <dcterms:created xsi:type="dcterms:W3CDTF">2023-04-06T20:09:51Z</dcterms:created>
  <dcterms:modified xsi:type="dcterms:W3CDTF">2026-04-15T22:18:55Z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0x010100CF0738DDCC164A4786A9B1023525ECCF</vt:lpwstr>
  </property>
  <property fmtid="{D5CDD505-2E9C-101B-9397-08002B2CF9AE}" pid="3" name="_dlc_DocIdItemGuid">
    <vt:lpwstr>c66054db-d14b-4d14-aacb-bcf34c1ac698</vt:lpwstr>
  </property>
  <property fmtid="{D5CDD505-2E9C-101B-9397-08002B2CF9AE}" pid="4" name="MediaServiceImageTags">
    <vt:lpwstr/>
  </property>
  <property fmtid="{D5CDD505-2E9C-101B-9397-08002B2CF9AE}" pid="5" name="{A44787D4-0540-4523-9961-78E4036D8C6D}">
    <vt:lpwstr>{A91E9F2C-8E59-4972-AAFB-8AA88C45DF13}</vt:lpwstr>
  </property>
  <property fmtid="{D5CDD505-2E9C-101B-9397-08002B2CF9AE}" pid="6" name="MSIP_Label_8ce83df1-43a7-4b90-90b9-9710f4edc178_Enabled">
    <vt:lpwstr>true</vt:lpwstr>
  </property>
  <property fmtid="{D5CDD505-2E9C-101B-9397-08002B2CF9AE}" pid="7" name="MSIP_Label_8ce83df1-43a7-4b90-90b9-9710f4edc178_SetDate">
    <vt:lpwstr>2023-07-14T14:54:56Z</vt:lpwstr>
  </property>
  <property fmtid="{D5CDD505-2E9C-101B-9397-08002B2CF9AE}" pid="8" name="MSIP_Label_8ce83df1-43a7-4b90-90b9-9710f4edc178_Method">
    <vt:lpwstr>Privileged</vt:lpwstr>
  </property>
  <property fmtid="{D5CDD505-2E9C-101B-9397-08002B2CF9AE}" pid="9" name="MSIP_Label_8ce83df1-43a7-4b90-90b9-9710f4edc178_Name">
    <vt:lpwstr>Trading Partner</vt:lpwstr>
  </property>
  <property fmtid="{D5CDD505-2E9C-101B-9397-08002B2CF9AE}" pid="10" name="MSIP_Label_8ce83df1-43a7-4b90-90b9-9710f4edc178_SiteId">
    <vt:lpwstr>4ee48f43-e15d-4f4a-ad55-d0990aac660e</vt:lpwstr>
  </property>
  <property fmtid="{D5CDD505-2E9C-101B-9397-08002B2CF9AE}" pid="11" name="MSIP_Label_8ce83df1-43a7-4b90-90b9-9710f4edc178_ActionId">
    <vt:lpwstr>17613aa3-46a1-47c6-8f62-ef320ea99f6f</vt:lpwstr>
  </property>
  <property fmtid="{D5CDD505-2E9C-101B-9397-08002B2CF9AE}" pid="12" name="MSIP_Label_8ce83df1-43a7-4b90-90b9-9710f4edc178_ContentBits">
    <vt:lpwstr>1</vt:lpwstr>
  </property>
</Properties>
</file>