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enerapr1-my.sharepoint.com/personal/jan_rodriguez_genera-pr_com/Documents/Documents/Additional Requests/"/>
    </mc:Choice>
  </mc:AlternateContent>
  <xr:revisionPtr revIDLastSave="11117" documentId="8_{80740116-F474-4AEC-B868-DC4DC970316C}" xr6:coauthVersionLast="47" xr6:coauthVersionMax="47" xr10:uidLastSave="{13743537-3A3D-48FA-BACC-FFCFD0AFA690}"/>
  <bookViews>
    <workbookView xWindow="-28920" yWindow="-6240" windowWidth="29040" windowHeight="15720" xr2:uid="{5AF674C3-EB46-44A6-99CD-FC8C69F0BE9D}"/>
  </bookViews>
  <sheets>
    <sheet name="Cost of Generation Q3" sheetId="7" r:id="rId1"/>
    <sheet name="O&amp;M Q3" sheetId="4" r:id="rId2"/>
    <sheet name="O&amp;M (PREB)" sheetId="6" state="hidden" r:id="rId3"/>
    <sheet name="O&amp;M (detailed)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J13" i="4"/>
  <c r="J12" i="4"/>
  <c r="I11" i="4"/>
  <c r="J15" i="4" s="1"/>
  <c r="Q30" i="7"/>
  <c r="S30" i="7"/>
  <c r="G17" i="4"/>
  <c r="D17" i="4"/>
  <c r="D7" i="4"/>
  <c r="G15" i="4"/>
  <c r="D15" i="4"/>
  <c r="I6" i="4"/>
  <c r="J6" i="4" s="1"/>
  <c r="I5" i="4"/>
  <c r="J5" i="4" s="1"/>
  <c r="I4" i="4"/>
  <c r="J4" i="4" s="1"/>
  <c r="I3" i="4"/>
  <c r="G7" i="4"/>
  <c r="S16" i="7"/>
  <c r="Q12" i="7"/>
  <c r="Q15" i="7"/>
  <c r="Q9" i="7"/>
  <c r="Q6" i="7"/>
  <c r="N27" i="7"/>
  <c r="N26" i="7"/>
  <c r="N25" i="7"/>
  <c r="N24" i="7"/>
  <c r="U25" i="7"/>
  <c r="U24" i="7"/>
  <c r="R29" i="7"/>
  <c r="V29" i="7" s="1"/>
  <c r="R28" i="7"/>
  <c r="V28" i="7" s="1"/>
  <c r="R27" i="7"/>
  <c r="V27" i="7" s="1"/>
  <c r="R26" i="7"/>
  <c r="U26" i="7" s="1"/>
  <c r="R25" i="7"/>
  <c r="V25" i="7" s="1"/>
  <c r="R24" i="7"/>
  <c r="V24" i="7" s="1"/>
  <c r="R23" i="7"/>
  <c r="R22" i="7"/>
  <c r="U22" i="7" s="1"/>
  <c r="R14" i="7"/>
  <c r="V14" i="7" s="1"/>
  <c r="R13" i="7"/>
  <c r="R11" i="7"/>
  <c r="V11" i="7" s="1"/>
  <c r="R10" i="7"/>
  <c r="R8" i="7"/>
  <c r="V8" i="7" s="1"/>
  <c r="R7" i="7"/>
  <c r="R5" i="7"/>
  <c r="V5" i="7" s="1"/>
  <c r="R4" i="7"/>
  <c r="V4" i="7" s="1"/>
  <c r="L30" i="7"/>
  <c r="J30" i="7"/>
  <c r="K29" i="7"/>
  <c r="K28" i="7"/>
  <c r="K27" i="7"/>
  <c r="O27" i="7" s="1"/>
  <c r="K26" i="7"/>
  <c r="O26" i="7" s="1"/>
  <c r="K25" i="7"/>
  <c r="O25" i="7" s="1"/>
  <c r="K24" i="7"/>
  <c r="K23" i="7"/>
  <c r="K22" i="7"/>
  <c r="N30" i="7" s="1"/>
  <c r="L16" i="7"/>
  <c r="J15" i="7"/>
  <c r="J12" i="7"/>
  <c r="J9" i="7"/>
  <c r="J6" i="7"/>
  <c r="J16" i="7" s="1"/>
  <c r="K14" i="7"/>
  <c r="O14" i="7" s="1"/>
  <c r="K13" i="7"/>
  <c r="O13" i="7" s="1"/>
  <c r="K11" i="7"/>
  <c r="O11" i="7" s="1"/>
  <c r="K10" i="7"/>
  <c r="O10" i="7" s="1"/>
  <c r="O12" i="7" s="1"/>
  <c r="K8" i="7"/>
  <c r="O8" i="7" s="1"/>
  <c r="K7" i="7"/>
  <c r="O7" i="7" s="1"/>
  <c r="O9" i="7" s="1"/>
  <c r="K5" i="7"/>
  <c r="O5" i="7" s="1"/>
  <c r="K4" i="7"/>
  <c r="O4" i="7" s="1"/>
  <c r="K3" i="7"/>
  <c r="G14" i="4"/>
  <c r="G13" i="4"/>
  <c r="G12" i="4"/>
  <c r="G11" i="4"/>
  <c r="D14" i="4"/>
  <c r="D13" i="4"/>
  <c r="D12" i="4"/>
  <c r="D11" i="4"/>
  <c r="G6" i="4"/>
  <c r="G5" i="4"/>
  <c r="G4" i="4"/>
  <c r="G3" i="4"/>
  <c r="D6" i="4"/>
  <c r="D5" i="4"/>
  <c r="D4" i="4"/>
  <c r="D3" i="4"/>
  <c r="E30" i="7"/>
  <c r="C30" i="7"/>
  <c r="E16" i="7"/>
  <c r="C15" i="7"/>
  <c r="D14" i="7"/>
  <c r="H14" i="7" s="1"/>
  <c r="D13" i="7"/>
  <c r="C12" i="7"/>
  <c r="D11" i="7"/>
  <c r="H11" i="7" s="1"/>
  <c r="D10" i="7"/>
  <c r="C9" i="7"/>
  <c r="D8" i="7"/>
  <c r="H8" i="7" s="1"/>
  <c r="D7" i="7"/>
  <c r="C5" i="7"/>
  <c r="D4" i="7"/>
  <c r="H4" i="7" s="1"/>
  <c r="D3" i="7"/>
  <c r="D29" i="7"/>
  <c r="D28" i="7"/>
  <c r="D27" i="7"/>
  <c r="H27" i="7" s="1"/>
  <c r="D26" i="7"/>
  <c r="H26" i="7" s="1"/>
  <c r="D25" i="7"/>
  <c r="D24" i="7"/>
  <c r="H24" i="7" s="1"/>
  <c r="D23" i="7"/>
  <c r="D22" i="7"/>
  <c r="D17" i="6"/>
  <c r="G17" i="6"/>
  <c r="J17" i="6"/>
  <c r="M17" i="6"/>
  <c r="P17" i="6"/>
  <c r="S17" i="6"/>
  <c r="V17" i="6"/>
  <c r="Y17" i="6"/>
  <c r="AB17" i="6"/>
  <c r="AE17" i="6"/>
  <c r="AH17" i="6"/>
  <c r="AK17" i="6"/>
  <c r="AN17" i="6"/>
  <c r="AQ17" i="6"/>
  <c r="AT17" i="6"/>
  <c r="AW17" i="6"/>
  <c r="AZ17" i="6"/>
  <c r="BL17" i="6"/>
  <c r="BF17" i="6"/>
  <c r="BC17" i="6"/>
  <c r="BI17" i="6"/>
  <c r="BO17" i="6"/>
  <c r="BR17" i="6"/>
  <c r="BU17" i="6"/>
  <c r="BU15" i="6"/>
  <c r="BR15" i="6"/>
  <c r="BO15" i="6"/>
  <c r="BL15" i="6"/>
  <c r="BI15" i="6"/>
  <c r="BF15" i="6"/>
  <c r="BC15" i="6"/>
  <c r="AZ15" i="6"/>
  <c r="AW15" i="6"/>
  <c r="AT15" i="6"/>
  <c r="AQ15" i="6"/>
  <c r="AN15" i="6"/>
  <c r="AK15" i="6"/>
  <c r="AH15" i="6"/>
  <c r="AE15" i="6"/>
  <c r="AB15" i="6"/>
  <c r="Y15" i="6"/>
  <c r="V15" i="6"/>
  <c r="S15" i="6"/>
  <c r="G15" i="6"/>
  <c r="J15" i="6"/>
  <c r="M15" i="6"/>
  <c r="P15" i="6"/>
  <c r="D15" i="6"/>
  <c r="BU7" i="6"/>
  <c r="BR7" i="6"/>
  <c r="BO7" i="6"/>
  <c r="BL7" i="6"/>
  <c r="BI7" i="6"/>
  <c r="BF7" i="6"/>
  <c r="BC7" i="6"/>
  <c r="AZ7" i="6"/>
  <c r="AW7" i="6"/>
  <c r="AT7" i="6"/>
  <c r="AQ7" i="6"/>
  <c r="AN7" i="6"/>
  <c r="AK7" i="6"/>
  <c r="AH7" i="6"/>
  <c r="AS7" i="6"/>
  <c r="AP7" i="6"/>
  <c r="AM7" i="6"/>
  <c r="AJ7" i="6"/>
  <c r="AG7" i="6"/>
  <c r="AE7" i="6"/>
  <c r="AD7" i="6"/>
  <c r="AA7" i="6"/>
  <c r="AB7" i="6" s="1"/>
  <c r="X7" i="6"/>
  <c r="Y7" i="6" s="1"/>
  <c r="U7" i="6"/>
  <c r="V7" i="6" s="1"/>
  <c r="S7" i="6"/>
  <c r="P7" i="6"/>
  <c r="M7" i="6"/>
  <c r="J7" i="6"/>
  <c r="G7" i="6"/>
  <c r="D7" i="6"/>
  <c r="R7" i="6"/>
  <c r="O7" i="6"/>
  <c r="L7" i="6"/>
  <c r="I7" i="6"/>
  <c r="F7" i="6"/>
  <c r="C7" i="6"/>
  <c r="E5" i="5"/>
  <c r="E4" i="5"/>
  <c r="C5" i="5"/>
  <c r="C4" i="5"/>
  <c r="BQ7" i="6"/>
  <c r="BT7" i="6"/>
  <c r="BN7" i="6"/>
  <c r="BK7" i="6"/>
  <c r="BH7" i="6"/>
  <c r="BE7" i="6"/>
  <c r="BB7" i="6"/>
  <c r="AY7" i="6"/>
  <c r="AV7" i="6"/>
  <c r="CD14" i="6"/>
  <c r="CA14" i="6"/>
  <c r="BX14" i="6"/>
  <c r="CD13" i="6"/>
  <c r="CA13" i="6"/>
  <c r="BX13" i="6"/>
  <c r="CD12" i="6"/>
  <c r="CA12" i="6"/>
  <c r="BX12" i="6"/>
  <c r="CD11" i="6"/>
  <c r="CD15" i="6" s="1"/>
  <c r="CA11" i="6"/>
  <c r="CA15" i="6" s="1"/>
  <c r="BX11" i="6"/>
  <c r="BX15" i="6" s="1"/>
  <c r="CD6" i="6"/>
  <c r="CA6" i="6"/>
  <c r="BX6" i="6"/>
  <c r="CD5" i="6"/>
  <c r="CA5" i="6"/>
  <c r="BX5" i="6"/>
  <c r="CD4" i="6"/>
  <c r="CA4" i="6"/>
  <c r="BX4" i="6"/>
  <c r="CD3" i="6"/>
  <c r="CA3" i="6"/>
  <c r="BX3" i="6"/>
  <c r="J17" i="4" l="1"/>
  <c r="O15" i="7"/>
  <c r="N34" i="7"/>
  <c r="N16" i="7"/>
  <c r="G30" i="7"/>
  <c r="U29" i="7"/>
  <c r="U27" i="7"/>
  <c r="U28" i="7"/>
  <c r="J11" i="4"/>
  <c r="R3" i="7"/>
  <c r="U16" i="7" s="1"/>
  <c r="U34" i="7"/>
  <c r="V26" i="7"/>
  <c r="U30" i="7"/>
  <c r="U32" i="7" s="1"/>
  <c r="V23" i="7"/>
  <c r="U23" i="7"/>
  <c r="J7" i="4"/>
  <c r="J3" i="4"/>
  <c r="O24" i="7"/>
  <c r="H22" i="7"/>
  <c r="G22" i="7"/>
  <c r="H23" i="7"/>
  <c r="G23" i="7"/>
  <c r="H25" i="7"/>
  <c r="G25" i="7"/>
  <c r="H28" i="7"/>
  <c r="G28" i="7"/>
  <c r="H29" i="7"/>
  <c r="G29" i="7"/>
  <c r="H3" i="7"/>
  <c r="D12" i="7"/>
  <c r="G12" i="7"/>
  <c r="H10" i="7"/>
  <c r="H12" i="7" s="1"/>
  <c r="D15" i="7"/>
  <c r="G15" i="7"/>
  <c r="H13" i="7"/>
  <c r="H15" i="7" s="1"/>
  <c r="K6" i="7"/>
  <c r="O3" i="7"/>
  <c r="O6" i="7" s="1"/>
  <c r="O16" i="7" s="1"/>
  <c r="K30" i="7"/>
  <c r="O22" i="7"/>
  <c r="N22" i="7"/>
  <c r="O23" i="7"/>
  <c r="N23" i="7"/>
  <c r="O28" i="7"/>
  <c r="N28" i="7"/>
  <c r="O29" i="7"/>
  <c r="N29" i="7"/>
  <c r="R9" i="7"/>
  <c r="U9" i="7"/>
  <c r="V7" i="7"/>
  <c r="V9" i="7" s="1"/>
  <c r="R30" i="7"/>
  <c r="V22" i="7"/>
  <c r="V30" i="7" s="1"/>
  <c r="V32" i="7" s="1"/>
  <c r="R15" i="7"/>
  <c r="U15" i="7"/>
  <c r="V13" i="7"/>
  <c r="V15" i="7" s="1"/>
  <c r="R12" i="7"/>
  <c r="U12" i="7"/>
  <c r="V10" i="7"/>
  <c r="V12" i="7" s="1"/>
  <c r="Q16" i="7"/>
  <c r="K15" i="7"/>
  <c r="N15" i="7"/>
  <c r="K12" i="7"/>
  <c r="N12" i="7"/>
  <c r="K9" i="7"/>
  <c r="K16" i="7" s="1"/>
  <c r="N9" i="7"/>
  <c r="N6" i="7"/>
  <c r="D9" i="7"/>
  <c r="G9" i="7"/>
  <c r="H7" i="7"/>
  <c r="H9" i="7" s="1"/>
  <c r="C6" i="7"/>
  <c r="C16" i="7" s="1"/>
  <c r="D5" i="7"/>
  <c r="G16" i="7" s="1"/>
  <c r="D30" i="7"/>
  <c r="BX17" i="6"/>
  <c r="BX7" i="6"/>
  <c r="CA17" i="6"/>
  <c r="CA7" i="6"/>
  <c r="CD17" i="6"/>
  <c r="CD7" i="6"/>
  <c r="V3" i="7" l="1"/>
  <c r="V6" i="7" s="1"/>
  <c r="V16" i="7" s="1"/>
  <c r="U6" i="7"/>
  <c r="U18" i="7" s="1"/>
  <c r="R6" i="7"/>
  <c r="R16" i="7" s="1"/>
  <c r="G34" i="7"/>
  <c r="D6" i="7"/>
  <c r="D16" i="7" s="1"/>
  <c r="H5" i="7"/>
  <c r="G6" i="7"/>
  <c r="N18" i="7"/>
  <c r="N36" i="7"/>
  <c r="N32" i="7"/>
  <c r="O30" i="7"/>
  <c r="H6" i="7"/>
  <c r="H16" i="7" s="1"/>
  <c r="H30" i="7"/>
  <c r="U36" i="7"/>
  <c r="G32" i="7"/>
  <c r="G36" i="7" l="1"/>
  <c r="G18" i="7"/>
</calcChain>
</file>

<file path=xl/sharedStrings.xml><?xml version="1.0" encoding="utf-8"?>
<sst xmlns="http://schemas.openxmlformats.org/spreadsheetml/2006/main" count="451" uniqueCount="75">
  <si>
    <t>July 2025</t>
  </si>
  <si>
    <t>August 2025</t>
  </si>
  <si>
    <t>September 2025</t>
  </si>
  <si>
    <t>Fuel</t>
  </si>
  <si>
    <t>Barrels</t>
  </si>
  <si>
    <t>MMBtu</t>
  </si>
  <si>
    <t>Generation (kWh)</t>
  </si>
  <si>
    <t>Fuel Cost ($/MMBtu)</t>
  </si>
  <si>
    <t>Generation Cost ($/kWh)</t>
  </si>
  <si>
    <t>San Juan</t>
  </si>
  <si>
    <t>HFO</t>
  </si>
  <si>
    <t>-</t>
  </si>
  <si>
    <t>ULSD</t>
  </si>
  <si>
    <t>LNG</t>
  </si>
  <si>
    <t>Total</t>
  </si>
  <si>
    <t>Palo Seco</t>
  </si>
  <si>
    <t>Costa Sur</t>
  </si>
  <si>
    <t>Aguirre</t>
  </si>
  <si>
    <t>Total Steam - Fuel</t>
  </si>
  <si>
    <t>Total O&amp;M Steam</t>
  </si>
  <si>
    <t>Total Steam Fuel &amp; O&amp;M</t>
  </si>
  <si>
    <t>Aguirre CC</t>
  </si>
  <si>
    <t>Palo Seco Peakers</t>
  </si>
  <si>
    <t>Costa Sur Peakers</t>
  </si>
  <si>
    <t>Yabucoa Peakers</t>
  </si>
  <si>
    <t>Jobos Peakers</t>
  </si>
  <si>
    <t>Daguao Peakers</t>
  </si>
  <si>
    <t>Cambalache</t>
  </si>
  <si>
    <t>Mayaguez</t>
  </si>
  <si>
    <t>Total Gas - Fuel</t>
  </si>
  <si>
    <t>Total O&amp;M Gas</t>
  </si>
  <si>
    <t>Total Gas - Fuel &amp; O&amp;M</t>
  </si>
  <si>
    <t>Total System - Fuel</t>
  </si>
  <si>
    <t>Total System - O&amp;M</t>
  </si>
  <si>
    <t>Total System Fuel &amp; O&amp;M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</si>
  <si>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</si>
  <si>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</si>
  <si>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</si>
  <si>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</si>
  <si>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</si>
  <si>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</si>
  <si>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</si>
  <si>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</si>
  <si>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</si>
  <si>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</si>
  <si>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</si>
  <si>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</si>
  <si>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</si>
  <si>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</si>
  <si>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</si>
  <si>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</si>
  <si>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</si>
  <si>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</si>
  <si>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</si>
  <si>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</si>
  <si>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</si>
  <si>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</si>
  <si>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</si>
  <si>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</si>
  <si>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January 2026</t>
  </si>
  <si>
    <t>February 2026</t>
  </si>
  <si>
    <t>Plant</t>
  </si>
  <si>
    <t>Costs ($)</t>
  </si>
  <si>
    <t>Aguirre &amp; CC</t>
  </si>
  <si>
    <t>March 2026</t>
  </si>
  <si>
    <t>O&amp;M Costs ($)</t>
  </si>
  <si>
    <t>Total Avg</t>
  </si>
  <si>
    <t>Peakers</t>
  </si>
  <si>
    <t>Total System</t>
  </si>
  <si>
    <t xml:space="preserve"> -   </t>
  </si>
  <si>
    <t>FY2024</t>
  </si>
  <si>
    <t>FY2025</t>
  </si>
  <si>
    <t>Steam</t>
  </si>
  <si>
    <t>Gas</t>
  </si>
  <si>
    <t>Note: Palo Seco Peakers do not include Mobile Pac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</si>
</sst>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5" formatCode="_(* #,##0_);_(* \(#,##0\);_(* &quot;-&quot;??_);_(@_)"/>
    <numFmt numFmtId="166" formatCode="_([$$-409]* #,##0.00_);_([$$-409]* \(#,##0.00\);_([$$-409]* &quot;-&quot;??_);_(@_)"/>
    <numFmt numFmtId="167" formatCode="_([$$-409]* #,##0_);_([$$-409]* \(#,##0\);_([$$-409]* &quot;-&quot;??_);_(@_)"/>
    <numFmt numFmtId="169" formatCode="_([$$-409]* #,##0.0000_);_([$$-409]* \(#,##0.0000\);_([$$-409]* &quot;-&quot;??_);_(@_)"/>
    <numFmt numFmtId="170" formatCode="_([$$-409]* #,##0.0000_);_([$$-409]* \(#,##0.0000\);_([$$-409]* &quot;-&quot;????_);_(@_)"/>
    <numFmt numFmtId="171" formatCode="_([$$-409]* #,##0.00_);_([$$-409]* \(#,##0.00\);_([$$-409]* &quot;-&quot;??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theme="1"/>
      <name val="Arial"/>
      <family val="2"/>
    </font>
    <font>
      <b/>
      <sz val="11"/>
      <color rgb="FF00B0F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7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7" fontId="0" fillId="0" borderId="17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169" fontId="2" fillId="0" borderId="0" xfId="0" applyNumberFormat="1" applyFont="1" applyAlignment="1">
      <alignment vertical="center"/>
    </xf>
    <xf numFmtId="169" fontId="0" fillId="0" borderId="5" xfId="0" applyNumberFormat="1" applyBorder="1" applyAlignment="1">
      <alignment vertical="center"/>
    </xf>
    <xf numFmtId="169" fontId="0" fillId="0" borderId="20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21" xfId="0" applyNumberFormat="1" applyBorder="1" applyAlignment="1">
      <alignment vertical="center"/>
    </xf>
    <xf numFmtId="169" fontId="0" fillId="0" borderId="18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69" fontId="0" fillId="0" borderId="16" xfId="0" applyNumberFormat="1" applyBorder="1" applyAlignment="1">
      <alignment vertical="center"/>
    </xf>
    <xf numFmtId="169" fontId="5" fillId="0" borderId="46" xfId="0" applyNumberFormat="1" applyFont="1" applyBorder="1" applyAlignment="1">
      <alignment vertical="center"/>
    </xf>
    <xf numFmtId="169" fontId="5" fillId="0" borderId="15" xfId="0" applyNumberFormat="1" applyFont="1" applyBorder="1" applyAlignment="1">
      <alignment vertical="center"/>
    </xf>
    <xf numFmtId="169" fontId="7" fillId="0" borderId="31" xfId="0" applyNumberFormat="1" applyFont="1" applyBorder="1" applyAlignment="1">
      <alignment vertical="center"/>
    </xf>
    <xf numFmtId="169" fontId="7" fillId="0" borderId="42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3" fontId="4" fillId="0" borderId="8" xfId="1" applyFont="1" applyFill="1" applyBorder="1" applyAlignment="1">
      <alignment vertical="center"/>
    </xf>
    <xf numFmtId="169" fontId="4" fillId="0" borderId="8" xfId="0" applyNumberFormat="1" applyFont="1" applyBorder="1" applyAlignment="1">
      <alignment vertical="center"/>
    </xf>
    <xf numFmtId="166" fontId="4" fillId="0" borderId="21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3" fontId="4" fillId="0" borderId="10" xfId="1" applyFont="1" applyFill="1" applyBorder="1" applyAlignment="1">
      <alignment vertical="center"/>
    </xf>
    <xf numFmtId="169" fontId="4" fillId="0" borderId="10" xfId="0" applyNumberFormat="1" applyFont="1" applyBorder="1" applyAlignment="1">
      <alignment vertical="center"/>
    </xf>
    <xf numFmtId="166" fontId="4" fillId="0" borderId="19" xfId="0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169" fontId="4" fillId="0" borderId="4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169" fontId="4" fillId="0" borderId="46" xfId="0" applyNumberFormat="1" applyFont="1" applyBorder="1" applyAlignment="1">
      <alignment vertical="center"/>
    </xf>
    <xf numFmtId="166" fontId="4" fillId="0" borderId="50" xfId="0" applyNumberFormat="1" applyFont="1" applyBorder="1" applyAlignment="1">
      <alignment vertical="center"/>
    </xf>
    <xf numFmtId="1" fontId="4" fillId="0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46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66" fontId="0" fillId="0" borderId="0" xfId="0" applyNumberFormat="1" applyAlignment="1">
      <alignment vertical="center"/>
    </xf>
    <xf numFmtId="0" fontId="2" fillId="0" borderId="4" xfId="0" applyFont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7" fontId="0" fillId="0" borderId="51" xfId="0" applyNumberForma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49" fontId="6" fillId="0" borderId="35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166" fontId="4" fillId="0" borderId="18" xfId="0" applyNumberFormat="1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61" xfId="0" applyFont="1" applyBorder="1" applyAlignment="1">
      <alignment vertical="center" wrapText="1"/>
    </xf>
    <xf numFmtId="49" fontId="6" fillId="0" borderId="34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165" fontId="0" fillId="0" borderId="0" xfId="0" applyNumberFormat="1" applyAlignment="1">
      <alignment vertical="center"/>
    </xf>
    <xf numFmtId="43" fontId="0" fillId="0" borderId="4" xfId="0" applyNumberFormat="1" applyBorder="1" applyAlignment="1">
      <alignment vertical="center"/>
    </xf>
    <xf numFmtId="43" fontId="0" fillId="0" borderId="15" xfId="0" applyNumberFormat="1" applyBorder="1" applyAlignment="1">
      <alignment vertical="center"/>
    </xf>
    <xf numFmtId="0" fontId="9" fillId="0" borderId="25" xfId="0" applyFont="1" applyBorder="1"/>
    <xf numFmtId="0" fontId="9" fillId="0" borderId="35" xfId="0" applyFont="1" applyBorder="1"/>
    <xf numFmtId="0" fontId="9" fillId="0" borderId="27" xfId="0" applyFont="1" applyBorder="1"/>
    <xf numFmtId="0" fontId="9" fillId="0" borderId="26" xfId="0" applyFont="1" applyBorder="1"/>
    <xf numFmtId="0" fontId="9" fillId="0" borderId="44" xfId="0" applyFont="1" applyBorder="1"/>
    <xf numFmtId="0" fontId="9" fillId="0" borderId="37" xfId="0" applyFont="1" applyBorder="1"/>
    <xf numFmtId="0" fontId="9" fillId="0" borderId="12" xfId="0" applyFont="1" applyBorder="1"/>
    <xf numFmtId="0" fontId="9" fillId="0" borderId="4" xfId="0" applyFont="1" applyBorder="1"/>
    <xf numFmtId="0" fontId="9" fillId="0" borderId="13" xfId="0" applyFont="1" applyBorder="1"/>
    <xf numFmtId="0" fontId="9" fillId="0" borderId="6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51" xfId="0" applyFont="1" applyBorder="1"/>
    <xf numFmtId="166" fontId="0" fillId="0" borderId="0" xfId="0" applyNumberFormat="1"/>
    <xf numFmtId="0" fontId="10" fillId="0" borderId="0" xfId="0" applyFont="1"/>
    <xf numFmtId="3" fontId="10" fillId="0" borderId="4" xfId="0" applyNumberFormat="1" applyFont="1" applyBorder="1"/>
    <xf numFmtId="3" fontId="10" fillId="0" borderId="15" xfId="0" applyNumberFormat="1" applyFont="1" applyBorder="1"/>
    <xf numFmtId="0" fontId="10" fillId="0" borderId="4" xfId="0" applyFont="1" applyBorder="1"/>
    <xf numFmtId="165" fontId="10" fillId="0" borderId="4" xfId="0" applyNumberFormat="1" applyFont="1" applyBorder="1"/>
    <xf numFmtId="165" fontId="10" fillId="0" borderId="15" xfId="0" applyNumberFormat="1" applyFont="1" applyBorder="1"/>
    <xf numFmtId="165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6" fontId="9" fillId="0" borderId="0" xfId="0" applyNumberFormat="1" applyFont="1"/>
    <xf numFmtId="3" fontId="9" fillId="0" borderId="0" xfId="0" applyNumberFormat="1" applyFont="1"/>
    <xf numFmtId="169" fontId="9" fillId="0" borderId="0" xfId="0" applyNumberFormat="1" applyFont="1"/>
    <xf numFmtId="166" fontId="2" fillId="0" borderId="0" xfId="0" applyNumberFormat="1" applyFont="1" applyAlignment="1">
      <alignment vertical="center"/>
    </xf>
    <xf numFmtId="165" fontId="9" fillId="0" borderId="0" xfId="0" applyNumberFormat="1" applyFont="1"/>
    <xf numFmtId="165" fontId="2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3" fontId="4" fillId="0" borderId="10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43" fontId="4" fillId="0" borderId="46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69" fontId="6" fillId="0" borderId="40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169" fontId="6" fillId="0" borderId="58" xfId="0" applyNumberFormat="1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43" fontId="4" fillId="0" borderId="8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9" fontId="4" fillId="0" borderId="5" xfId="0" applyNumberFormat="1" applyFont="1" applyBorder="1" applyAlignment="1">
      <alignment vertical="center"/>
    </xf>
    <xf numFmtId="165" fontId="4" fillId="0" borderId="46" xfId="0" applyNumberFormat="1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166" fontId="6" fillId="0" borderId="33" xfId="0" applyNumberFormat="1" applyFont="1" applyBorder="1" applyAlignment="1">
      <alignment vertical="center"/>
    </xf>
    <xf numFmtId="4" fontId="6" fillId="0" borderId="35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43" fontId="8" fillId="0" borderId="4" xfId="0" applyNumberFormat="1" applyFont="1" applyBorder="1"/>
    <xf numFmtId="4" fontId="11" fillId="0" borderId="55" xfId="0" applyNumberFormat="1" applyFont="1" applyBorder="1"/>
    <xf numFmtId="3" fontId="11" fillId="0" borderId="55" xfId="0" applyNumberFormat="1" applyFont="1" applyBorder="1"/>
    <xf numFmtId="169" fontId="7" fillId="0" borderId="65" xfId="0" applyNumberFormat="1" applyFont="1" applyBorder="1" applyAlignment="1">
      <alignment vertical="center"/>
    </xf>
    <xf numFmtId="169" fontId="5" fillId="0" borderId="46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6" fontId="8" fillId="0" borderId="19" xfId="0" applyNumberFormat="1" applyFont="1" applyBorder="1"/>
    <xf numFmtId="166" fontId="6" fillId="0" borderId="36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6" fontId="4" fillId="0" borderId="41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9" fontId="11" fillId="2" borderId="0" xfId="0" applyNumberFormat="1" applyFont="1" applyFill="1" applyAlignment="1">
      <alignment vertical="center"/>
    </xf>
    <xf numFmtId="49" fontId="6" fillId="0" borderId="36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/>
    <xf numFmtId="169" fontId="5" fillId="0" borderId="15" xfId="0" applyNumberFormat="1" applyFont="1" applyBorder="1"/>
    <xf numFmtId="4" fontId="11" fillId="0" borderId="43" xfId="0" applyNumberFormat="1" applyFont="1" applyBorder="1"/>
    <xf numFmtId="3" fontId="11" fillId="0" borderId="43" xfId="0" applyNumberFormat="1" applyFont="1" applyBorder="1"/>
    <xf numFmtId="0" fontId="2" fillId="0" borderId="40" xfId="0" applyFont="1" applyBorder="1" applyAlignment="1">
      <alignment horizontal="center" vertical="center"/>
    </xf>
    <xf numFmtId="43" fontId="4" fillId="0" borderId="0" xfId="0" applyNumberFormat="1" applyFont="1" applyAlignment="1">
      <alignment vertical="center"/>
    </xf>
    <xf numFmtId="166" fontId="4" fillId="0" borderId="18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vertical="center"/>
    </xf>
    <xf numFmtId="169" fontId="7" fillId="0" borderId="23" xfId="0" applyNumberFormat="1" applyFont="1" applyBorder="1" applyAlignment="1">
      <alignment vertical="center"/>
    </xf>
    <xf numFmtId="169" fontId="6" fillId="2" borderId="0" xfId="0" applyNumberFormat="1" applyFont="1" applyFill="1" applyAlignment="1">
      <alignment vertical="center"/>
    </xf>
    <xf numFmtId="171" fontId="0" fillId="0" borderId="0" xfId="0" applyNumberFormat="1" applyAlignment="1">
      <alignment vertical="center"/>
    </xf>
    <xf numFmtId="169" fontId="4" fillId="0" borderId="6" xfId="0" applyNumberFormat="1" applyFont="1" applyBorder="1" applyAlignment="1">
      <alignment vertical="center"/>
    </xf>
    <xf numFmtId="169" fontId="4" fillId="0" borderId="48" xfId="0" applyNumberFormat="1" applyFont="1" applyBorder="1" applyAlignment="1">
      <alignment vertical="center"/>
    </xf>
    <xf numFmtId="169" fontId="7" fillId="0" borderId="3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9" fontId="4" fillId="0" borderId="7" xfId="0" applyNumberFormat="1" applyFont="1" applyBorder="1" applyAlignment="1">
      <alignment vertical="center"/>
    </xf>
    <xf numFmtId="43" fontId="8" fillId="0" borderId="4" xfId="0" applyNumberFormat="1" applyFont="1" applyBorder="1" applyAlignment="1">
      <alignment vertical="center"/>
    </xf>
    <xf numFmtId="43" fontId="8" fillId="0" borderId="4" xfId="0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/>
    </xf>
    <xf numFmtId="4" fontId="12" fillId="0" borderId="8" xfId="0" applyNumberFormat="1" applyFont="1" applyBorder="1"/>
    <xf numFmtId="4" fontId="8" fillId="0" borderId="8" xfId="0" applyNumberFormat="1" applyFont="1" applyBorder="1"/>
    <xf numFmtId="165" fontId="4" fillId="0" borderId="4" xfId="0" applyNumberFormat="1" applyFont="1" applyBorder="1" applyAlignment="1">
      <alignment horizontal="center" vertical="center" wrapText="1"/>
    </xf>
    <xf numFmtId="169" fontId="7" fillId="0" borderId="44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6" fontId="0" fillId="0" borderId="6" xfId="0" applyNumberForma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71" fontId="0" fillId="0" borderId="12" xfId="0" applyNumberFormat="1" applyBorder="1" applyAlignment="1">
      <alignment vertical="center"/>
    </xf>
    <xf numFmtId="171" fontId="0" fillId="0" borderId="14" xfId="0" applyNumberForma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166" fontId="0" fillId="0" borderId="51" xfId="0" applyNumberFormat="1" applyBorder="1" applyAlignment="1">
      <alignment vertical="center"/>
    </xf>
    <xf numFmtId="166" fontId="11" fillId="0" borderId="24" xfId="0" applyNumberFormat="1" applyFont="1" applyBorder="1"/>
    <xf numFmtId="0" fontId="6" fillId="0" borderId="64" xfId="0" applyFont="1" applyBorder="1" applyAlignment="1">
      <alignment vertical="center"/>
    </xf>
    <xf numFmtId="166" fontId="4" fillId="0" borderId="11" xfId="0" applyNumberFormat="1" applyFont="1" applyBorder="1" applyAlignment="1">
      <alignment horizontal="right" vertical="center"/>
    </xf>
    <xf numFmtId="166" fontId="4" fillId="0" borderId="13" xfId="0" applyNumberFormat="1" applyFont="1" applyBorder="1" applyAlignment="1">
      <alignment horizontal="right" vertical="center"/>
    </xf>
    <xf numFmtId="166" fontId="8" fillId="0" borderId="18" xfId="0" applyNumberFormat="1" applyFont="1" applyBorder="1" applyAlignment="1">
      <alignment horizontal="right"/>
    </xf>
    <xf numFmtId="166" fontId="8" fillId="0" borderId="13" xfId="0" applyNumberFormat="1" applyFont="1" applyBorder="1" applyAlignment="1">
      <alignment horizontal="right"/>
    </xf>
    <xf numFmtId="166" fontId="11" fillId="0" borderId="49" xfId="0" applyNumberFormat="1" applyFont="1" applyBorder="1" applyAlignment="1">
      <alignment horizontal="right"/>
    </xf>
    <xf numFmtId="169" fontId="4" fillId="0" borderId="47" xfId="0" applyNumberFormat="1" applyFont="1" applyBorder="1" applyAlignment="1">
      <alignment vertical="center"/>
    </xf>
    <xf numFmtId="43" fontId="6" fillId="0" borderId="46" xfId="0" applyNumberFormat="1" applyFont="1" applyBorder="1" applyAlignment="1">
      <alignment vertical="center"/>
    </xf>
    <xf numFmtId="165" fontId="6" fillId="0" borderId="46" xfId="0" applyNumberFormat="1" applyFont="1" applyBorder="1" applyAlignment="1">
      <alignment vertical="center"/>
    </xf>
    <xf numFmtId="166" fontId="6" fillId="0" borderId="50" xfId="0" applyNumberFormat="1" applyFont="1" applyBorder="1" applyAlignment="1">
      <alignment vertical="center"/>
    </xf>
    <xf numFmtId="4" fontId="8" fillId="0" borderId="46" xfId="0" applyNumberFormat="1" applyFont="1" applyBorder="1"/>
    <xf numFmtId="43" fontId="6" fillId="0" borderId="15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6" fontId="6" fillId="0" borderId="16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vertical="center"/>
    </xf>
    <xf numFmtId="166" fontId="11" fillId="0" borderId="16" xfId="0" applyNumberFormat="1" applyFont="1" applyBorder="1" applyAlignment="1">
      <alignment horizontal="right"/>
    </xf>
    <xf numFmtId="166" fontId="4" fillId="0" borderId="19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6" fontId="6" fillId="0" borderId="20" xfId="0" applyNumberFormat="1" applyFont="1" applyBorder="1" applyAlignment="1">
      <alignment horizontal="right" vertical="center"/>
    </xf>
    <xf numFmtId="166" fontId="4" fillId="0" borderId="21" xfId="0" applyNumberFormat="1" applyFont="1" applyBorder="1" applyAlignment="1">
      <alignment horizontal="right" vertical="center"/>
    </xf>
    <xf numFmtId="166" fontId="8" fillId="0" borderId="21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166" fontId="11" fillId="0" borderId="20" xfId="0" applyNumberFormat="1" applyFont="1" applyBorder="1" applyAlignment="1">
      <alignment horizontal="right"/>
    </xf>
    <xf numFmtId="166" fontId="11" fillId="0" borderId="64" xfId="0" applyNumberFormat="1" applyFont="1" applyBorder="1" applyAlignment="1">
      <alignment horizontal="right"/>
    </xf>
    <xf numFmtId="166" fontId="4" fillId="0" borderId="66" xfId="0" applyNumberFormat="1" applyFont="1" applyBorder="1" applyAlignment="1">
      <alignment vertical="center"/>
    </xf>
    <xf numFmtId="169" fontId="4" fillId="0" borderId="44" xfId="0" applyNumberFormat="1" applyFont="1" applyBorder="1" applyAlignment="1">
      <alignment vertical="center"/>
    </xf>
    <xf numFmtId="169" fontId="4" fillId="0" borderId="5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166" fontId="11" fillId="0" borderId="50" xfId="0" applyNumberFormat="1" applyFont="1" applyBorder="1"/>
    <xf numFmtId="0" fontId="2" fillId="0" borderId="11" xfId="0" applyFont="1" applyBorder="1" applyAlignment="1">
      <alignment horizontal="center" vertical="center"/>
    </xf>
    <xf numFmtId="165" fontId="11" fillId="0" borderId="40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vertical="center"/>
    </xf>
    <xf numFmtId="169" fontId="11" fillId="0" borderId="58" xfId="0" applyNumberFormat="1" applyFont="1" applyBorder="1" applyAlignment="1">
      <alignment vertical="center"/>
    </xf>
    <xf numFmtId="169" fontId="11" fillId="0" borderId="44" xfId="0" applyNumberFormat="1" applyFont="1" applyBorder="1" applyAlignment="1">
      <alignment vertical="center"/>
    </xf>
    <xf numFmtId="169" fontId="7" fillId="0" borderId="32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9" fontId="7" fillId="0" borderId="24" xfId="0" applyNumberFormat="1" applyFont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7A3B-C4FC-4D26-A641-10FDFF871A0E}">
  <sheetPr>
    <tabColor rgb="FF92D050"/>
  </sheetPr>
  <dimension ref="A1:X41"/>
  <sheetViews>
    <sheetView tabSelected="1" zoomScale="80" zoomScaleNormal="80" workbookViewId="0">
      <pane xSplit="1" topLeftCell="D1" activePane="topRight" state="frozen"/>
      <selection pane="topRight" activeCell="G16" sqref="G16"/>
    </sheetView>
  </sheetViews>
  <sheetFormatPr defaultColWidth="9.1796875" defaultRowHeight="15" customHeight="1" x14ac:dyDescent="0.35"/>
  <cols>
    <col min="1" max="1" width="20.453125" style="129" bestFit="1" customWidth="1"/>
    <col min="2" max="2" width="19.81640625" style="129" bestFit="1" customWidth="1"/>
    <col min="3" max="3" width="13" style="129" bestFit="1" customWidth="1"/>
    <col min="4" max="4" width="14.54296875" style="129" bestFit="1" customWidth="1"/>
    <col min="5" max="5" width="14.26953125" style="129" customWidth="1"/>
    <col min="6" max="6" width="11.81640625" style="129" bestFit="1" customWidth="1"/>
    <col min="7" max="7" width="14.81640625" style="129" customWidth="1"/>
    <col min="8" max="8" width="17.453125" style="129" bestFit="1" customWidth="1"/>
    <col min="9" max="9" width="20.453125" style="129" customWidth="1"/>
    <col min="10" max="10" width="13.6328125" style="129" bestFit="1" customWidth="1"/>
    <col min="11" max="11" width="15" style="129" bestFit="1" customWidth="1"/>
    <col min="12" max="12" width="15.1796875" style="129" customWidth="1"/>
    <col min="13" max="13" width="12.453125" style="129" customWidth="1"/>
    <col min="14" max="14" width="14.7265625" style="129" customWidth="1"/>
    <col min="15" max="15" width="17.7265625" style="129" customWidth="1"/>
    <col min="16" max="16" width="20.1796875" style="129" customWidth="1"/>
    <col min="17" max="17" width="14.26953125" style="129" customWidth="1"/>
    <col min="18" max="18" width="15" style="129" bestFit="1" customWidth="1"/>
    <col min="19" max="19" width="14.453125" style="129" bestFit="1" customWidth="1"/>
    <col min="20" max="20" width="12.54296875" style="129" customWidth="1"/>
    <col min="21" max="22" width="18.54296875" style="129" bestFit="1" customWidth="1"/>
    <col min="23" max="23" width="9.1796875" style="129"/>
    <col min="24" max="24" width="10.1796875" style="129" bestFit="1" customWidth="1"/>
    <col min="25" max="16384" width="9.1796875" style="129"/>
  </cols>
  <sheetData>
    <row r="1" spans="1:24" ht="14.5" thickBot="1" x14ac:dyDescent="0.4">
      <c r="B1" s="256" t="s">
        <v>59</v>
      </c>
      <c r="C1" s="257"/>
      <c r="D1" s="257"/>
      <c r="E1" s="257"/>
      <c r="F1" s="257"/>
      <c r="G1" s="257"/>
      <c r="H1" s="258"/>
      <c r="I1" s="256" t="s">
        <v>60</v>
      </c>
      <c r="J1" s="257"/>
      <c r="K1" s="257"/>
      <c r="L1" s="257"/>
      <c r="M1" s="257"/>
      <c r="N1" s="257"/>
      <c r="O1" s="258"/>
      <c r="P1" s="256" t="s">
        <v>64</v>
      </c>
      <c r="Q1" s="257"/>
      <c r="R1" s="257"/>
      <c r="S1" s="257"/>
      <c r="T1" s="257"/>
      <c r="U1" s="257"/>
      <c r="V1" s="258"/>
    </row>
    <row r="2" spans="1:24" ht="28.5" thickBot="1" x14ac:dyDescent="0.4">
      <c r="A2" s="130" t="s">
        <v>61</v>
      </c>
      <c r="B2" s="92" t="s">
        <v>3</v>
      </c>
      <c r="C2" s="82" t="s">
        <v>4</v>
      </c>
      <c r="D2" s="82" t="s">
        <v>5</v>
      </c>
      <c r="E2" s="83" t="s">
        <v>6</v>
      </c>
      <c r="F2" s="83" t="s">
        <v>7</v>
      </c>
      <c r="G2" s="83" t="s">
        <v>8</v>
      </c>
      <c r="H2" s="93" t="s">
        <v>62</v>
      </c>
      <c r="I2" s="92" t="s">
        <v>3</v>
      </c>
      <c r="J2" s="82" t="s">
        <v>4</v>
      </c>
      <c r="K2" s="82" t="s">
        <v>5</v>
      </c>
      <c r="L2" s="83" t="s">
        <v>6</v>
      </c>
      <c r="M2" s="83" t="s">
        <v>7</v>
      </c>
      <c r="N2" s="83" t="s">
        <v>8</v>
      </c>
      <c r="O2" s="179" t="s">
        <v>62</v>
      </c>
      <c r="P2" s="92" t="s">
        <v>3</v>
      </c>
      <c r="Q2" s="82" t="s">
        <v>4</v>
      </c>
      <c r="R2" s="82" t="s">
        <v>5</v>
      </c>
      <c r="S2" s="83" t="s">
        <v>6</v>
      </c>
      <c r="T2" s="83" t="s">
        <v>7</v>
      </c>
      <c r="U2" s="83" t="s">
        <v>8</v>
      </c>
      <c r="V2" s="93" t="s">
        <v>62</v>
      </c>
    </row>
    <row r="3" spans="1:24" ht="14" x14ac:dyDescent="0.35">
      <c r="A3" s="262" t="s">
        <v>9</v>
      </c>
      <c r="B3" s="43" t="s">
        <v>10</v>
      </c>
      <c r="C3" s="131">
        <v>30231.69</v>
      </c>
      <c r="D3" s="44">
        <f>C3*6.3</f>
        <v>190459.647</v>
      </c>
      <c r="E3" s="259"/>
      <c r="F3" s="45">
        <v>11.423</v>
      </c>
      <c r="G3" s="194"/>
      <c r="H3" s="46">
        <f>F3*D3</f>
        <v>2175620.5476810001</v>
      </c>
      <c r="I3" s="89" t="s">
        <v>10</v>
      </c>
      <c r="J3" s="131">
        <v>54610.51</v>
      </c>
      <c r="K3" s="44">
        <f>J3*6.3</f>
        <v>344046.21299999999</v>
      </c>
      <c r="L3" s="259"/>
      <c r="M3" s="45">
        <v>11.7479</v>
      </c>
      <c r="N3" s="194"/>
      <c r="O3" s="230">
        <f>M3*K3</f>
        <v>4041820.5057026995</v>
      </c>
      <c r="P3" s="89" t="s">
        <v>10</v>
      </c>
      <c r="Q3" s="131">
        <v>42293.08</v>
      </c>
      <c r="R3" s="44">
        <f>Q3*6.3</f>
        <v>266446.40399999998</v>
      </c>
      <c r="S3" s="259"/>
      <c r="T3" s="45">
        <v>15.792</v>
      </c>
      <c r="U3" s="194"/>
      <c r="V3" s="214">
        <f>T3*R3</f>
        <v>4207721.6119679995</v>
      </c>
    </row>
    <row r="4" spans="1:24" ht="14" x14ac:dyDescent="0.35">
      <c r="A4" s="263"/>
      <c r="B4" s="48" t="s">
        <v>12</v>
      </c>
      <c r="C4" s="196">
        <v>5735.46</v>
      </c>
      <c r="D4" s="49">
        <f>C4*5.8</f>
        <v>33265.667999999998</v>
      </c>
      <c r="E4" s="265"/>
      <c r="F4" s="50">
        <v>17.825800000000001</v>
      </c>
      <c r="G4" s="56"/>
      <c r="H4" s="51">
        <f t="shared" ref="H4:H5" si="0">F4*D4</f>
        <v>592987.14463440003</v>
      </c>
      <c r="I4" s="87" t="s">
        <v>12</v>
      </c>
      <c r="J4" s="132">
        <v>9153.5300000000007</v>
      </c>
      <c r="K4" s="49">
        <f>J4*5.8</f>
        <v>53090.474000000002</v>
      </c>
      <c r="L4" s="265"/>
      <c r="M4" s="50">
        <v>17.8994</v>
      </c>
      <c r="N4" s="56"/>
      <c r="O4" s="231">
        <f t="shared" ref="O4:O5" si="1">M4*K4</f>
        <v>950287.63031560008</v>
      </c>
      <c r="P4" s="87" t="s">
        <v>12</v>
      </c>
      <c r="Q4" s="132">
        <v>39706.79</v>
      </c>
      <c r="R4" s="49">
        <f>Q4*5.8</f>
        <v>230299.38200000001</v>
      </c>
      <c r="S4" s="265"/>
      <c r="T4" s="50">
        <v>22.1021</v>
      </c>
      <c r="U4" s="56"/>
      <c r="V4" s="215">
        <f t="shared" ref="V4:V5" si="2">T4*R4</f>
        <v>5090099.9709021999</v>
      </c>
    </row>
    <row r="5" spans="1:24" ht="14" x14ac:dyDescent="0.35">
      <c r="A5" s="263"/>
      <c r="B5" s="48" t="s">
        <v>13</v>
      </c>
      <c r="C5" s="197">
        <f>981406/5.8</f>
        <v>169207.93103448275</v>
      </c>
      <c r="D5" s="57">
        <f>C5*5.8</f>
        <v>981405.99999999988</v>
      </c>
      <c r="E5" s="260"/>
      <c r="F5" s="50">
        <v>11.8901</v>
      </c>
      <c r="G5" s="56"/>
      <c r="H5" s="51">
        <f t="shared" si="0"/>
        <v>11669015.480599999</v>
      </c>
      <c r="I5" s="87" t="s">
        <v>13</v>
      </c>
      <c r="J5" s="132">
        <v>159136.54999999999</v>
      </c>
      <c r="K5" s="57">
        <f>J5*5.8</f>
        <v>922991.98999999987</v>
      </c>
      <c r="L5" s="260"/>
      <c r="M5" s="50">
        <v>15.079000000000001</v>
      </c>
      <c r="N5" s="56"/>
      <c r="O5" s="231">
        <f t="shared" si="1"/>
        <v>13917796.217209999</v>
      </c>
      <c r="P5" s="87" t="s">
        <v>13</v>
      </c>
      <c r="Q5" s="132">
        <v>120824.4828</v>
      </c>
      <c r="R5" s="57">
        <f>Q5*5.8</f>
        <v>700782.00023999996</v>
      </c>
      <c r="S5" s="260"/>
      <c r="T5" s="50">
        <v>9.9144000000000005</v>
      </c>
      <c r="U5" s="56"/>
      <c r="V5" s="215">
        <f t="shared" si="2"/>
        <v>6947833.0631794557</v>
      </c>
    </row>
    <row r="6" spans="1:24" ht="14.5" thickBot="1" x14ac:dyDescent="0.4">
      <c r="A6" s="264"/>
      <c r="B6" s="52" t="s">
        <v>14</v>
      </c>
      <c r="C6" s="220">
        <f>SUM(C3:C5)</f>
        <v>205175.08103448275</v>
      </c>
      <c r="D6" s="220">
        <f>SUM(D3:D5)</f>
        <v>1205131.3149999999</v>
      </c>
      <c r="E6" s="247">
        <v>133468000</v>
      </c>
      <c r="F6" s="244"/>
      <c r="G6" s="32">
        <f>(D3*F3+D4*F4+D5*F5)/E6</f>
        <v>0.10817291914852548</v>
      </c>
      <c r="H6" s="222">
        <f>SUM(H3:H5)</f>
        <v>14437623.172915399</v>
      </c>
      <c r="I6" s="90" t="s">
        <v>14</v>
      </c>
      <c r="J6" s="224">
        <f>SUM(J3:J5)</f>
        <v>222900.59</v>
      </c>
      <c r="K6" s="224">
        <f>SUM(K3:K5)</f>
        <v>1320128.6769999999</v>
      </c>
      <c r="L6" s="225">
        <v>139641000</v>
      </c>
      <c r="M6" s="226"/>
      <c r="N6" s="33">
        <f>(K3*M3+K4*M4+K5*M5)/L6</f>
        <v>0.13541799581232086</v>
      </c>
      <c r="O6" s="232">
        <f>SUM(O3:O5)</f>
        <v>18909904.353228297</v>
      </c>
      <c r="P6" s="88" t="s">
        <v>14</v>
      </c>
      <c r="Q6" s="224">
        <f>SUM(Q3:Q5)</f>
        <v>202824.35279999999</v>
      </c>
      <c r="R6" s="224">
        <f>SUM(R3:R5)</f>
        <v>1197527.7862399998</v>
      </c>
      <c r="S6" s="221">
        <v>130682000</v>
      </c>
      <c r="T6" s="95"/>
      <c r="U6" s="33">
        <f>(R3*T3+R4*T4+R5*T5)/S6</f>
        <v>0.12431440172364715</v>
      </c>
      <c r="V6" s="227">
        <f>SUM(V3:V5)</f>
        <v>16245654.646049656</v>
      </c>
    </row>
    <row r="7" spans="1:24" ht="14" x14ac:dyDescent="0.35">
      <c r="A7" s="262" t="s">
        <v>15</v>
      </c>
      <c r="B7" s="89" t="s">
        <v>10</v>
      </c>
      <c r="C7" s="131">
        <v>193150.52</v>
      </c>
      <c r="D7" s="44">
        <f>C7*6.3</f>
        <v>1216848.2759999998</v>
      </c>
      <c r="E7" s="259"/>
      <c r="F7" s="45">
        <v>11.2189</v>
      </c>
      <c r="G7" s="194"/>
      <c r="H7" s="46">
        <f>F7*D7</f>
        <v>13651699.123616397</v>
      </c>
      <c r="I7" s="86" t="s">
        <v>10</v>
      </c>
      <c r="J7" s="152">
        <v>100413.2</v>
      </c>
      <c r="K7" s="40">
        <f>J7*6.3</f>
        <v>632603.15999999992</v>
      </c>
      <c r="L7" s="265"/>
      <c r="M7" s="41">
        <v>11.635400000000001</v>
      </c>
      <c r="N7" s="135"/>
      <c r="O7" s="233">
        <f>M7*K7</f>
        <v>7360590.8078639992</v>
      </c>
      <c r="P7" s="89" t="s">
        <v>10</v>
      </c>
      <c r="Q7" s="131">
        <v>26645.72</v>
      </c>
      <c r="R7" s="40">
        <f>Q7*6.3</f>
        <v>167868.03599999999</v>
      </c>
      <c r="S7" s="259"/>
      <c r="T7" s="45">
        <v>15.2387</v>
      </c>
      <c r="U7" s="194"/>
      <c r="V7" s="186">
        <f>T7*R7</f>
        <v>2558090.6401931997</v>
      </c>
    </row>
    <row r="8" spans="1:24" ht="14" x14ac:dyDescent="0.35">
      <c r="A8" s="263"/>
      <c r="B8" s="87" t="s">
        <v>12</v>
      </c>
      <c r="C8" s="56">
        <v>0</v>
      </c>
      <c r="D8" s="55">
        <f>C8*5.8</f>
        <v>0</v>
      </c>
      <c r="E8" s="260"/>
      <c r="F8" s="50">
        <v>17.255700000000001</v>
      </c>
      <c r="G8" s="56"/>
      <c r="H8" s="51">
        <f>F8*D8</f>
        <v>0</v>
      </c>
      <c r="I8" s="87" t="s">
        <v>12</v>
      </c>
      <c r="J8" s="132">
        <v>1656.89</v>
      </c>
      <c r="K8" s="49">
        <f>J8*5.8</f>
        <v>9609.9619999999995</v>
      </c>
      <c r="L8" s="260"/>
      <c r="M8" s="50">
        <v>17.7088</v>
      </c>
      <c r="N8" s="56"/>
      <c r="O8" s="231">
        <f>M8*K8</f>
        <v>170180.89506559999</v>
      </c>
      <c r="P8" s="87" t="s">
        <v>12</v>
      </c>
      <c r="Q8" s="56">
        <v>626.13</v>
      </c>
      <c r="R8" s="49">
        <f>Q8*5.8</f>
        <v>3631.5540000000001</v>
      </c>
      <c r="S8" s="260"/>
      <c r="T8" s="50">
        <v>19.635899999999999</v>
      </c>
      <c r="U8" s="56"/>
      <c r="V8" s="215">
        <f>T8*R8</f>
        <v>71308.831188600001</v>
      </c>
    </row>
    <row r="9" spans="1:24" ht="14.5" thickBot="1" x14ac:dyDescent="0.4">
      <c r="A9" s="264"/>
      <c r="B9" s="90" t="s">
        <v>14</v>
      </c>
      <c r="C9" s="228">
        <f>SUM(C7:C8)</f>
        <v>193150.52</v>
      </c>
      <c r="D9" s="228">
        <f>SUM(D7:D8)</f>
        <v>1216848.2759999998</v>
      </c>
      <c r="E9" s="225">
        <v>125537000</v>
      </c>
      <c r="F9" s="244"/>
      <c r="G9" s="32">
        <f>(D7*F7+D8*F8)/E9</f>
        <v>0.10874641837558964</v>
      </c>
      <c r="H9" s="222">
        <f>SUM(H7:H8)</f>
        <v>13651699.123616397</v>
      </c>
      <c r="I9" s="90" t="s">
        <v>14</v>
      </c>
      <c r="J9" s="224">
        <f>SUM(J7:J8)</f>
        <v>102070.09</v>
      </c>
      <c r="K9" s="228">
        <f>SUM(K7:K8)</f>
        <v>642213.12199999997</v>
      </c>
      <c r="L9" s="225">
        <v>65416000</v>
      </c>
      <c r="M9" s="226"/>
      <c r="N9" s="33">
        <f>(K7*M7+K8*M8)/L9</f>
        <v>0.11512125019765194</v>
      </c>
      <c r="O9" s="232">
        <f>SUM(O7:O8)</f>
        <v>7530771.7029295992</v>
      </c>
      <c r="P9" s="90" t="s">
        <v>14</v>
      </c>
      <c r="Q9" s="224">
        <f>SUM(Q7:Q8)</f>
        <v>27271.850000000002</v>
      </c>
      <c r="R9" s="228">
        <f>SUM(R7:R8)</f>
        <v>171499.59</v>
      </c>
      <c r="S9" s="225">
        <v>16935000</v>
      </c>
      <c r="T9" s="134"/>
      <c r="U9" s="33">
        <f>(R7*T7+R8*T8)/S9</f>
        <v>0.15526421443057573</v>
      </c>
      <c r="V9" s="227">
        <f>SUM(V7:V8)</f>
        <v>2629399.4713817998</v>
      </c>
    </row>
    <row r="10" spans="1:24" ht="14" x14ac:dyDescent="0.35">
      <c r="A10" s="262" t="s">
        <v>16</v>
      </c>
      <c r="B10" s="86" t="s">
        <v>10</v>
      </c>
      <c r="C10" s="152">
        <v>21358.19</v>
      </c>
      <c r="D10" s="40">
        <f>C10*6.3</f>
        <v>134556.59699999998</v>
      </c>
      <c r="E10" s="259"/>
      <c r="F10" s="45">
        <v>11.565300000000001</v>
      </c>
      <c r="G10" s="194"/>
      <c r="H10" s="46">
        <f>F10*D10</f>
        <v>1556187.4112840998</v>
      </c>
      <c r="I10" s="86" t="s">
        <v>10</v>
      </c>
      <c r="J10" s="152">
        <v>234551.24</v>
      </c>
      <c r="K10" s="40">
        <f>J10*6.3</f>
        <v>1477672.8119999999</v>
      </c>
      <c r="L10" s="265"/>
      <c r="M10" s="41">
        <v>11.565300000000001</v>
      </c>
      <c r="N10" s="135"/>
      <c r="O10" s="233">
        <f>M10*K10</f>
        <v>17089729.3726236</v>
      </c>
      <c r="P10" s="86" t="s">
        <v>10</v>
      </c>
      <c r="Q10" s="152">
        <v>125146.20000000001</v>
      </c>
      <c r="R10" s="40">
        <f>Q10*6.3</f>
        <v>788421.06</v>
      </c>
      <c r="S10" s="259"/>
      <c r="T10" s="41">
        <v>13.513500000000001</v>
      </c>
      <c r="U10" s="135"/>
      <c r="V10" s="186">
        <f>T10*R10</f>
        <v>10654327.994310001</v>
      </c>
    </row>
    <row r="11" spans="1:24" ht="14" x14ac:dyDescent="0.35">
      <c r="A11" s="263"/>
      <c r="B11" s="87" t="s">
        <v>13</v>
      </c>
      <c r="C11" s="132">
        <v>342754.91</v>
      </c>
      <c r="D11" s="49">
        <f>C11*6.3</f>
        <v>2159355.9329999997</v>
      </c>
      <c r="E11" s="260"/>
      <c r="F11" s="50">
        <v>10.8901</v>
      </c>
      <c r="G11" s="56"/>
      <c r="H11" s="51">
        <f>F11*D11</f>
        <v>23515602.045963299</v>
      </c>
      <c r="I11" s="87" t="s">
        <v>13</v>
      </c>
      <c r="J11" s="132">
        <v>364627.3015873016</v>
      </c>
      <c r="K11" s="49">
        <f>J11*6.3</f>
        <v>2297152</v>
      </c>
      <c r="L11" s="260"/>
      <c r="M11" s="50">
        <v>14.079000000000001</v>
      </c>
      <c r="N11" s="56"/>
      <c r="O11" s="231">
        <f>M11*K11</f>
        <v>32341603.008000001</v>
      </c>
      <c r="P11" s="87" t="s">
        <v>13</v>
      </c>
      <c r="Q11" s="132">
        <v>553112.85714285728</v>
      </c>
      <c r="R11" s="49">
        <f>Q11*6.3</f>
        <v>3484611.0000000009</v>
      </c>
      <c r="S11" s="260"/>
      <c r="T11" s="50">
        <v>8.9144000000000005</v>
      </c>
      <c r="U11" s="56"/>
      <c r="V11" s="215">
        <f>T11*R11</f>
        <v>31063216.298400011</v>
      </c>
    </row>
    <row r="12" spans="1:24" ht="14.5" thickBot="1" x14ac:dyDescent="0.4">
      <c r="A12" s="264"/>
      <c r="B12" s="90" t="s">
        <v>14</v>
      </c>
      <c r="C12" s="224">
        <f>SUM(C10:C11)</f>
        <v>364113.1</v>
      </c>
      <c r="D12" s="228">
        <f>SUM(D10:D11)</f>
        <v>2293912.5299999998</v>
      </c>
      <c r="E12" s="225">
        <v>206610000</v>
      </c>
      <c r="F12" s="244"/>
      <c r="G12" s="32">
        <f>(D10*F10+D11*F11)/E12</f>
        <v>0.12134838322078989</v>
      </c>
      <c r="H12" s="222">
        <f>SUM(H10:H11)</f>
        <v>25071789.457247399</v>
      </c>
      <c r="I12" s="90" t="s">
        <v>14</v>
      </c>
      <c r="J12" s="224">
        <f>SUM(J10:J11)</f>
        <v>599178.54158730153</v>
      </c>
      <c r="K12" s="228">
        <f>SUM(K10:K11)</f>
        <v>3774824.8119999999</v>
      </c>
      <c r="L12" s="225">
        <v>346420000</v>
      </c>
      <c r="M12" s="226"/>
      <c r="N12" s="33">
        <f>(K10*M10+K11*M11)/L12</f>
        <v>0.14269191265118528</v>
      </c>
      <c r="O12" s="232">
        <f>SUM(O10:O11)</f>
        <v>49431332.380623601</v>
      </c>
      <c r="P12" s="90" t="s">
        <v>14</v>
      </c>
      <c r="Q12" s="224">
        <f>SUM(Q10:Q11)</f>
        <v>678259.05714285723</v>
      </c>
      <c r="R12" s="228">
        <f>SUM(R10:R11)</f>
        <v>4273032.0600000005</v>
      </c>
      <c r="S12" s="225">
        <v>388540000</v>
      </c>
      <c r="T12" s="134"/>
      <c r="U12" s="33">
        <f>(R10*T10+R11*T11)/S12</f>
        <v>0.1073700115630566</v>
      </c>
      <c r="V12" s="227">
        <f>SUM(V10:V11)</f>
        <v>41717544.292710014</v>
      </c>
    </row>
    <row r="13" spans="1:24" ht="14.5" x14ac:dyDescent="0.35">
      <c r="A13" s="261" t="s">
        <v>17</v>
      </c>
      <c r="B13" s="86" t="s">
        <v>10</v>
      </c>
      <c r="C13" s="199">
        <v>277467.7</v>
      </c>
      <c r="D13" s="200">
        <f>C13*6.3</f>
        <v>1748046.51</v>
      </c>
      <c r="E13" s="259"/>
      <c r="F13" s="45">
        <v>11.7608</v>
      </c>
      <c r="G13" s="194"/>
      <c r="H13" s="172">
        <f>D13*F13</f>
        <v>20558425.394807998</v>
      </c>
      <c r="I13" s="86" t="s">
        <v>10</v>
      </c>
      <c r="J13" s="152">
        <v>202971.95</v>
      </c>
      <c r="K13" s="200">
        <f>J13*6.3</f>
        <v>1278723.2850000001</v>
      </c>
      <c r="L13" s="265"/>
      <c r="M13" s="41">
        <v>12.3081</v>
      </c>
      <c r="N13" s="135"/>
      <c r="O13" s="234">
        <f>K13*M13</f>
        <v>15738654.064108502</v>
      </c>
      <c r="P13" s="86" t="s">
        <v>10</v>
      </c>
      <c r="Q13" s="152">
        <v>232256.07</v>
      </c>
      <c r="R13" s="200">
        <f>Q13*6.3</f>
        <v>1463213.2409999999</v>
      </c>
      <c r="S13" s="259"/>
      <c r="T13" s="41">
        <v>14.9703</v>
      </c>
      <c r="U13" s="135"/>
      <c r="V13" s="216">
        <f>R13*T13</f>
        <v>21904741.181742299</v>
      </c>
    </row>
    <row r="14" spans="1:24" ht="14.5" x14ac:dyDescent="0.3">
      <c r="A14" s="261"/>
      <c r="B14" s="87" t="s">
        <v>12</v>
      </c>
      <c r="C14" s="198">
        <v>997.39</v>
      </c>
      <c r="D14" s="165">
        <f>C14*5.8</f>
        <v>5784.8620000000001</v>
      </c>
      <c r="E14" s="260"/>
      <c r="F14" s="50">
        <v>17.4316</v>
      </c>
      <c r="G14" s="56"/>
      <c r="H14" s="180">
        <f>D14*F14</f>
        <v>100839.40043919999</v>
      </c>
      <c r="I14" s="87" t="s">
        <v>12</v>
      </c>
      <c r="J14" s="56">
        <v>777.38</v>
      </c>
      <c r="K14" s="165">
        <f>J14*5.8</f>
        <v>4508.8040000000001</v>
      </c>
      <c r="L14" s="260"/>
      <c r="M14" s="50">
        <v>17.7653</v>
      </c>
      <c r="N14" s="56"/>
      <c r="O14" s="235">
        <f>K14*M14</f>
        <v>80100.255701200003</v>
      </c>
      <c r="P14" s="87" t="s">
        <v>12</v>
      </c>
      <c r="Q14" s="56">
        <v>545.45000000000005</v>
      </c>
      <c r="R14" s="165">
        <f>Q14*5.8</f>
        <v>3163.61</v>
      </c>
      <c r="S14" s="260"/>
      <c r="T14" s="50">
        <v>19.983000000000001</v>
      </c>
      <c r="U14" s="56"/>
      <c r="V14" s="217">
        <f>R14*T14</f>
        <v>63218.418630000007</v>
      </c>
    </row>
    <row r="15" spans="1:24" ht="14.5" thickBot="1" x14ac:dyDescent="0.35">
      <c r="A15" s="261"/>
      <c r="B15" s="88" t="s">
        <v>14</v>
      </c>
      <c r="C15" s="248">
        <f>SUM(C13:C14)</f>
        <v>278465.09000000003</v>
      </c>
      <c r="D15" s="248">
        <f>SUM(D13:D14)</f>
        <v>1753831.372</v>
      </c>
      <c r="E15" s="221">
        <v>156310000</v>
      </c>
      <c r="F15" s="244"/>
      <c r="G15" s="169">
        <f>(D13*F13+D14*F14)/E15</f>
        <v>0.13216854196946579</v>
      </c>
      <c r="H15" s="245">
        <f>SUM(H13:H14)</f>
        <v>20659264.795247197</v>
      </c>
      <c r="I15" s="90" t="s">
        <v>14</v>
      </c>
      <c r="J15" s="224">
        <f>SUM(J13:J14)</f>
        <v>203749.33000000002</v>
      </c>
      <c r="K15" s="228">
        <f>SUM(K13:K14)</f>
        <v>1283232.0890000002</v>
      </c>
      <c r="L15" s="225">
        <v>114145000</v>
      </c>
      <c r="M15" s="226"/>
      <c r="N15" s="181">
        <f>(K13*M13+K14*M14)/L15</f>
        <v>0.13858473275053398</v>
      </c>
      <c r="O15" s="236">
        <f>SUM(O13:O14)</f>
        <v>15818754.319809701</v>
      </c>
      <c r="P15" s="90" t="s">
        <v>14</v>
      </c>
      <c r="Q15" s="224">
        <f>SUM(Q13:Q14)</f>
        <v>232801.52000000002</v>
      </c>
      <c r="R15" s="228">
        <f>SUM(R13:R14)</f>
        <v>1466376.851</v>
      </c>
      <c r="S15" s="225">
        <v>134495000</v>
      </c>
      <c r="T15" s="134"/>
      <c r="U15" s="181">
        <f>(R13*T13+R14*T14)/S15</f>
        <v>0.16333662664316367</v>
      </c>
      <c r="V15" s="229">
        <f>SUM(V13:V14)</f>
        <v>21967959.6003723</v>
      </c>
    </row>
    <row r="16" spans="1:24" ht="14.5" thickBot="1" x14ac:dyDescent="0.35">
      <c r="B16" s="136" t="s">
        <v>18</v>
      </c>
      <c r="C16" s="166">
        <f>SUM(C6,C9,C12,C15)</f>
        <v>1040903.7910344827</v>
      </c>
      <c r="D16" s="166">
        <f t="shared" ref="D16:E16" si="3">SUM(D6,D9,D12,D15)</f>
        <v>6469723.4929999989</v>
      </c>
      <c r="E16" s="167">
        <f t="shared" si="3"/>
        <v>621925000</v>
      </c>
      <c r="F16" s="137"/>
      <c r="G16" s="168">
        <f>(D3*F3+D4*F4+D5*F5+D7*F7+D8*F8+D10*F10+D11*F11+D13*F13+D14*F14)/E16</f>
        <v>0.11869658969976508</v>
      </c>
      <c r="H16" s="212">
        <f>SUM(H6,H9,H12,H15)</f>
        <v>73820376.5490264</v>
      </c>
      <c r="I16" s="213" t="s">
        <v>18</v>
      </c>
      <c r="J16" s="182">
        <f>SUM(J6,J9,J12,J15)</f>
        <v>1127898.5515873015</v>
      </c>
      <c r="K16" s="182">
        <f t="shared" ref="K16:L16" si="4">SUM(K6,K9,K12,K15)</f>
        <v>7020398.6999999993</v>
      </c>
      <c r="L16" s="183">
        <f t="shared" si="4"/>
        <v>665622000</v>
      </c>
      <c r="M16" s="145"/>
      <c r="N16" s="35">
        <f>(K3*M3+K4*M4+K5*M5+K7*M7+K8*M8+K10*M10+K11*M11+K13*M13+K14*M14)/L16</f>
        <v>0.13775200152127062</v>
      </c>
      <c r="O16" s="237">
        <f>SUM(O6,O9,O12,O15)</f>
        <v>91690762.756591201</v>
      </c>
      <c r="P16" s="144" t="s">
        <v>18</v>
      </c>
      <c r="Q16" s="182">
        <f>SUM(Q6,Q9,Q12,Q15)</f>
        <v>1141156.7799428571</v>
      </c>
      <c r="R16" s="182">
        <f t="shared" ref="R16:S16" si="5">SUM(R6,R9,R12,R15)</f>
        <v>7108436.2872400004</v>
      </c>
      <c r="S16" s="183">
        <f t="shared" si="5"/>
        <v>670652000</v>
      </c>
      <c r="T16" s="145"/>
      <c r="U16" s="35">
        <f>(R3*T3+R4*T4+R5*T5+R7*T7+R8*T8+R10*T10+R11*T11+R13*T13+R14*T14)/S16</f>
        <v>0.12310491582894521</v>
      </c>
      <c r="V16" s="218">
        <f>SUM(V6,V9,V12,V15)</f>
        <v>82560558.010513768</v>
      </c>
      <c r="X16" s="176"/>
    </row>
    <row r="17" spans="1:24" ht="14.5" thickBot="1" x14ac:dyDescent="0.4">
      <c r="B17" s="144" t="s">
        <v>19</v>
      </c>
      <c r="C17" s="139" t="s">
        <v>11</v>
      </c>
      <c r="D17" s="139" t="s">
        <v>11</v>
      </c>
      <c r="E17" s="139" t="s">
        <v>11</v>
      </c>
      <c r="F17" s="139" t="s">
        <v>11</v>
      </c>
      <c r="G17" s="249">
        <v>9.1847979257949092E-3</v>
      </c>
      <c r="H17" s="147"/>
      <c r="I17" s="144" t="s">
        <v>19</v>
      </c>
      <c r="J17" s="139" t="s">
        <v>11</v>
      </c>
      <c r="K17" s="139" t="s">
        <v>11</v>
      </c>
      <c r="L17" s="139" t="s">
        <v>11</v>
      </c>
      <c r="M17" s="139" t="s">
        <v>11</v>
      </c>
      <c r="N17" s="146">
        <v>8.7640754963027069E-3</v>
      </c>
      <c r="O17" s="147"/>
      <c r="P17" s="144" t="s">
        <v>19</v>
      </c>
      <c r="Q17" s="145"/>
      <c r="R17" s="145"/>
      <c r="S17" s="145"/>
      <c r="T17" s="145"/>
      <c r="U17" s="146">
        <v>9.9686251588006897E-3</v>
      </c>
      <c r="V17" s="149"/>
    </row>
    <row r="18" spans="1:24" ht="28.5" thickBot="1" x14ac:dyDescent="0.4">
      <c r="B18" s="91" t="s">
        <v>20</v>
      </c>
      <c r="C18" s="137" t="s">
        <v>11</v>
      </c>
      <c r="D18" s="137" t="s">
        <v>11</v>
      </c>
      <c r="E18" s="137" t="s">
        <v>11</v>
      </c>
      <c r="F18" s="137" t="s">
        <v>11</v>
      </c>
      <c r="G18" s="34">
        <f>G16+G17</f>
        <v>0.12788138762556001</v>
      </c>
      <c r="H18" s="147"/>
      <c r="I18" s="91" t="s">
        <v>20</v>
      </c>
      <c r="J18" s="137" t="s">
        <v>11</v>
      </c>
      <c r="K18" s="137" t="s">
        <v>11</v>
      </c>
      <c r="L18" s="137" t="s">
        <v>11</v>
      </c>
      <c r="M18" s="137" t="s">
        <v>11</v>
      </c>
      <c r="N18" s="34">
        <f>N16+N17</f>
        <v>0.14651607701757333</v>
      </c>
      <c r="O18" s="147"/>
      <c r="P18" s="91" t="s">
        <v>20</v>
      </c>
      <c r="Q18" s="145"/>
      <c r="R18" s="145"/>
      <c r="S18" s="145"/>
      <c r="T18" s="145"/>
      <c r="U18" s="34">
        <f>U16+U17</f>
        <v>0.1330735409877459</v>
      </c>
      <c r="V18" s="149"/>
    </row>
    <row r="19" spans="1:24" ht="14.5" thickBot="1" x14ac:dyDescent="0.4"/>
    <row r="20" spans="1:24" ht="14.5" thickBot="1" x14ac:dyDescent="0.4">
      <c r="B20" s="256" t="s">
        <v>59</v>
      </c>
      <c r="C20" s="257"/>
      <c r="D20" s="257"/>
      <c r="E20" s="257"/>
      <c r="F20" s="257"/>
      <c r="G20" s="257"/>
      <c r="H20" s="258"/>
      <c r="I20" s="256" t="s">
        <v>60</v>
      </c>
      <c r="J20" s="257"/>
      <c r="K20" s="257"/>
      <c r="L20" s="257"/>
      <c r="M20" s="257"/>
      <c r="N20" s="257"/>
      <c r="O20" s="258"/>
      <c r="P20" s="256" t="s">
        <v>64</v>
      </c>
      <c r="Q20" s="257"/>
      <c r="R20" s="257"/>
      <c r="S20" s="257"/>
      <c r="T20" s="257"/>
      <c r="U20" s="257"/>
      <c r="V20" s="258"/>
    </row>
    <row r="21" spans="1:24" ht="28.5" thickBot="1" x14ac:dyDescent="0.4">
      <c r="A21" s="130" t="s">
        <v>61</v>
      </c>
      <c r="B21" s="36" t="s">
        <v>3</v>
      </c>
      <c r="C21" s="37" t="s">
        <v>4</v>
      </c>
      <c r="D21" s="37" t="s">
        <v>5</v>
      </c>
      <c r="E21" s="38" t="s">
        <v>6</v>
      </c>
      <c r="F21" s="38" t="s">
        <v>7</v>
      </c>
      <c r="G21" s="38" t="s">
        <v>8</v>
      </c>
      <c r="H21" s="39" t="s">
        <v>62</v>
      </c>
      <c r="I21" s="92" t="s">
        <v>3</v>
      </c>
      <c r="J21" s="82" t="s">
        <v>4</v>
      </c>
      <c r="K21" s="82" t="s">
        <v>5</v>
      </c>
      <c r="L21" s="83" t="s">
        <v>6</v>
      </c>
      <c r="M21" s="83" t="s">
        <v>7</v>
      </c>
      <c r="N21" s="83" t="s">
        <v>8</v>
      </c>
      <c r="O21" s="179" t="s">
        <v>62</v>
      </c>
      <c r="P21" s="36" t="s">
        <v>3</v>
      </c>
      <c r="Q21" s="37" t="s">
        <v>4</v>
      </c>
      <c r="R21" s="37" t="s">
        <v>5</v>
      </c>
      <c r="S21" s="38" t="s">
        <v>6</v>
      </c>
      <c r="T21" s="38" t="s">
        <v>7</v>
      </c>
      <c r="U21" s="38" t="s">
        <v>8</v>
      </c>
      <c r="V21" s="84" t="s">
        <v>62</v>
      </c>
    </row>
    <row r="22" spans="1:24" ht="14" x14ac:dyDescent="0.35">
      <c r="A22" s="151" t="s">
        <v>63</v>
      </c>
      <c r="B22" s="86" t="s">
        <v>12</v>
      </c>
      <c r="C22" s="94">
        <v>98256.77</v>
      </c>
      <c r="D22" s="40">
        <f>C22*5.8</f>
        <v>569889.26600000006</v>
      </c>
      <c r="E22" s="153">
        <v>37005000</v>
      </c>
      <c r="F22" s="41">
        <v>17.4316</v>
      </c>
      <c r="G22" s="195">
        <f>(D22*F22)/E22</f>
        <v>0.2684524180301473</v>
      </c>
      <c r="H22" s="42">
        <f>F22*D22</f>
        <v>9934081.7292056009</v>
      </c>
      <c r="I22" s="89" t="s">
        <v>12</v>
      </c>
      <c r="J22" s="131">
        <v>82771.55</v>
      </c>
      <c r="K22" s="44">
        <f>J22*5.8</f>
        <v>480074.99</v>
      </c>
      <c r="L22" s="174">
        <v>32762000</v>
      </c>
      <c r="M22" s="45">
        <v>17.7653</v>
      </c>
      <c r="N22" s="219">
        <f>(K22*M22)/L22</f>
        <v>0.26032220926216348</v>
      </c>
      <c r="O22" s="47">
        <f>M22*K22</f>
        <v>8528676.2198469993</v>
      </c>
      <c r="P22" s="86" t="s">
        <v>12</v>
      </c>
      <c r="Q22" s="152">
        <v>75947.570000000007</v>
      </c>
      <c r="R22" s="44">
        <f>Q22*5.8</f>
        <v>440495.90600000002</v>
      </c>
      <c r="S22" s="153">
        <v>29179000</v>
      </c>
      <c r="T22" s="50">
        <v>19.983000000000001</v>
      </c>
      <c r="U22" s="239">
        <f t="shared" ref="U22:U23" si="6">IF(S22,(R22*T22)/S22,0)</f>
        <v>0.30167002603235205</v>
      </c>
      <c r="V22" s="47">
        <f>T22*R22</f>
        <v>8802429.6895979997</v>
      </c>
    </row>
    <row r="23" spans="1:24" ht="14" x14ac:dyDescent="0.3">
      <c r="A23" s="151" t="s">
        <v>22</v>
      </c>
      <c r="B23" s="87" t="s">
        <v>12</v>
      </c>
      <c r="C23" s="165">
        <v>4725.3100000000004</v>
      </c>
      <c r="D23" s="49">
        <f t="shared" ref="D23" si="7">C23*5.8</f>
        <v>27406.798000000003</v>
      </c>
      <c r="E23" s="154">
        <v>1763000</v>
      </c>
      <c r="F23" s="50">
        <v>17.255700000000001</v>
      </c>
      <c r="G23" s="191">
        <f t="shared" ref="G23" si="8">(D23*F23)/E23</f>
        <v>0.268249282046852</v>
      </c>
      <c r="H23" s="51">
        <f t="shared" ref="H23:H29" si="9">F23*D23</f>
        <v>472923.48424860009</v>
      </c>
      <c r="I23" s="87" t="s">
        <v>12</v>
      </c>
      <c r="J23" s="132">
        <v>1927.7142857142858</v>
      </c>
      <c r="K23" s="49">
        <f t="shared" ref="K23" si="10">J23*5.8</f>
        <v>11180.742857142857</v>
      </c>
      <c r="L23" s="154">
        <v>833000</v>
      </c>
      <c r="M23" s="50">
        <v>17.7088</v>
      </c>
      <c r="N23" s="192">
        <f t="shared" ref="N23" si="11">(K23*M23)/L23</f>
        <v>0.23769212377979762</v>
      </c>
      <c r="O23" s="85">
        <f t="shared" ref="O23:O29" si="12">M23*K23</f>
        <v>197997.53910857142</v>
      </c>
      <c r="P23" s="87" t="s">
        <v>12</v>
      </c>
      <c r="Q23" s="132">
        <v>2894.5</v>
      </c>
      <c r="R23" s="49">
        <f t="shared" ref="R23" si="13">Q23*5.8</f>
        <v>16788.099999999999</v>
      </c>
      <c r="S23" s="154">
        <v>1075000</v>
      </c>
      <c r="T23" s="50">
        <v>19.635899999999999</v>
      </c>
      <c r="U23" s="50">
        <f t="shared" si="6"/>
        <v>0.30665065375813949</v>
      </c>
      <c r="V23" s="238">
        <f t="shared" ref="V23:V29" si="14">T23*R23</f>
        <v>329649.45278999995</v>
      </c>
      <c r="X23" s="138" t="s">
        <v>74</v>
      </c>
    </row>
    <row r="24" spans="1:24" ht="14" x14ac:dyDescent="0.35">
      <c r="A24" s="151" t="s">
        <v>23</v>
      </c>
      <c r="B24" s="87" t="s">
        <v>12</v>
      </c>
      <c r="C24" s="56">
        <v>0</v>
      </c>
      <c r="D24" s="55">
        <f>C24*5.8</f>
        <v>0</v>
      </c>
      <c r="E24" s="56">
        <v>0</v>
      </c>
      <c r="F24" s="50">
        <v>19.1816</v>
      </c>
      <c r="G24" s="191">
        <v>0</v>
      </c>
      <c r="H24" s="51">
        <f t="shared" si="9"/>
        <v>0</v>
      </c>
      <c r="I24" s="87" t="s">
        <v>12</v>
      </c>
      <c r="J24" s="56">
        <v>0</v>
      </c>
      <c r="K24" s="55">
        <f>J24*5.8</f>
        <v>0</v>
      </c>
      <c r="L24" s="56">
        <v>0</v>
      </c>
      <c r="M24" s="155">
        <v>19.1816</v>
      </c>
      <c r="N24" s="50">
        <f t="shared" ref="N24:N27" si="15">IF(L24,(K24*M24)/L24,0)</f>
        <v>0</v>
      </c>
      <c r="O24" s="238">
        <f t="shared" si="12"/>
        <v>0</v>
      </c>
      <c r="P24" s="87" t="s">
        <v>12</v>
      </c>
      <c r="Q24" s="56">
        <v>0</v>
      </c>
      <c r="R24" s="55">
        <f>Q24*5.8</f>
        <v>0</v>
      </c>
      <c r="S24" s="56">
        <v>0</v>
      </c>
      <c r="T24" s="155">
        <v>19.1816</v>
      </c>
      <c r="U24" s="50">
        <f>IF(S24,(R24*T24)/S24,0)</f>
        <v>0</v>
      </c>
      <c r="V24" s="238">
        <f t="shared" si="14"/>
        <v>0</v>
      </c>
    </row>
    <row r="25" spans="1:24" ht="14" x14ac:dyDescent="0.35">
      <c r="A25" s="151" t="s">
        <v>24</v>
      </c>
      <c r="B25" s="87" t="s">
        <v>12</v>
      </c>
      <c r="C25" s="196">
        <v>2848.69</v>
      </c>
      <c r="D25" s="49">
        <f t="shared" ref="D25:D29" si="16">C25*5.8</f>
        <v>16522.401999999998</v>
      </c>
      <c r="E25" s="201">
        <v>870000</v>
      </c>
      <c r="F25" s="50">
        <v>17.698</v>
      </c>
      <c r="G25" s="191">
        <f t="shared" ref="G25:G29" si="17">(D25*F25)/E25</f>
        <v>0.33610743746666666</v>
      </c>
      <c r="H25" s="51">
        <f t="shared" si="9"/>
        <v>292413.47059599997</v>
      </c>
      <c r="I25" s="87" t="s">
        <v>12</v>
      </c>
      <c r="J25" s="56">
        <v>0</v>
      </c>
      <c r="K25" s="55">
        <f t="shared" ref="K25:K29" si="18">J25*5.8</f>
        <v>0</v>
      </c>
      <c r="L25" s="56">
        <v>0</v>
      </c>
      <c r="M25" s="155">
        <v>17.698</v>
      </c>
      <c r="N25" s="50">
        <f t="shared" si="15"/>
        <v>0</v>
      </c>
      <c r="O25" s="238">
        <f t="shared" si="12"/>
        <v>0</v>
      </c>
      <c r="P25" s="87" t="s">
        <v>12</v>
      </c>
      <c r="Q25" s="56">
        <v>0</v>
      </c>
      <c r="R25" s="55">
        <f t="shared" ref="R25:R29" si="19">Q25*5.8</f>
        <v>0</v>
      </c>
      <c r="S25" s="56">
        <v>0</v>
      </c>
      <c r="T25" s="155">
        <v>17.698</v>
      </c>
      <c r="U25" s="50">
        <f t="shared" ref="U25:U29" si="20">IF(S25,(R25*T25)/S25,0)</f>
        <v>0</v>
      </c>
      <c r="V25" s="238">
        <f t="shared" si="14"/>
        <v>0</v>
      </c>
    </row>
    <row r="26" spans="1:24" ht="14" x14ac:dyDescent="0.35">
      <c r="A26" s="151" t="s">
        <v>25</v>
      </c>
      <c r="B26" s="87" t="s">
        <v>12</v>
      </c>
      <c r="C26" s="56">
        <v>0</v>
      </c>
      <c r="D26" s="55">
        <f t="shared" si="16"/>
        <v>0</v>
      </c>
      <c r="E26" s="187">
        <v>0</v>
      </c>
      <c r="F26" s="50">
        <v>18.250900000000001</v>
      </c>
      <c r="G26" s="191">
        <v>0</v>
      </c>
      <c r="H26" s="51">
        <f t="shared" si="9"/>
        <v>0</v>
      </c>
      <c r="I26" s="87" t="s">
        <v>12</v>
      </c>
      <c r="J26" s="56">
        <v>0</v>
      </c>
      <c r="K26" s="55">
        <f t="shared" si="18"/>
        <v>0</v>
      </c>
      <c r="L26" s="56">
        <v>0</v>
      </c>
      <c r="M26" s="155">
        <v>18.250900000000001</v>
      </c>
      <c r="N26" s="50">
        <f t="shared" si="15"/>
        <v>0</v>
      </c>
      <c r="O26" s="238">
        <f t="shared" si="12"/>
        <v>0</v>
      </c>
      <c r="P26" s="87" t="s">
        <v>12</v>
      </c>
      <c r="Q26" s="132">
        <v>1621</v>
      </c>
      <c r="R26" s="49">
        <f t="shared" si="19"/>
        <v>9401.7999999999993</v>
      </c>
      <c r="S26" s="154">
        <v>601000</v>
      </c>
      <c r="T26" s="155">
        <v>19.988900000000001</v>
      </c>
      <c r="U26" s="50">
        <f t="shared" si="20"/>
        <v>0.3126982363061564</v>
      </c>
      <c r="V26" s="238">
        <f t="shared" si="14"/>
        <v>187931.64001999999</v>
      </c>
    </row>
    <row r="27" spans="1:24" ht="14" x14ac:dyDescent="0.35">
      <c r="A27" s="151" t="s">
        <v>26</v>
      </c>
      <c r="B27" s="87" t="s">
        <v>12</v>
      </c>
      <c r="C27" s="56">
        <v>0</v>
      </c>
      <c r="D27" s="55">
        <f t="shared" si="16"/>
        <v>0</v>
      </c>
      <c r="E27" s="187">
        <v>0</v>
      </c>
      <c r="F27" s="50">
        <v>17.523499999999999</v>
      </c>
      <c r="G27" s="191">
        <v>0</v>
      </c>
      <c r="H27" s="51">
        <f t="shared" si="9"/>
        <v>0</v>
      </c>
      <c r="I27" s="87" t="s">
        <v>12</v>
      </c>
      <c r="J27" s="56">
        <v>0</v>
      </c>
      <c r="K27" s="55">
        <f t="shared" si="18"/>
        <v>0</v>
      </c>
      <c r="L27" s="56">
        <v>0</v>
      </c>
      <c r="M27" s="155">
        <v>17.523499999999999</v>
      </c>
      <c r="N27" s="50">
        <f t="shared" si="15"/>
        <v>0</v>
      </c>
      <c r="O27" s="238">
        <f t="shared" si="12"/>
        <v>0</v>
      </c>
      <c r="P27" s="87" t="s">
        <v>12</v>
      </c>
      <c r="Q27" s="56">
        <v>777.09</v>
      </c>
      <c r="R27" s="55">
        <f t="shared" si="19"/>
        <v>4507.1220000000003</v>
      </c>
      <c r="S27" s="154">
        <v>257000</v>
      </c>
      <c r="T27" s="155">
        <v>18.199200000000001</v>
      </c>
      <c r="U27" s="50">
        <f t="shared" si="20"/>
        <v>0.3191673723828794</v>
      </c>
      <c r="V27" s="238">
        <f t="shared" si="14"/>
        <v>82026.014702400003</v>
      </c>
    </row>
    <row r="28" spans="1:24" ht="14" x14ac:dyDescent="0.35">
      <c r="A28" s="151" t="s">
        <v>27</v>
      </c>
      <c r="B28" s="87" t="s">
        <v>12</v>
      </c>
      <c r="C28" s="203">
        <v>3566.8295513210251</v>
      </c>
      <c r="D28" s="49">
        <f t="shared" si="16"/>
        <v>20687.611397661945</v>
      </c>
      <c r="E28" s="154">
        <v>1503000</v>
      </c>
      <c r="F28" s="50">
        <v>17.871099999999998</v>
      </c>
      <c r="G28" s="191">
        <f t="shared" si="17"/>
        <v>0.24598161812957842</v>
      </c>
      <c r="H28" s="51">
        <f t="shared" si="9"/>
        <v>369710.37204875634</v>
      </c>
      <c r="I28" s="87" t="s">
        <v>12</v>
      </c>
      <c r="J28" s="132">
        <v>5831.39</v>
      </c>
      <c r="K28" s="49">
        <f t="shared" si="18"/>
        <v>33822.061999999998</v>
      </c>
      <c r="L28" s="154">
        <v>2685000</v>
      </c>
      <c r="M28" s="50">
        <v>17.871099999999998</v>
      </c>
      <c r="N28" s="195">
        <f t="shared" ref="N28:N29" si="21">(K28*M28)/L28</f>
        <v>0.22511636953750461</v>
      </c>
      <c r="O28" s="85">
        <f t="shared" si="12"/>
        <v>604437.45220819989</v>
      </c>
      <c r="P28" s="87" t="s">
        <v>12</v>
      </c>
      <c r="Q28" s="132">
        <v>18612.849999999999</v>
      </c>
      <c r="R28" s="49">
        <f t="shared" si="19"/>
        <v>107954.52999999998</v>
      </c>
      <c r="S28" s="154">
        <v>8621000</v>
      </c>
      <c r="T28" s="155">
        <v>17.871099999999998</v>
      </c>
      <c r="U28" s="50">
        <f t="shared" si="20"/>
        <v>0.22378682299999994</v>
      </c>
      <c r="V28" s="238">
        <f t="shared" si="14"/>
        <v>1929266.2010829996</v>
      </c>
    </row>
    <row r="29" spans="1:24" ht="14.5" thickBot="1" x14ac:dyDescent="0.35">
      <c r="A29" s="151" t="s">
        <v>28</v>
      </c>
      <c r="B29" s="157" t="s">
        <v>12</v>
      </c>
      <c r="C29" s="223">
        <v>16847.060000000001</v>
      </c>
      <c r="D29" s="57">
        <f t="shared" si="16"/>
        <v>97712.948000000004</v>
      </c>
      <c r="E29" s="156">
        <v>8967530</v>
      </c>
      <c r="F29" s="53">
        <v>16.985700000000001</v>
      </c>
      <c r="G29" s="192">
        <f t="shared" si="17"/>
        <v>0.18508137924752971</v>
      </c>
      <c r="H29" s="54">
        <f t="shared" si="9"/>
        <v>1659722.8208436002</v>
      </c>
      <c r="I29" s="157" t="s">
        <v>12</v>
      </c>
      <c r="J29" s="133">
        <v>14244.55</v>
      </c>
      <c r="K29" s="57">
        <f t="shared" si="18"/>
        <v>82618.39</v>
      </c>
      <c r="L29" s="156">
        <v>7583500</v>
      </c>
      <c r="M29" s="53">
        <v>16.985700000000001</v>
      </c>
      <c r="N29" s="192">
        <f t="shared" si="21"/>
        <v>0.1850505949789675</v>
      </c>
      <c r="O29" s="175">
        <f t="shared" si="12"/>
        <v>1403331.1870230001</v>
      </c>
      <c r="P29" s="157" t="s">
        <v>12</v>
      </c>
      <c r="Q29" s="133">
        <v>20245.759999999998</v>
      </c>
      <c r="R29" s="57">
        <f t="shared" si="19"/>
        <v>117425.40799999998</v>
      </c>
      <c r="S29" s="156">
        <v>10720100</v>
      </c>
      <c r="T29" s="53">
        <v>22.0913</v>
      </c>
      <c r="U29" s="240">
        <f t="shared" si="20"/>
        <v>0.24198280946543407</v>
      </c>
      <c r="V29" s="175">
        <f t="shared" si="14"/>
        <v>2594079.9157503997</v>
      </c>
    </row>
    <row r="30" spans="1:24" ht="14.5" thickBot="1" x14ac:dyDescent="0.4">
      <c r="B30" s="163" t="s">
        <v>29</v>
      </c>
      <c r="C30" s="161">
        <f>SUM(C22:C29)</f>
        <v>126244.65955132103</v>
      </c>
      <c r="D30" s="161">
        <f>SUM(D22:D29)</f>
        <v>732219.02539766196</v>
      </c>
      <c r="E30" s="162">
        <f>SUM(E22:E29)</f>
        <v>50108530</v>
      </c>
      <c r="F30" s="140"/>
      <c r="G30" s="202">
        <f>(D22*F22+D23*F23+D24*F24+D25*F25+D26*F26+D27*F27+D28*F28+D29*F29)/E30</f>
        <v>0.25402564946412431</v>
      </c>
      <c r="H30" s="173">
        <f>SUM(H22:H29)</f>
        <v>12728851.876942558</v>
      </c>
      <c r="I30" s="136" t="s">
        <v>29</v>
      </c>
      <c r="J30" s="158">
        <f>SUM(J22:J29)</f>
        <v>104775.2042857143</v>
      </c>
      <c r="K30" s="158">
        <f>SUM(K22:K29)</f>
        <v>607696.18485714286</v>
      </c>
      <c r="L30" s="159">
        <f>SUM(L22:L29)</f>
        <v>43863500</v>
      </c>
      <c r="M30" s="137"/>
      <c r="N30" s="193">
        <f>(K22*M22+K23*M23+K24*M24+K25*M25+K26*M26+K27*M27+K28*M28+K29*M29)/L30</f>
        <v>0.24472379992902463</v>
      </c>
      <c r="O30" s="160">
        <f>SUM(O22:O29)</f>
        <v>10734442.398186771</v>
      </c>
      <c r="P30" s="136" t="s">
        <v>29</v>
      </c>
      <c r="Q30" s="158">
        <f>SUM(Q22:Q29)</f>
        <v>120098.77</v>
      </c>
      <c r="R30" s="158">
        <f>SUM(R22:R29)</f>
        <v>696572.86599999992</v>
      </c>
      <c r="S30" s="159">
        <f>SUM(S22:S29)</f>
        <v>50453100</v>
      </c>
      <c r="T30" s="137"/>
      <c r="U30" s="188">
        <f>(R22*T22+R23*T23+R24*T24+R25*T25+R26*T26+R27*T27+R28*T28+R29*T29)/S30</f>
        <v>0.27600648748924839</v>
      </c>
      <c r="V30" s="251">
        <f>AVERAGE(V22:V23,V28:V29)</f>
        <v>3413856.3148053493</v>
      </c>
    </row>
    <row r="31" spans="1:24" ht="14.5" thickBot="1" x14ac:dyDescent="0.4">
      <c r="B31" s="163" t="s">
        <v>30</v>
      </c>
      <c r="C31" s="140"/>
      <c r="D31" s="140"/>
      <c r="E31" s="140"/>
      <c r="F31" s="140"/>
      <c r="G31" s="250">
        <v>2.3725073901520337E-2</v>
      </c>
      <c r="H31" s="164"/>
      <c r="I31" s="144" t="s">
        <v>30</v>
      </c>
      <c r="J31" s="145"/>
      <c r="K31" s="145"/>
      <c r="L31" s="145"/>
      <c r="M31" s="145"/>
      <c r="N31" s="146">
        <v>2.050388654797735E-2</v>
      </c>
      <c r="O31" s="147"/>
      <c r="P31" s="141" t="s">
        <v>30</v>
      </c>
      <c r="Q31" s="139"/>
      <c r="R31" s="139"/>
      <c r="S31" s="139"/>
      <c r="T31" s="139"/>
      <c r="U31" s="143">
        <v>2.9939989019505245E-2</v>
      </c>
      <c r="V31" s="142"/>
    </row>
    <row r="32" spans="1:24" ht="28.5" thickBot="1" x14ac:dyDescent="0.4">
      <c r="B32" s="81" t="s">
        <v>31</v>
      </c>
      <c r="C32" s="137"/>
      <c r="D32" s="137"/>
      <c r="E32" s="137"/>
      <c r="F32" s="137"/>
      <c r="G32" s="193">
        <f>G30+G31</f>
        <v>0.27775072336564466</v>
      </c>
      <c r="H32" s="148"/>
      <c r="I32" s="91" t="s">
        <v>31</v>
      </c>
      <c r="J32" s="145"/>
      <c r="K32" s="145"/>
      <c r="L32" s="145"/>
      <c r="M32" s="145"/>
      <c r="N32" s="193">
        <f>N30+N31</f>
        <v>0.26522768647700196</v>
      </c>
      <c r="O32" s="147"/>
      <c r="P32" s="81" t="s">
        <v>31</v>
      </c>
      <c r="Q32" s="137"/>
      <c r="R32" s="137"/>
      <c r="S32" s="137"/>
      <c r="T32" s="137"/>
      <c r="U32" s="193">
        <f>U30+U31</f>
        <v>0.30594647650875362</v>
      </c>
      <c r="V32" s="255">
        <f>V30+V31</f>
        <v>3413856.3148053493</v>
      </c>
    </row>
    <row r="33" spans="1:21" ht="14" x14ac:dyDescent="0.35"/>
    <row r="34" spans="1:21" ht="14" x14ac:dyDescent="0.35">
      <c r="B34" s="58" t="s">
        <v>32</v>
      </c>
      <c r="G34" s="178">
        <f>(D3*F3+D4*F4+D5*F5+D7*F7+D8*F8+D10*F10+D11*F11+D13*F13+D14*F14+D22*F22+D23*F23+D24*F24+D25*F25+D26*F26+D27*F27+D28*F28+D29*F29)/(E16+E30)</f>
        <v>0.12878706874338391</v>
      </c>
      <c r="H34" s="176"/>
      <c r="I34" s="58" t="s">
        <v>32</v>
      </c>
      <c r="M34" s="176"/>
      <c r="N34" s="178">
        <f>(K3*M3+K4*M4+K5*M5+K7*M7+K8*M8+K10*M10+K11*M11+K13*M13+K14*M14+K22*M22+K23*M23+K24*M24+K25*M25+K26*M26+K27*M27+K28*M28+K29*M29)/(L16+L30)</f>
        <v>0.14436546646094667</v>
      </c>
      <c r="P34" s="58" t="s">
        <v>32</v>
      </c>
      <c r="U34" s="178">
        <f>(R3*T3+R4*T4+R5*T5+R7*T7+R8*T8+R10*T10+R11*T11+R13*T13+R14*T14+R22*T22+R23*T23+R24*T24+R25*T25+R26*T26+R27*T27+R28*T28+R29*T29)/(S16+S30)</f>
        <v>0.13380288244315228</v>
      </c>
    </row>
    <row r="35" spans="1:21" ht="14" x14ac:dyDescent="0.35">
      <c r="B35" s="58" t="s">
        <v>33</v>
      </c>
      <c r="G35" s="189">
        <v>1.0390958375056381E-2</v>
      </c>
      <c r="I35" s="58" t="s">
        <v>33</v>
      </c>
      <c r="N35" s="189">
        <v>9.5691623141781878E-3</v>
      </c>
      <c r="P35" s="58" t="s">
        <v>33</v>
      </c>
      <c r="U35" s="189">
        <v>1.1365948819388464E-2</v>
      </c>
    </row>
    <row r="36" spans="1:21" ht="28" x14ac:dyDescent="0.35">
      <c r="B36" s="59" t="s">
        <v>34</v>
      </c>
      <c r="G36" s="178">
        <f>SUM(G34:G35)</f>
        <v>0.1391780271184403</v>
      </c>
      <c r="I36" s="59" t="s">
        <v>34</v>
      </c>
      <c r="N36" s="178">
        <f>SUM(N34:N35)</f>
        <v>0.15393462877512484</v>
      </c>
      <c r="P36" s="59" t="s">
        <v>34</v>
      </c>
      <c r="U36" s="178">
        <f>SUM(U34:U35)</f>
        <v>0.14516883126254074</v>
      </c>
    </row>
    <row r="39" spans="1:21" ht="15" customHeight="1" x14ac:dyDescent="0.35">
      <c r="A39" s="138"/>
      <c r="C39" s="185"/>
      <c r="D39" s="243"/>
      <c r="E39" s="241"/>
      <c r="F39" s="176"/>
      <c r="G39" s="176"/>
      <c r="H39" s="242"/>
      <c r="J39" s="185"/>
      <c r="K39" s="243"/>
      <c r="L39" s="241"/>
      <c r="M39" s="176"/>
      <c r="N39" s="176"/>
      <c r="O39" s="242"/>
    </row>
    <row r="40" spans="1:21" ht="15" customHeight="1" x14ac:dyDescent="0.35">
      <c r="A40" s="138"/>
      <c r="C40" s="185"/>
      <c r="D40" s="243"/>
      <c r="E40" s="241"/>
      <c r="F40" s="176"/>
      <c r="G40" s="176"/>
      <c r="H40" s="242"/>
      <c r="J40" s="185"/>
      <c r="K40" s="243"/>
      <c r="M40" s="176"/>
      <c r="O40" s="242"/>
    </row>
    <row r="41" spans="1:21" ht="15" customHeight="1" x14ac:dyDescent="0.35">
      <c r="D41" s="150"/>
      <c r="E41" s="177"/>
      <c r="F41" s="185"/>
      <c r="K41" s="150"/>
      <c r="L41" s="177"/>
      <c r="M41" s="185"/>
    </row>
  </sheetData>
  <mergeCells count="22">
    <mergeCell ref="I20:O20"/>
    <mergeCell ref="I1:O1"/>
    <mergeCell ref="A13:A15"/>
    <mergeCell ref="A10:A12"/>
    <mergeCell ref="A7:A9"/>
    <mergeCell ref="A3:A6"/>
    <mergeCell ref="B20:H20"/>
    <mergeCell ref="B1:H1"/>
    <mergeCell ref="E3:E5"/>
    <mergeCell ref="E7:E8"/>
    <mergeCell ref="E10:E11"/>
    <mergeCell ref="E13:E14"/>
    <mergeCell ref="P1:V1"/>
    <mergeCell ref="P20:V20"/>
    <mergeCell ref="S3:S5"/>
    <mergeCell ref="S7:S8"/>
    <mergeCell ref="S10:S11"/>
    <mergeCell ref="S13:S14"/>
    <mergeCell ref="L3:L5"/>
    <mergeCell ref="L7:L8"/>
    <mergeCell ref="L10:L11"/>
    <mergeCell ref="L13:L1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AD76-2261-4CC4-8B5C-6457ACAB262C}">
  <sheetPr>
    <tabColor rgb="FF92D050"/>
  </sheetPr>
  <dimension ref="A1:J24"/>
  <sheetViews>
    <sheetView workbookViewId="0">
      <pane xSplit="1" topLeftCell="B1" activePane="topRight" state="frozen"/>
      <selection pane="topRight" activeCell="C23" sqref="C23"/>
    </sheetView>
  </sheetViews>
  <sheetFormatPr defaultColWidth="9.1796875" defaultRowHeight="14.5" x14ac:dyDescent="0.35"/>
  <cols>
    <col min="1" max="1" width="12.453125" style="1" bestFit="1" customWidth="1"/>
    <col min="2" max="2" width="14.54296875" style="1" bestFit="1" customWidth="1"/>
    <col min="3" max="3" width="16.81640625" style="1" bestFit="1" customWidth="1"/>
    <col min="4" max="4" width="23.54296875" style="1" bestFit="1" customWidth="1"/>
    <col min="5" max="5" width="15.7265625" style="1" bestFit="1" customWidth="1"/>
    <col min="6" max="6" width="16.81640625" style="1" bestFit="1" customWidth="1"/>
    <col min="7" max="7" width="23.54296875" style="1" bestFit="1" customWidth="1"/>
    <col min="8" max="8" width="15.7265625" style="1" bestFit="1" customWidth="1"/>
    <col min="9" max="9" width="16.81640625" style="1" bestFit="1" customWidth="1"/>
    <col min="10" max="10" width="23.54296875" style="1" bestFit="1" customWidth="1"/>
    <col min="11" max="16384" width="9.1796875" style="1"/>
  </cols>
  <sheetData>
    <row r="1" spans="1:10" x14ac:dyDescent="0.35">
      <c r="B1" s="266" t="s">
        <v>59</v>
      </c>
      <c r="C1" s="267"/>
      <c r="D1" s="268"/>
      <c r="E1" s="266" t="s">
        <v>60</v>
      </c>
      <c r="F1" s="267"/>
      <c r="G1" s="267"/>
      <c r="H1" s="266" t="s">
        <v>64</v>
      </c>
      <c r="I1" s="267"/>
      <c r="J1" s="268"/>
    </row>
    <row r="2" spans="1:10" x14ac:dyDescent="0.35">
      <c r="B2" s="73" t="s">
        <v>65</v>
      </c>
      <c r="C2" s="64" t="s">
        <v>6</v>
      </c>
      <c r="D2" s="74" t="s">
        <v>8</v>
      </c>
      <c r="E2" s="73" t="s">
        <v>65</v>
      </c>
      <c r="F2" s="64" t="s">
        <v>6</v>
      </c>
      <c r="G2" s="74" t="s">
        <v>8</v>
      </c>
      <c r="H2" s="170" t="s">
        <v>65</v>
      </c>
      <c r="I2" s="171" t="s">
        <v>6</v>
      </c>
      <c r="J2" s="246" t="s">
        <v>8</v>
      </c>
    </row>
    <row r="3" spans="1:10" x14ac:dyDescent="0.35">
      <c r="A3" s="7" t="s">
        <v>9</v>
      </c>
      <c r="B3" s="208">
        <v>2325585.17</v>
      </c>
      <c r="C3" s="5">
        <v>133468000</v>
      </c>
      <c r="D3" s="25">
        <f>B3/C3</f>
        <v>1.7424290241855725E-2</v>
      </c>
      <c r="E3" s="206">
        <v>2311390.2799999998</v>
      </c>
      <c r="F3" s="5">
        <v>139641000</v>
      </c>
      <c r="G3" s="25">
        <f>E3/F3</f>
        <v>1.6552375591695846E-2</v>
      </c>
      <c r="H3" s="206">
        <v>2283290.02</v>
      </c>
      <c r="I3" s="5">
        <f>'Cost of Generation Q3'!S6</f>
        <v>130682000</v>
      </c>
      <c r="J3" s="30">
        <f>H3/I3</f>
        <v>1.747210801793667E-2</v>
      </c>
    </row>
    <row r="4" spans="1:10" x14ac:dyDescent="0.35">
      <c r="A4" s="7" t="s">
        <v>15</v>
      </c>
      <c r="B4" s="208">
        <v>1228302.44</v>
      </c>
      <c r="C4" s="5">
        <v>125537000</v>
      </c>
      <c r="D4" s="25">
        <f t="shared" ref="D4:D6" si="0">B4/C4</f>
        <v>9.7843857986091749E-3</v>
      </c>
      <c r="E4" s="206">
        <v>1110668.96</v>
      </c>
      <c r="F4" s="5">
        <v>65416000</v>
      </c>
      <c r="G4" s="25">
        <f t="shared" ref="G4:G6" si="1">E4/F4</f>
        <v>1.6978552036199093E-2</v>
      </c>
      <c r="H4" s="206">
        <v>1198146.68</v>
      </c>
      <c r="I4" s="5">
        <f>'Cost of Generation Q3'!S9</f>
        <v>16935000</v>
      </c>
      <c r="J4" s="30">
        <f t="shared" ref="J4:J6" si="2">H4/I4</f>
        <v>7.07497301446708E-2</v>
      </c>
    </row>
    <row r="5" spans="1:10" x14ac:dyDescent="0.35">
      <c r="A5" s="7" t="s">
        <v>16</v>
      </c>
      <c r="B5" s="208">
        <v>1113370.99</v>
      </c>
      <c r="C5" s="5">
        <v>206610000</v>
      </c>
      <c r="D5" s="25">
        <f t="shared" si="0"/>
        <v>5.388756546149751E-3</v>
      </c>
      <c r="E5" s="206">
        <v>1067718.27</v>
      </c>
      <c r="F5" s="5">
        <v>346420000</v>
      </c>
      <c r="G5" s="25">
        <f t="shared" si="1"/>
        <v>3.0821496160729749E-3</v>
      </c>
      <c r="H5" s="206">
        <v>1518789.6</v>
      </c>
      <c r="I5" s="5">
        <f>'Cost of Generation Q3'!S12</f>
        <v>388540000</v>
      </c>
      <c r="J5" s="30">
        <f t="shared" si="2"/>
        <v>3.9089658722396663E-3</v>
      </c>
    </row>
    <row r="6" spans="1:10" x14ac:dyDescent="0.35">
      <c r="A6" s="7" t="s">
        <v>17</v>
      </c>
      <c r="B6" s="209">
        <v>1044996.85</v>
      </c>
      <c r="C6" s="11">
        <v>156310000</v>
      </c>
      <c r="D6" s="26">
        <f t="shared" si="0"/>
        <v>6.6854126415456464E-3</v>
      </c>
      <c r="E6" s="207">
        <v>1343783.95</v>
      </c>
      <c r="F6" s="11">
        <v>114145000</v>
      </c>
      <c r="G6" s="26">
        <f t="shared" si="1"/>
        <v>1.1772604581891454E-2</v>
      </c>
      <c r="H6" s="207">
        <v>1685252.1</v>
      </c>
      <c r="I6" s="11">
        <f>'Cost of Generation Q3'!S15</f>
        <v>134495000</v>
      </c>
      <c r="J6" s="31">
        <f t="shared" si="2"/>
        <v>1.2530221197814046E-2</v>
      </c>
    </row>
    <row r="7" spans="1:10" x14ac:dyDescent="0.35">
      <c r="C7" s="6" t="s">
        <v>14</v>
      </c>
      <c r="D7" s="24">
        <f>(B3+B4+B5+B6)/(C3+C4+C5+C6)</f>
        <v>9.1847979257949092E-3</v>
      </c>
      <c r="F7" s="6" t="s">
        <v>14</v>
      </c>
      <c r="G7" s="24">
        <f>(E3+E4+E5+E6)/(F3+F4+F5+F6)</f>
        <v>8.7640754963027069E-3</v>
      </c>
      <c r="I7" s="6" t="s">
        <v>14</v>
      </c>
      <c r="J7" s="24">
        <f>(H3+H4+H5+H6)/(I3+I4+I5+I6)</f>
        <v>9.9686251588006897E-3</v>
      </c>
    </row>
    <row r="9" spans="1:10" x14ac:dyDescent="0.35">
      <c r="B9" s="269" t="s">
        <v>59</v>
      </c>
      <c r="C9" s="270"/>
      <c r="D9" s="270"/>
      <c r="E9" s="266" t="s">
        <v>60</v>
      </c>
      <c r="F9" s="267"/>
      <c r="G9" s="267"/>
      <c r="H9" s="266" t="s">
        <v>64</v>
      </c>
      <c r="I9" s="267"/>
      <c r="J9" s="268"/>
    </row>
    <row r="10" spans="1:10" x14ac:dyDescent="0.35">
      <c r="B10" s="204" t="s">
        <v>65</v>
      </c>
      <c r="C10" s="184" t="s">
        <v>6</v>
      </c>
      <c r="D10" s="210" t="s">
        <v>8</v>
      </c>
      <c r="E10" s="73" t="s">
        <v>65</v>
      </c>
      <c r="F10" s="64" t="s">
        <v>6</v>
      </c>
      <c r="G10" s="74" t="s">
        <v>8</v>
      </c>
      <c r="H10" s="170" t="s">
        <v>65</v>
      </c>
      <c r="I10" s="171" t="s">
        <v>6</v>
      </c>
      <c r="J10" s="246" t="s">
        <v>8</v>
      </c>
    </row>
    <row r="11" spans="1:10" x14ac:dyDescent="0.35">
      <c r="A11" s="3" t="s">
        <v>21</v>
      </c>
      <c r="B11" s="205">
        <v>277864.24</v>
      </c>
      <c r="C11" s="5">
        <v>37005000</v>
      </c>
      <c r="D11" s="25">
        <f>B11/C11</f>
        <v>7.5088296176192403E-3</v>
      </c>
      <c r="E11" s="206">
        <v>244669.12</v>
      </c>
      <c r="F11" s="5">
        <v>32762000</v>
      </c>
      <c r="G11" s="25">
        <f>E11/F11</f>
        <v>7.4680764300103777E-3</v>
      </c>
      <c r="H11" s="206">
        <v>430872.91</v>
      </c>
      <c r="I11" s="5">
        <f>'Cost of Generation Q3'!S22</f>
        <v>29179000</v>
      </c>
      <c r="J11" s="30">
        <f>H11/I11</f>
        <v>1.476654134822989E-2</v>
      </c>
    </row>
    <row r="12" spans="1:10" x14ac:dyDescent="0.35">
      <c r="A12" s="3" t="s">
        <v>67</v>
      </c>
      <c r="B12" s="205">
        <v>480023.89</v>
      </c>
      <c r="C12" s="5">
        <v>8771000</v>
      </c>
      <c r="D12" s="25">
        <f t="shared" ref="D12:D14" si="3">B12/C12</f>
        <v>5.4728524683616463E-2</v>
      </c>
      <c r="E12" s="206">
        <v>355357.74</v>
      </c>
      <c r="F12" s="5">
        <v>5977000</v>
      </c>
      <c r="G12" s="25">
        <f t="shared" ref="G12:G14" si="4">E12/F12</f>
        <v>5.9454197758072612E-2</v>
      </c>
      <c r="H12" s="206">
        <v>401055.69</v>
      </c>
      <c r="I12" s="5">
        <v>1933000</v>
      </c>
      <c r="J12" s="30">
        <f t="shared" ref="J12:J14" si="5">H12/I12</f>
        <v>0.20747837040869116</v>
      </c>
    </row>
    <row r="13" spans="1:10" x14ac:dyDescent="0.35">
      <c r="A13" s="3" t="s">
        <v>27</v>
      </c>
      <c r="B13" s="205">
        <v>374018.84</v>
      </c>
      <c r="C13" s="5">
        <v>1503000</v>
      </c>
      <c r="D13" s="25">
        <f t="shared" si="3"/>
        <v>0.24884819693945445</v>
      </c>
      <c r="E13" s="206">
        <v>282988.25</v>
      </c>
      <c r="F13" s="5">
        <v>2685000</v>
      </c>
      <c r="G13" s="25">
        <f t="shared" si="4"/>
        <v>0.10539599627560521</v>
      </c>
      <c r="H13" s="206">
        <v>480788.35</v>
      </c>
      <c r="I13" s="5">
        <v>8621000</v>
      </c>
      <c r="J13" s="30">
        <f t="shared" si="5"/>
        <v>5.5769440900127594E-2</v>
      </c>
    </row>
    <row r="14" spans="1:10" x14ac:dyDescent="0.35">
      <c r="A14" s="3" t="s">
        <v>28</v>
      </c>
      <c r="B14" s="211">
        <v>202801.63</v>
      </c>
      <c r="C14" s="11">
        <v>8978300</v>
      </c>
      <c r="D14" s="26">
        <f t="shared" si="3"/>
        <v>2.2587976565719568E-2</v>
      </c>
      <c r="E14" s="207">
        <v>121829.11</v>
      </c>
      <c r="F14" s="11">
        <v>7583500</v>
      </c>
      <c r="G14" s="26">
        <f t="shared" si="4"/>
        <v>1.6065024065405158E-2</v>
      </c>
      <c r="H14" s="207">
        <v>197848.31</v>
      </c>
      <c r="I14" s="11">
        <v>10720100</v>
      </c>
      <c r="J14" s="31">
        <f t="shared" si="5"/>
        <v>1.8455826904599772E-2</v>
      </c>
    </row>
    <row r="15" spans="1:10" x14ac:dyDescent="0.35">
      <c r="C15" s="6" t="s">
        <v>14</v>
      </c>
      <c r="D15" s="24">
        <f>(B11+B12+B13+B14)/(C11+C12+C13+C14)</f>
        <v>2.3725073901520337E-2</v>
      </c>
      <c r="F15" s="6" t="s">
        <v>14</v>
      </c>
      <c r="G15" s="24">
        <f>(E11+E12+E13+E14)/(F11+F12+F13+F14)</f>
        <v>2.050388654797735E-2</v>
      </c>
      <c r="I15" s="6" t="s">
        <v>14</v>
      </c>
      <c r="J15" s="24">
        <f>(H11+H12+H13+H14)/(I11+I12+I13+I14)</f>
        <v>2.9939989019505245E-2</v>
      </c>
    </row>
    <row r="16" spans="1:10" x14ac:dyDescent="0.35">
      <c r="D16" s="27"/>
      <c r="G16" s="27"/>
    </row>
    <row r="17" spans="1:10" x14ac:dyDescent="0.35">
      <c r="C17" s="6" t="s">
        <v>68</v>
      </c>
      <c r="D17" s="24">
        <f>(B3+B4+B5+B6+B11+B12+B13+B14)/(C3+C4+C5+C6+C11+C12+C13+C14)</f>
        <v>1.0390958375056381E-2</v>
      </c>
      <c r="F17" s="6" t="s">
        <v>68</v>
      </c>
      <c r="G17" s="24">
        <f>(E3+E4+E5+E6+E11+E12+E13+E14)/(F3+F4+F5+F6+F11+F12+F13+F14)</f>
        <v>9.5691623141781878E-3</v>
      </c>
      <c r="I17" s="6" t="s">
        <v>68</v>
      </c>
      <c r="J17" s="24">
        <f>(H3+H4+H5+H6+H11+H12+H13+H14)/(I3+I4+I5+I6+I11+I12+I13+I14)</f>
        <v>1.1365948819388464E-2</v>
      </c>
    </row>
    <row r="22" spans="1:10" x14ac:dyDescent="0.35">
      <c r="A22" s="2"/>
    </row>
    <row r="23" spans="1:10" x14ac:dyDescent="0.35">
      <c r="A23" s="2"/>
    </row>
    <row r="24" spans="1:10" x14ac:dyDescent="0.35">
      <c r="B24" s="190"/>
      <c r="C24" s="60"/>
    </row>
  </sheetData>
  <mergeCells count="6">
    <mergeCell ref="H1:J1"/>
    <mergeCell ref="H9:J9"/>
    <mergeCell ref="B1:D1"/>
    <mergeCell ref="E1:G1"/>
    <mergeCell ref="B9:D9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FBEE-4995-4FF7-B0D0-E8D34342A7B4}">
  <sheetPr>
    <tabColor rgb="FFFFC000"/>
  </sheetPr>
  <dimension ref="A1:CD24"/>
  <sheetViews>
    <sheetView workbookViewId="0">
      <pane xSplit="1" topLeftCell="BV1" activePane="topRight" state="frozen"/>
      <selection pane="topRight" activeCell="CG14" sqref="CG14"/>
    </sheetView>
  </sheetViews>
  <sheetFormatPr defaultColWidth="9.1796875" defaultRowHeight="14.5" x14ac:dyDescent="0.35"/>
  <cols>
    <col min="1" max="1" width="12.453125" style="1" bestFit="1" customWidth="1"/>
    <col min="2" max="2" width="14.54296875" style="1" bestFit="1" customWidth="1"/>
    <col min="3" max="3" width="16.81640625" style="1" bestFit="1" customWidth="1"/>
    <col min="4" max="4" width="23.54296875" style="1" bestFit="1" customWidth="1"/>
    <col min="5" max="5" width="14.54296875" style="1" bestFit="1" customWidth="1"/>
    <col min="6" max="6" width="16.81640625" style="1" bestFit="1" customWidth="1"/>
    <col min="7" max="7" width="23.54296875" style="1" bestFit="1" customWidth="1"/>
    <col min="8" max="8" width="14.54296875" style="1" bestFit="1" customWidth="1"/>
    <col min="9" max="9" width="16.81640625" style="1" bestFit="1" customWidth="1"/>
    <col min="10" max="10" width="23.54296875" style="1" bestFit="1" customWidth="1"/>
    <col min="11" max="11" width="14.54296875" style="1" bestFit="1" customWidth="1"/>
    <col min="12" max="12" width="16.81640625" style="1" bestFit="1" customWidth="1"/>
    <col min="13" max="13" width="23.54296875" style="1" bestFit="1" customWidth="1"/>
    <col min="14" max="14" width="14.54296875" style="1" bestFit="1" customWidth="1"/>
    <col min="15" max="15" width="16.81640625" style="1" bestFit="1" customWidth="1"/>
    <col min="16" max="16" width="23.54296875" style="1" bestFit="1" customWidth="1"/>
    <col min="17" max="17" width="14.54296875" style="1" bestFit="1" customWidth="1"/>
    <col min="18" max="18" width="16.81640625" style="1" bestFit="1" customWidth="1"/>
    <col min="19" max="19" width="23.54296875" style="1" bestFit="1" customWidth="1"/>
    <col min="20" max="20" width="14.54296875" style="1" bestFit="1" customWidth="1"/>
    <col min="21" max="21" width="16.81640625" style="1" bestFit="1" customWidth="1"/>
    <col min="22" max="22" width="23.54296875" style="1" bestFit="1" customWidth="1"/>
    <col min="23" max="23" width="14.54296875" style="1" bestFit="1" customWidth="1"/>
    <col min="24" max="24" width="16.81640625" style="1" bestFit="1" customWidth="1"/>
    <col min="25" max="25" width="23.54296875" style="1" bestFit="1" customWidth="1"/>
    <col min="26" max="26" width="14.54296875" style="1" bestFit="1" customWidth="1"/>
    <col min="27" max="27" width="16.81640625" style="1" bestFit="1" customWidth="1"/>
    <col min="28" max="28" width="23.54296875" style="1" bestFit="1" customWidth="1"/>
    <col min="29" max="29" width="14.54296875" style="1" bestFit="1" customWidth="1"/>
    <col min="30" max="30" width="19.26953125" style="1" customWidth="1"/>
    <col min="31" max="31" width="23.54296875" style="1" bestFit="1" customWidth="1"/>
    <col min="32" max="32" width="14.54296875" style="1" bestFit="1" customWidth="1"/>
    <col min="33" max="33" width="16.81640625" style="1" bestFit="1" customWidth="1"/>
    <col min="34" max="34" width="23.54296875" style="1" bestFit="1" customWidth="1"/>
    <col min="35" max="35" width="14.54296875" style="1" bestFit="1" customWidth="1"/>
    <col min="36" max="36" width="16.81640625" style="1" bestFit="1" customWidth="1"/>
    <col min="37" max="37" width="23.54296875" style="1" bestFit="1" customWidth="1"/>
    <col min="38" max="38" width="14.54296875" style="1" bestFit="1" customWidth="1"/>
    <col min="39" max="39" width="16.81640625" style="1" bestFit="1" customWidth="1"/>
    <col min="40" max="40" width="23.54296875" style="1" bestFit="1" customWidth="1"/>
    <col min="41" max="41" width="14.54296875" style="1" bestFit="1" customWidth="1"/>
    <col min="42" max="42" width="16.81640625" style="1" bestFit="1" customWidth="1"/>
    <col min="43" max="43" width="23.54296875" style="1" bestFit="1" customWidth="1"/>
    <col min="44" max="44" width="14.54296875" style="1" bestFit="1" customWidth="1"/>
    <col min="45" max="45" width="16.81640625" style="1" bestFit="1" customWidth="1"/>
    <col min="46" max="46" width="23.54296875" style="1" bestFit="1" customWidth="1"/>
    <col min="47" max="47" width="14.54296875" style="1" bestFit="1" customWidth="1"/>
    <col min="48" max="48" width="16.81640625" style="1" bestFit="1" customWidth="1"/>
    <col min="49" max="49" width="23.54296875" style="1" bestFit="1" customWidth="1"/>
    <col min="50" max="50" width="14.54296875" style="1" bestFit="1" customWidth="1"/>
    <col min="51" max="51" width="16.81640625" style="1" bestFit="1" customWidth="1"/>
    <col min="52" max="52" width="23.54296875" style="1" bestFit="1" customWidth="1"/>
    <col min="53" max="53" width="14.54296875" style="1" bestFit="1" customWidth="1"/>
    <col min="54" max="54" width="16.81640625" style="1" bestFit="1" customWidth="1"/>
    <col min="55" max="55" width="23.54296875" style="1" bestFit="1" customWidth="1"/>
    <col min="56" max="56" width="14.54296875" style="1" bestFit="1" customWidth="1"/>
    <col min="57" max="57" width="16.81640625" style="1" bestFit="1" customWidth="1"/>
    <col min="58" max="58" width="23.54296875" style="1" bestFit="1" customWidth="1"/>
    <col min="59" max="59" width="14.54296875" style="1" bestFit="1" customWidth="1"/>
    <col min="60" max="60" width="16.81640625" style="1" bestFit="1" customWidth="1"/>
    <col min="61" max="61" width="23.54296875" style="1" bestFit="1" customWidth="1"/>
    <col min="62" max="62" width="14.54296875" style="1" bestFit="1" customWidth="1"/>
    <col min="63" max="63" width="16.81640625" style="1" bestFit="1" customWidth="1"/>
    <col min="64" max="64" width="23.54296875" style="1" bestFit="1" customWidth="1"/>
    <col min="65" max="65" width="14.54296875" style="1" bestFit="1" customWidth="1"/>
    <col min="66" max="66" width="16.81640625" style="1" bestFit="1" customWidth="1"/>
    <col min="67" max="67" width="23.54296875" style="1" bestFit="1" customWidth="1"/>
    <col min="68" max="68" width="14.54296875" style="1" bestFit="1" customWidth="1"/>
    <col min="69" max="69" width="16.81640625" style="1" bestFit="1" customWidth="1"/>
    <col min="70" max="70" width="23.54296875" style="1" bestFit="1" customWidth="1"/>
    <col min="71" max="71" width="14.54296875" style="1" bestFit="1" customWidth="1"/>
    <col min="72" max="72" width="16.81640625" style="1" bestFit="1" customWidth="1"/>
    <col min="73" max="73" width="23.54296875" style="1" bestFit="1" customWidth="1"/>
    <col min="74" max="75" width="16.81640625" style="1" bestFit="1" customWidth="1"/>
    <col min="76" max="76" width="23.54296875" style="1" bestFit="1" customWidth="1"/>
    <col min="77" max="77" width="15.81640625" style="1" customWidth="1"/>
    <col min="78" max="78" width="16.26953125" style="1" bestFit="1" customWidth="1"/>
    <col min="79" max="79" width="23.54296875" style="1" bestFit="1" customWidth="1"/>
    <col min="80" max="80" width="13.81640625" style="1" bestFit="1" customWidth="1"/>
    <col min="81" max="81" width="16.26953125" style="1" bestFit="1" customWidth="1"/>
    <col min="82" max="82" width="23.54296875" style="1" bestFit="1" customWidth="1"/>
    <col min="83" max="16384" width="9.1796875" style="1"/>
  </cols>
  <sheetData>
    <row r="1" spans="1:82" x14ac:dyDescent="0.35">
      <c r="B1" s="266" t="s">
        <v>35</v>
      </c>
      <c r="C1" s="267"/>
      <c r="D1" s="267"/>
      <c r="E1" s="266" t="s">
        <v>36</v>
      </c>
      <c r="F1" s="267"/>
      <c r="G1" s="267"/>
      <c r="H1" s="266" t="s">
        <v>37</v>
      </c>
      <c r="I1" s="267"/>
      <c r="J1" s="267"/>
      <c r="K1" s="266" t="s">
        <v>38</v>
      </c>
      <c r="L1" s="267"/>
      <c r="M1" s="267"/>
      <c r="N1" s="266" t="s">
        <v>39</v>
      </c>
      <c r="O1" s="267"/>
      <c r="P1" s="267"/>
      <c r="Q1" s="266" t="s">
        <v>40</v>
      </c>
      <c r="R1" s="267"/>
      <c r="S1" s="267"/>
      <c r="T1" s="266" t="s">
        <v>41</v>
      </c>
      <c r="U1" s="267"/>
      <c r="V1" s="267"/>
      <c r="W1" s="266" t="s">
        <v>42</v>
      </c>
      <c r="X1" s="267"/>
      <c r="Y1" s="267"/>
      <c r="Z1" s="266" t="s">
        <v>43</v>
      </c>
      <c r="AA1" s="267"/>
      <c r="AB1" s="267"/>
      <c r="AC1" s="269" t="s">
        <v>44</v>
      </c>
      <c r="AD1" s="270"/>
      <c r="AE1" s="271"/>
      <c r="AF1" s="266" t="s">
        <v>45</v>
      </c>
      <c r="AG1" s="267"/>
      <c r="AH1" s="267"/>
      <c r="AI1" s="266" t="s">
        <v>46</v>
      </c>
      <c r="AJ1" s="267"/>
      <c r="AK1" s="267"/>
      <c r="AL1" s="266" t="s">
        <v>47</v>
      </c>
      <c r="AM1" s="267"/>
      <c r="AN1" s="267"/>
      <c r="AO1" s="266" t="s">
        <v>48</v>
      </c>
      <c r="AP1" s="267"/>
      <c r="AQ1" s="267"/>
      <c r="AR1" s="266" t="s">
        <v>49</v>
      </c>
      <c r="AS1" s="267"/>
      <c r="AT1" s="267"/>
      <c r="AU1" s="266" t="s">
        <v>50</v>
      </c>
      <c r="AV1" s="267"/>
      <c r="AW1" s="267"/>
      <c r="AX1" s="266" t="s">
        <v>51</v>
      </c>
      <c r="AY1" s="267"/>
      <c r="AZ1" s="267"/>
      <c r="BA1" s="266" t="s">
        <v>52</v>
      </c>
      <c r="BB1" s="267"/>
      <c r="BC1" s="267"/>
      <c r="BD1" s="266" t="s">
        <v>53</v>
      </c>
      <c r="BE1" s="267"/>
      <c r="BF1" s="267"/>
      <c r="BG1" s="266" t="s">
        <v>54</v>
      </c>
      <c r="BH1" s="267"/>
      <c r="BI1" s="267"/>
      <c r="BJ1" s="266" t="s">
        <v>55</v>
      </c>
      <c r="BK1" s="267"/>
      <c r="BL1" s="267"/>
      <c r="BM1" s="266" t="s">
        <v>56</v>
      </c>
      <c r="BN1" s="267"/>
      <c r="BO1" s="267"/>
      <c r="BP1" s="266" t="s">
        <v>57</v>
      </c>
      <c r="BQ1" s="267"/>
      <c r="BR1" s="267"/>
      <c r="BS1" s="266" t="s">
        <v>58</v>
      </c>
      <c r="BT1" s="267"/>
      <c r="BU1" s="267"/>
      <c r="BV1" s="269" t="s">
        <v>0</v>
      </c>
      <c r="BW1" s="270"/>
      <c r="BX1" s="270"/>
      <c r="BY1" s="269" t="s">
        <v>1</v>
      </c>
      <c r="BZ1" s="270"/>
      <c r="CA1" s="271"/>
      <c r="CB1" s="270" t="s">
        <v>2</v>
      </c>
      <c r="CC1" s="270"/>
      <c r="CD1" s="271"/>
    </row>
    <row r="2" spans="1:82" x14ac:dyDescent="0.35">
      <c r="B2" s="99" t="s">
        <v>65</v>
      </c>
      <c r="C2" s="100" t="s">
        <v>6</v>
      </c>
      <c r="D2" s="101" t="s">
        <v>8</v>
      </c>
      <c r="E2" s="99" t="s">
        <v>65</v>
      </c>
      <c r="F2" s="100" t="s">
        <v>6</v>
      </c>
      <c r="G2" s="101" t="s">
        <v>8</v>
      </c>
      <c r="H2" s="102" t="s">
        <v>65</v>
      </c>
      <c r="I2" s="102" t="s">
        <v>6</v>
      </c>
      <c r="J2" s="101" t="s">
        <v>8</v>
      </c>
      <c r="K2" s="103" t="s">
        <v>65</v>
      </c>
      <c r="L2" s="100" t="s">
        <v>6</v>
      </c>
      <c r="M2" s="104" t="s">
        <v>8</v>
      </c>
      <c r="N2" s="99" t="s">
        <v>65</v>
      </c>
      <c r="O2" s="100" t="s">
        <v>6</v>
      </c>
      <c r="P2" s="101" t="s">
        <v>8</v>
      </c>
      <c r="Q2" s="99" t="s">
        <v>65</v>
      </c>
      <c r="R2" s="100" t="s">
        <v>6</v>
      </c>
      <c r="S2" s="101" t="s">
        <v>8</v>
      </c>
      <c r="T2" s="102" t="s">
        <v>65</v>
      </c>
      <c r="U2" s="102" t="s">
        <v>6</v>
      </c>
      <c r="V2" s="101" t="s">
        <v>8</v>
      </c>
      <c r="W2" s="103" t="s">
        <v>65</v>
      </c>
      <c r="X2" s="100" t="s">
        <v>6</v>
      </c>
      <c r="Y2" s="104" t="s">
        <v>8</v>
      </c>
      <c r="Z2" s="99" t="s">
        <v>65</v>
      </c>
      <c r="AA2" s="100" t="s">
        <v>6</v>
      </c>
      <c r="AB2" s="101" t="s">
        <v>8</v>
      </c>
      <c r="AC2" s="99" t="s">
        <v>65</v>
      </c>
      <c r="AD2" s="100" t="s">
        <v>6</v>
      </c>
      <c r="AE2" s="101" t="s">
        <v>8</v>
      </c>
      <c r="AF2" s="102" t="s">
        <v>65</v>
      </c>
      <c r="AG2" s="102" t="s">
        <v>6</v>
      </c>
      <c r="AH2" s="101" t="s">
        <v>8</v>
      </c>
      <c r="AI2" s="103" t="s">
        <v>65</v>
      </c>
      <c r="AJ2" s="100" t="s">
        <v>6</v>
      </c>
      <c r="AK2" s="104" t="s">
        <v>8</v>
      </c>
      <c r="AL2" s="99" t="s">
        <v>65</v>
      </c>
      <c r="AM2" s="100" t="s">
        <v>6</v>
      </c>
      <c r="AN2" s="101" t="s">
        <v>8</v>
      </c>
      <c r="AO2" s="102" t="s">
        <v>65</v>
      </c>
      <c r="AP2" s="102" t="s">
        <v>6</v>
      </c>
      <c r="AQ2" s="101" t="s">
        <v>8</v>
      </c>
      <c r="AR2" s="103" t="s">
        <v>65</v>
      </c>
      <c r="AS2" s="100" t="s">
        <v>6</v>
      </c>
      <c r="AT2" s="104" t="s">
        <v>8</v>
      </c>
      <c r="AU2" s="73" t="s">
        <v>65</v>
      </c>
      <c r="AV2" s="64" t="s">
        <v>6</v>
      </c>
      <c r="AW2" s="74" t="s">
        <v>8</v>
      </c>
      <c r="AX2" s="73" t="s">
        <v>65</v>
      </c>
      <c r="AY2" s="64" t="s">
        <v>6</v>
      </c>
      <c r="AZ2" s="75" t="s">
        <v>8</v>
      </c>
      <c r="BA2" s="76" t="s">
        <v>65</v>
      </c>
      <c r="BB2" s="64" t="s">
        <v>6</v>
      </c>
      <c r="BC2" s="75" t="s">
        <v>8</v>
      </c>
      <c r="BD2" s="73" t="s">
        <v>65</v>
      </c>
      <c r="BE2" s="64" t="s">
        <v>6</v>
      </c>
      <c r="BF2" s="74" t="s">
        <v>8</v>
      </c>
      <c r="BG2" s="73" t="s">
        <v>65</v>
      </c>
      <c r="BH2" s="64" t="s">
        <v>6</v>
      </c>
      <c r="BI2" s="75" t="s">
        <v>8</v>
      </c>
      <c r="BJ2" s="76" t="s">
        <v>65</v>
      </c>
      <c r="BK2" s="64" t="s">
        <v>6</v>
      </c>
      <c r="BL2" s="75" t="s">
        <v>8</v>
      </c>
      <c r="BM2" s="73" t="s">
        <v>65</v>
      </c>
      <c r="BN2" s="64" t="s">
        <v>6</v>
      </c>
      <c r="BO2" s="74" t="s">
        <v>8</v>
      </c>
      <c r="BP2" s="73" t="s">
        <v>65</v>
      </c>
      <c r="BQ2" s="64" t="s">
        <v>6</v>
      </c>
      <c r="BR2" s="75" t="s">
        <v>8</v>
      </c>
      <c r="BS2" s="76" t="s">
        <v>65</v>
      </c>
      <c r="BT2" s="64" t="s">
        <v>6</v>
      </c>
      <c r="BU2" s="75" t="s">
        <v>8</v>
      </c>
      <c r="BV2" s="72" t="s">
        <v>65</v>
      </c>
      <c r="BW2" s="15" t="s">
        <v>6</v>
      </c>
      <c r="BX2" s="18" t="s">
        <v>8</v>
      </c>
      <c r="BY2" s="17" t="s">
        <v>65</v>
      </c>
      <c r="BZ2" s="15" t="s">
        <v>6</v>
      </c>
      <c r="CA2" s="18" t="s">
        <v>8</v>
      </c>
      <c r="CB2" s="17" t="s">
        <v>65</v>
      </c>
      <c r="CC2" s="15" t="s">
        <v>6</v>
      </c>
      <c r="CD2" s="19" t="s">
        <v>8</v>
      </c>
    </row>
    <row r="3" spans="1:82" x14ac:dyDescent="0.35">
      <c r="A3" s="7" t="s">
        <v>9</v>
      </c>
      <c r="B3" s="105"/>
      <c r="C3" s="115">
        <v>349714000</v>
      </c>
      <c r="D3" s="107"/>
      <c r="E3" s="105"/>
      <c r="F3" s="115">
        <v>332432000</v>
      </c>
      <c r="G3" s="107"/>
      <c r="H3" s="108"/>
      <c r="I3" s="115">
        <v>328072000</v>
      </c>
      <c r="J3" s="107"/>
      <c r="K3" s="108"/>
      <c r="L3" s="115">
        <v>314311000</v>
      </c>
      <c r="M3" s="107"/>
      <c r="N3" s="105"/>
      <c r="O3" s="115">
        <v>301609000</v>
      </c>
      <c r="P3" s="107"/>
      <c r="Q3" s="105"/>
      <c r="R3" s="118">
        <v>296221000</v>
      </c>
      <c r="S3" s="107"/>
      <c r="T3" s="108"/>
      <c r="U3" s="115">
        <v>353453000</v>
      </c>
      <c r="V3" s="107"/>
      <c r="W3" s="108"/>
      <c r="X3" s="115">
        <v>263514000</v>
      </c>
      <c r="Y3" s="107"/>
      <c r="Z3" s="105"/>
      <c r="AA3" s="115">
        <v>275188000</v>
      </c>
      <c r="AB3" s="107"/>
      <c r="AC3" s="105"/>
      <c r="AD3" s="118">
        <v>164347000</v>
      </c>
      <c r="AE3" s="107"/>
      <c r="AF3" s="108"/>
      <c r="AG3" s="118">
        <v>187945000</v>
      </c>
      <c r="AH3" s="107"/>
      <c r="AI3" s="108"/>
      <c r="AJ3" s="118">
        <v>220718000</v>
      </c>
      <c r="AK3" s="107"/>
      <c r="AL3" s="105"/>
      <c r="AM3" s="118">
        <v>252120000</v>
      </c>
      <c r="AN3" s="107"/>
      <c r="AO3" s="108"/>
      <c r="AP3" s="118">
        <v>221544000</v>
      </c>
      <c r="AQ3" s="107"/>
      <c r="AR3" s="108"/>
      <c r="AS3" s="118">
        <v>234828000</v>
      </c>
      <c r="AT3" s="107"/>
      <c r="AU3" s="65"/>
      <c r="AV3" s="5">
        <v>169672000</v>
      </c>
      <c r="AW3" s="7"/>
      <c r="AX3" s="65"/>
      <c r="AY3" s="5">
        <v>151361000</v>
      </c>
      <c r="AZ3" s="66"/>
      <c r="BA3" s="70"/>
      <c r="BB3" s="5">
        <v>130607000</v>
      </c>
      <c r="BC3" s="78"/>
      <c r="BD3" s="65"/>
      <c r="BE3" s="5">
        <v>129670000</v>
      </c>
      <c r="BF3" s="7"/>
      <c r="BG3" s="65"/>
      <c r="BH3" s="5">
        <v>150530000</v>
      </c>
      <c r="BI3" s="66"/>
      <c r="BJ3" s="70"/>
      <c r="BK3" s="5">
        <v>181606000</v>
      </c>
      <c r="BL3" s="78"/>
      <c r="BM3" s="65"/>
      <c r="BN3" s="5">
        <v>175015000</v>
      </c>
      <c r="BO3" s="7"/>
      <c r="BP3" s="65"/>
      <c r="BQ3" s="5">
        <v>201807000</v>
      </c>
      <c r="BR3" s="66"/>
      <c r="BS3" s="70"/>
      <c r="BT3" s="97">
        <v>275301000</v>
      </c>
      <c r="BU3" s="78"/>
      <c r="BV3" s="62">
        <v>1078139</v>
      </c>
      <c r="BW3" s="5">
        <v>247789000</v>
      </c>
      <c r="BX3" s="25">
        <f>BV3/BW3</f>
        <v>4.3510365674021044E-3</v>
      </c>
      <c r="BY3" s="20">
        <v>927011</v>
      </c>
      <c r="BZ3" s="13">
        <v>220553000</v>
      </c>
      <c r="CA3" s="28">
        <f>BY3/BZ3</f>
        <v>4.2031212452335719E-3</v>
      </c>
      <c r="CB3" s="21">
        <v>2436020</v>
      </c>
      <c r="CC3" s="13">
        <v>235198000</v>
      </c>
      <c r="CD3" s="29">
        <f>CB3/CC3</f>
        <v>1.0357315963571119E-2</v>
      </c>
    </row>
    <row r="4" spans="1:82" x14ac:dyDescent="0.35">
      <c r="A4" s="7" t="s">
        <v>15</v>
      </c>
      <c r="B4" s="105"/>
      <c r="C4" s="115">
        <v>193858000</v>
      </c>
      <c r="D4" s="107"/>
      <c r="E4" s="105"/>
      <c r="F4" s="115">
        <v>97489000</v>
      </c>
      <c r="G4" s="107"/>
      <c r="H4" s="108"/>
      <c r="I4" s="115">
        <v>101995000</v>
      </c>
      <c r="J4" s="107"/>
      <c r="K4" s="108"/>
      <c r="L4" s="115">
        <v>109620000</v>
      </c>
      <c r="M4" s="107"/>
      <c r="N4" s="105"/>
      <c r="O4" s="115">
        <v>77098000</v>
      </c>
      <c r="P4" s="107"/>
      <c r="Q4" s="105"/>
      <c r="R4" s="118">
        <v>0</v>
      </c>
      <c r="S4" s="107"/>
      <c r="T4" s="108"/>
      <c r="U4" s="117" t="s">
        <v>69</v>
      </c>
      <c r="V4" s="107"/>
      <c r="W4" s="108"/>
      <c r="X4" s="117" t="s">
        <v>69</v>
      </c>
      <c r="Y4" s="107"/>
      <c r="Z4" s="105"/>
      <c r="AA4" s="117" t="s">
        <v>69</v>
      </c>
      <c r="AB4" s="107"/>
      <c r="AC4" s="105"/>
      <c r="AD4" s="118">
        <v>0</v>
      </c>
      <c r="AE4" s="107"/>
      <c r="AF4" s="108"/>
      <c r="AG4" s="118">
        <v>0</v>
      </c>
      <c r="AH4" s="107"/>
      <c r="AI4" s="108"/>
      <c r="AJ4" s="118">
        <v>0</v>
      </c>
      <c r="AK4" s="107"/>
      <c r="AL4" s="105"/>
      <c r="AM4" s="118">
        <v>20306000</v>
      </c>
      <c r="AN4" s="107"/>
      <c r="AO4" s="108"/>
      <c r="AP4" s="118">
        <v>103150000</v>
      </c>
      <c r="AQ4" s="107"/>
      <c r="AR4" s="108"/>
      <c r="AS4" s="118">
        <v>107723000</v>
      </c>
      <c r="AT4" s="107"/>
      <c r="AU4" s="65"/>
      <c r="AV4" s="5">
        <v>108311000</v>
      </c>
      <c r="AW4" s="7"/>
      <c r="AX4" s="65"/>
      <c r="AY4" s="5">
        <v>87795000</v>
      </c>
      <c r="AZ4" s="66"/>
      <c r="BA4" s="70"/>
      <c r="BB4" s="5">
        <v>88173000</v>
      </c>
      <c r="BC4" s="78"/>
      <c r="BD4" s="65"/>
      <c r="BE4" s="5">
        <v>106872000</v>
      </c>
      <c r="BF4" s="7"/>
      <c r="BG4" s="65"/>
      <c r="BH4" s="5">
        <v>102783000</v>
      </c>
      <c r="BI4" s="66"/>
      <c r="BJ4" s="70"/>
      <c r="BK4" s="5">
        <v>97513000</v>
      </c>
      <c r="BL4" s="78"/>
      <c r="BM4" s="65"/>
      <c r="BN4" s="5">
        <v>85786000</v>
      </c>
      <c r="BO4" s="7"/>
      <c r="BP4" s="65"/>
      <c r="BQ4" s="5">
        <v>108042000</v>
      </c>
      <c r="BR4" s="66"/>
      <c r="BS4" s="70"/>
      <c r="BT4" s="97">
        <v>72811940</v>
      </c>
      <c r="BU4" s="78"/>
      <c r="BV4" s="62">
        <v>805279</v>
      </c>
      <c r="BW4" s="5">
        <v>87348000</v>
      </c>
      <c r="BX4" s="25">
        <f t="shared" ref="BX4:BX6" si="0">BV4/BW4</f>
        <v>9.2192036451893573E-3</v>
      </c>
      <c r="BY4" s="8">
        <v>1024632</v>
      </c>
      <c r="BZ4" s="5">
        <v>88691000</v>
      </c>
      <c r="CA4" s="25">
        <f t="shared" ref="CA4:CA6" si="1">BY4/BZ4</f>
        <v>1.1552829486644642E-2</v>
      </c>
      <c r="CB4" s="22">
        <v>1105601</v>
      </c>
      <c r="CC4" s="5">
        <v>80721000</v>
      </c>
      <c r="CD4" s="30">
        <f t="shared" ref="CD4:CD6" si="2">CB4/CC4</f>
        <v>1.3696572143556201E-2</v>
      </c>
    </row>
    <row r="5" spans="1:82" x14ac:dyDescent="0.35">
      <c r="A5" s="7" t="s">
        <v>16</v>
      </c>
      <c r="B5" s="105"/>
      <c r="C5" s="115">
        <v>155140000</v>
      </c>
      <c r="D5" s="107"/>
      <c r="E5" s="105"/>
      <c r="F5" s="115">
        <v>234320000</v>
      </c>
      <c r="G5" s="107"/>
      <c r="H5" s="108"/>
      <c r="I5" s="115">
        <v>198080000</v>
      </c>
      <c r="J5" s="107"/>
      <c r="K5" s="108"/>
      <c r="L5" s="115">
        <v>228140000</v>
      </c>
      <c r="M5" s="107"/>
      <c r="N5" s="105"/>
      <c r="O5" s="115">
        <v>212890000</v>
      </c>
      <c r="P5" s="107"/>
      <c r="Q5" s="105"/>
      <c r="R5" s="118">
        <v>209220000</v>
      </c>
      <c r="S5" s="107"/>
      <c r="T5" s="108"/>
      <c r="U5" s="115">
        <v>25840000</v>
      </c>
      <c r="V5" s="107"/>
      <c r="W5" s="108"/>
      <c r="X5" s="115">
        <v>2320000</v>
      </c>
      <c r="Y5" s="107"/>
      <c r="Z5" s="105"/>
      <c r="AA5" s="115">
        <v>72400000</v>
      </c>
      <c r="AB5" s="107"/>
      <c r="AC5" s="105"/>
      <c r="AD5" s="118">
        <v>190910000</v>
      </c>
      <c r="AE5" s="107"/>
      <c r="AF5" s="108"/>
      <c r="AG5" s="118">
        <v>262390000</v>
      </c>
      <c r="AH5" s="107"/>
      <c r="AI5" s="108"/>
      <c r="AJ5" s="118">
        <v>341330000</v>
      </c>
      <c r="AK5" s="107"/>
      <c r="AL5" s="105"/>
      <c r="AM5" s="118">
        <v>355280000</v>
      </c>
      <c r="AN5" s="107"/>
      <c r="AO5" s="108"/>
      <c r="AP5" s="118">
        <v>323200000</v>
      </c>
      <c r="AQ5" s="107"/>
      <c r="AR5" s="108"/>
      <c r="AS5" s="118">
        <v>386970000</v>
      </c>
      <c r="AT5" s="107"/>
      <c r="AU5" s="65"/>
      <c r="AV5" s="5">
        <v>365320000</v>
      </c>
      <c r="AW5" s="7"/>
      <c r="AX5" s="65"/>
      <c r="AY5" s="5">
        <v>350440000</v>
      </c>
      <c r="AZ5" s="66"/>
      <c r="BA5" s="70"/>
      <c r="BB5" s="5">
        <v>309910000</v>
      </c>
      <c r="BC5" s="66"/>
      <c r="BD5" s="65"/>
      <c r="BE5" s="5">
        <v>333700000</v>
      </c>
      <c r="BF5" s="7"/>
      <c r="BG5" s="65"/>
      <c r="BH5" s="5">
        <v>299940000</v>
      </c>
      <c r="BI5" s="66"/>
      <c r="BJ5" s="70"/>
      <c r="BK5" s="5">
        <v>201950000</v>
      </c>
      <c r="BL5" s="66"/>
      <c r="BM5" s="65"/>
      <c r="BN5" s="5">
        <v>190900000</v>
      </c>
      <c r="BO5" s="7"/>
      <c r="BP5" s="65"/>
      <c r="BQ5" s="5">
        <v>372390000</v>
      </c>
      <c r="BR5" s="66"/>
      <c r="BS5" s="70"/>
      <c r="BT5" s="97">
        <v>368440000</v>
      </c>
      <c r="BU5" s="66"/>
      <c r="BV5" s="62">
        <v>1049608</v>
      </c>
      <c r="BW5" s="5">
        <v>354160000</v>
      </c>
      <c r="BX5" s="25">
        <f t="shared" si="0"/>
        <v>2.9636548452676758E-3</v>
      </c>
      <c r="BY5" s="8">
        <v>1153881</v>
      </c>
      <c r="BZ5" s="5">
        <v>413150000</v>
      </c>
      <c r="CA5" s="25">
        <f t="shared" si="1"/>
        <v>2.7928863608858768E-3</v>
      </c>
      <c r="CB5" s="22">
        <v>748536</v>
      </c>
      <c r="CC5" s="5">
        <v>392350000</v>
      </c>
      <c r="CD5" s="30">
        <f t="shared" si="2"/>
        <v>1.9078271951064102E-3</v>
      </c>
    </row>
    <row r="6" spans="1:82" x14ac:dyDescent="0.35">
      <c r="A6" s="7" t="s">
        <v>17</v>
      </c>
      <c r="B6" s="109"/>
      <c r="C6" s="116">
        <v>172270000</v>
      </c>
      <c r="D6" s="111"/>
      <c r="E6" s="109"/>
      <c r="F6" s="116">
        <v>192100000</v>
      </c>
      <c r="G6" s="111"/>
      <c r="H6" s="112"/>
      <c r="I6" s="116">
        <v>179385000</v>
      </c>
      <c r="J6" s="111"/>
      <c r="K6" s="112"/>
      <c r="L6" s="116">
        <v>214850000</v>
      </c>
      <c r="M6" s="111"/>
      <c r="N6" s="109"/>
      <c r="O6" s="116">
        <v>137655000</v>
      </c>
      <c r="P6" s="111"/>
      <c r="Q6" s="109"/>
      <c r="R6" s="119">
        <v>112440000</v>
      </c>
      <c r="S6" s="111"/>
      <c r="T6" s="112"/>
      <c r="U6" s="116">
        <v>96495000</v>
      </c>
      <c r="V6" s="111"/>
      <c r="W6" s="112"/>
      <c r="X6" s="116">
        <v>196500000</v>
      </c>
      <c r="Y6" s="111"/>
      <c r="Z6" s="109"/>
      <c r="AA6" s="116">
        <v>175275000</v>
      </c>
      <c r="AB6" s="111"/>
      <c r="AC6" s="109"/>
      <c r="AD6" s="119">
        <v>155425000</v>
      </c>
      <c r="AE6" s="111"/>
      <c r="AF6" s="112"/>
      <c r="AG6" s="119">
        <v>313065000</v>
      </c>
      <c r="AH6" s="111"/>
      <c r="AI6" s="112"/>
      <c r="AJ6" s="119">
        <v>336420000</v>
      </c>
      <c r="AK6" s="111"/>
      <c r="AL6" s="109"/>
      <c r="AM6" s="119">
        <v>260960000</v>
      </c>
      <c r="AN6" s="111"/>
      <c r="AO6" s="112"/>
      <c r="AP6" s="119">
        <v>175155000</v>
      </c>
      <c r="AQ6" s="111"/>
      <c r="AR6" s="112"/>
      <c r="AS6" s="119">
        <v>91705000</v>
      </c>
      <c r="AT6" s="111"/>
      <c r="AU6" s="67"/>
      <c r="AV6" s="11">
        <v>112265000</v>
      </c>
      <c r="AW6" s="77"/>
      <c r="AX6" s="67"/>
      <c r="AY6" s="11">
        <v>137990000</v>
      </c>
      <c r="AZ6" s="69"/>
      <c r="BA6" s="71"/>
      <c r="BB6" s="11">
        <v>0</v>
      </c>
      <c r="BC6" s="69"/>
      <c r="BD6" s="67"/>
      <c r="BE6" s="11">
        <v>67209000</v>
      </c>
      <c r="BF6" s="77"/>
      <c r="BG6" s="67"/>
      <c r="BH6" s="11">
        <v>78020000</v>
      </c>
      <c r="BI6" s="69"/>
      <c r="BJ6" s="71"/>
      <c r="BK6" s="11">
        <v>0</v>
      </c>
      <c r="BL6" s="69"/>
      <c r="BM6" s="67"/>
      <c r="BN6" s="11">
        <v>0</v>
      </c>
      <c r="BO6" s="77"/>
      <c r="BP6" s="67"/>
      <c r="BQ6" s="11">
        <v>0</v>
      </c>
      <c r="BR6" s="69"/>
      <c r="BS6" s="71"/>
      <c r="BT6" s="98">
        <v>43425000</v>
      </c>
      <c r="BU6" s="69"/>
      <c r="BV6" s="63">
        <v>351691</v>
      </c>
      <c r="BW6" s="11">
        <v>147640000</v>
      </c>
      <c r="BX6" s="26">
        <f t="shared" si="0"/>
        <v>2.3820848008669739E-3</v>
      </c>
      <c r="BY6" s="9">
        <v>1111116</v>
      </c>
      <c r="BZ6" s="11">
        <v>144740000</v>
      </c>
      <c r="CA6" s="26">
        <f t="shared" si="1"/>
        <v>7.6766339643498686E-3</v>
      </c>
      <c r="CB6" s="23">
        <v>956138</v>
      </c>
      <c r="CC6" s="11">
        <v>180840000</v>
      </c>
      <c r="CD6" s="31">
        <f t="shared" si="2"/>
        <v>5.2872041583720414E-3</v>
      </c>
    </row>
    <row r="7" spans="1:82" x14ac:dyDescent="0.35">
      <c r="B7" s="122">
        <v>438764.17223066906</v>
      </c>
      <c r="C7" s="123">
        <f>SUM(C3:C6)</f>
        <v>870982000</v>
      </c>
      <c r="D7" s="124">
        <f>B7/C7</f>
        <v>5.037580251149496E-4</v>
      </c>
      <c r="E7" s="122">
        <v>438764.17223066906</v>
      </c>
      <c r="F7" s="123">
        <f>SUM(F3:F6)</f>
        <v>856341000</v>
      </c>
      <c r="G7" s="124">
        <f>E7/F7</f>
        <v>5.1237085720603017E-4</v>
      </c>
      <c r="H7" s="122">
        <v>438764.17223066906</v>
      </c>
      <c r="I7" s="123">
        <f>SUM(I3:I6)</f>
        <v>807532000</v>
      </c>
      <c r="J7" s="124">
        <f>H7/I7</f>
        <v>5.4333967227387773E-4</v>
      </c>
      <c r="K7" s="122">
        <v>438764.17223066906</v>
      </c>
      <c r="L7" s="123">
        <f>SUM(L3:L6)</f>
        <v>866921000</v>
      </c>
      <c r="M7" s="124">
        <f>K7/L7</f>
        <v>5.0611782645785381E-4</v>
      </c>
      <c r="N7" s="125">
        <v>438764.17223066906</v>
      </c>
      <c r="O7" s="123">
        <f>SUM(O3:O6)</f>
        <v>729252000</v>
      </c>
      <c r="P7" s="124">
        <f>N7/O7</f>
        <v>6.0166331011868193E-4</v>
      </c>
      <c r="Q7" s="122">
        <v>438764.17223066906</v>
      </c>
      <c r="R7" s="126">
        <f>SUM(R3:R6)</f>
        <v>617881000</v>
      </c>
      <c r="S7" s="124">
        <f>Q7/R7</f>
        <v>7.1011112533104115E-4</v>
      </c>
      <c r="T7" s="122">
        <v>438764.17223066906</v>
      </c>
      <c r="U7" s="126">
        <f>SUM(U3:U6)</f>
        <v>475788000</v>
      </c>
      <c r="V7" s="124">
        <f>T7/U7</f>
        <v>9.2218419176328336E-4</v>
      </c>
      <c r="W7" s="122">
        <v>438764.17223066906</v>
      </c>
      <c r="X7" s="126">
        <f>SUM(X3:X6)</f>
        <v>462334000</v>
      </c>
      <c r="Y7" s="124">
        <f>W7/X7</f>
        <v>9.490199125105856E-4</v>
      </c>
      <c r="Z7" s="125">
        <v>438764.17223066906</v>
      </c>
      <c r="AA7" s="127">
        <f>SUM(AA3:AA6)</f>
        <v>522863000</v>
      </c>
      <c r="AB7" s="24">
        <f>Z7/AA7</f>
        <v>8.3915704922832377E-4</v>
      </c>
      <c r="AC7" s="122">
        <v>438764.17223066906</v>
      </c>
      <c r="AD7" s="126">
        <f>SUM(AD3:AD6)</f>
        <v>510682000</v>
      </c>
      <c r="AE7" s="24">
        <f>AC7/AD7</f>
        <v>8.5917297306478213E-4</v>
      </c>
      <c r="AF7" s="122">
        <v>438764.17223066906</v>
      </c>
      <c r="AG7" s="126">
        <f>SUM(AG3:AG6)</f>
        <v>763400000</v>
      </c>
      <c r="AH7" s="24">
        <f>AF7/AG7</f>
        <v>5.74750029120604E-4</v>
      </c>
      <c r="AI7" s="122">
        <v>438764.17223066906</v>
      </c>
      <c r="AJ7" s="126">
        <f>SUM(AJ3:AJ6)</f>
        <v>898468000</v>
      </c>
      <c r="AK7" s="24">
        <f>AI7/AJ7</f>
        <v>4.8834702207609961E-4</v>
      </c>
      <c r="AL7" s="122">
        <v>430098.52350990591</v>
      </c>
      <c r="AM7" s="126">
        <f>SUM(AM3:AM6)</f>
        <v>888666000</v>
      </c>
      <c r="AN7" s="24">
        <f>AL7/AM7</f>
        <v>4.8398219748466343E-4</v>
      </c>
      <c r="AO7" s="125">
        <v>430098.52350990591</v>
      </c>
      <c r="AP7" s="126">
        <f>SUM(AP3:AP6)</f>
        <v>823049000</v>
      </c>
      <c r="AQ7" s="24">
        <f>AO7/AP7</f>
        <v>5.2256733622166589E-4</v>
      </c>
      <c r="AR7" s="125">
        <v>430098.52350990591</v>
      </c>
      <c r="AS7" s="127">
        <f>SUM(AS3:AS6)</f>
        <v>821226000</v>
      </c>
      <c r="AT7" s="24">
        <f>AR7/AS7</f>
        <v>5.2372735825449495E-4</v>
      </c>
      <c r="AU7" s="125">
        <v>430098.52350990591</v>
      </c>
      <c r="AV7" s="127">
        <f>SUM(AV3:AV6)</f>
        <v>755568000</v>
      </c>
      <c r="AW7" s="24">
        <f>AU7/AV7</f>
        <v>5.6923867012619099E-4</v>
      </c>
      <c r="AX7" s="125">
        <v>430098.52350990591</v>
      </c>
      <c r="AY7" s="127">
        <f>SUM(AY3:AY6)</f>
        <v>727586000</v>
      </c>
      <c r="AZ7" s="24">
        <f>AX7/AY7</f>
        <v>5.9113084021669726E-4</v>
      </c>
      <c r="BA7" s="125">
        <v>430098.52350990591</v>
      </c>
      <c r="BB7" s="127">
        <f>SUM(BB3:BB6)</f>
        <v>528690000</v>
      </c>
      <c r="BC7" s="24">
        <f>BA7/BB7</f>
        <v>8.1351741759803648E-4</v>
      </c>
      <c r="BD7" s="125">
        <v>430098.52350990591</v>
      </c>
      <c r="BE7" s="127">
        <f>SUM(BE3:BE6)</f>
        <v>637451000</v>
      </c>
      <c r="BF7" s="24">
        <f>BD7/BE7</f>
        <v>6.7471621114392462E-4</v>
      </c>
      <c r="BG7" s="125">
        <v>430098.52350990591</v>
      </c>
      <c r="BH7" s="127">
        <f>SUM(BH3:BH6)</f>
        <v>631273000</v>
      </c>
      <c r="BI7" s="24">
        <f>BG7/BH7</f>
        <v>6.8131937134948892E-4</v>
      </c>
      <c r="BJ7" s="125">
        <v>430098.52350990591</v>
      </c>
      <c r="BK7" s="127">
        <f>SUM(BK3:BK6)</f>
        <v>481069000</v>
      </c>
      <c r="BL7" s="24">
        <f>BJ7/BK7</f>
        <v>8.940474724206006E-4</v>
      </c>
      <c r="BM7" s="125">
        <v>430098.52350990591</v>
      </c>
      <c r="BN7" s="127">
        <f>SUM(BN3:BN6)</f>
        <v>451701000</v>
      </c>
      <c r="BO7" s="24">
        <f>BM7/BN7</f>
        <v>9.5217527415238383E-4</v>
      </c>
      <c r="BP7" s="125">
        <v>430098.52350990591</v>
      </c>
      <c r="BQ7" s="127">
        <f>SUM(BQ3:BQ6)</f>
        <v>682239000</v>
      </c>
      <c r="BR7" s="24">
        <f>BP7/BQ7</f>
        <v>6.304220713121148E-4</v>
      </c>
      <c r="BS7" s="125">
        <v>430098.52350990591</v>
      </c>
      <c r="BT7" s="127">
        <f>SUM(BT3:BT6)</f>
        <v>759977940</v>
      </c>
      <c r="BU7" s="24">
        <f>BS7/BT7</f>
        <v>5.6593553690506581E-4</v>
      </c>
      <c r="BV7" s="121"/>
      <c r="BW7" s="120"/>
      <c r="BX7" s="24">
        <f>AVERAGE(BX3:BX6)</f>
        <v>4.7289949646815276E-3</v>
      </c>
      <c r="BY7" s="2"/>
      <c r="BZ7" s="6"/>
      <c r="CA7" s="24">
        <f>AVERAGE(CA3:CA6)</f>
        <v>6.5563677642784908E-3</v>
      </c>
      <c r="CB7" s="2"/>
      <c r="CC7" s="6"/>
      <c r="CD7" s="24">
        <f>AVERAGE(CD3:CD6)</f>
        <v>7.8122298651514431E-3</v>
      </c>
    </row>
    <row r="8" spans="1:82" x14ac:dyDescent="0.35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Q8" s="114"/>
      <c r="R8" s="114"/>
      <c r="S8" s="114"/>
      <c r="T8" s="114"/>
      <c r="U8" s="114"/>
      <c r="V8" s="114"/>
      <c r="W8" s="114"/>
      <c r="X8" s="114"/>
      <c r="Y8" s="114"/>
      <c r="AC8" s="114"/>
      <c r="AD8" s="114"/>
      <c r="AE8" s="114"/>
      <c r="AF8" s="114"/>
      <c r="AG8" s="114"/>
      <c r="AH8" s="114"/>
      <c r="AI8" s="114"/>
      <c r="AJ8" s="114"/>
      <c r="AK8" s="114"/>
      <c r="BX8" s="27"/>
    </row>
    <row r="9" spans="1:82" x14ac:dyDescent="0.35">
      <c r="B9" s="266" t="s">
        <v>35</v>
      </c>
      <c r="C9" s="267"/>
      <c r="D9" s="267"/>
      <c r="E9" s="266" t="s">
        <v>36</v>
      </c>
      <c r="F9" s="267"/>
      <c r="G9" s="267"/>
      <c r="H9" s="266" t="s">
        <v>37</v>
      </c>
      <c r="I9" s="267"/>
      <c r="J9" s="267"/>
      <c r="K9" s="266" t="s">
        <v>38</v>
      </c>
      <c r="L9" s="267"/>
      <c r="M9" s="267"/>
      <c r="N9" s="266" t="s">
        <v>39</v>
      </c>
      <c r="O9" s="267"/>
      <c r="P9" s="267"/>
      <c r="Q9" s="266" t="s">
        <v>40</v>
      </c>
      <c r="R9" s="267"/>
      <c r="S9" s="267"/>
      <c r="T9" s="266" t="s">
        <v>41</v>
      </c>
      <c r="U9" s="267"/>
      <c r="V9" s="267"/>
      <c r="W9" s="266" t="s">
        <v>42</v>
      </c>
      <c r="X9" s="267"/>
      <c r="Y9" s="267"/>
      <c r="Z9" s="266" t="s">
        <v>43</v>
      </c>
      <c r="AA9" s="267"/>
      <c r="AB9" s="267"/>
      <c r="AC9" s="266" t="s">
        <v>44</v>
      </c>
      <c r="AD9" s="267"/>
      <c r="AE9" s="267"/>
      <c r="AF9" s="266" t="s">
        <v>45</v>
      </c>
      <c r="AG9" s="267"/>
      <c r="AH9" s="267"/>
      <c r="AI9" s="266" t="s">
        <v>46</v>
      </c>
      <c r="AJ9" s="267"/>
      <c r="AK9" s="267"/>
      <c r="AL9" s="266" t="s">
        <v>47</v>
      </c>
      <c r="AM9" s="267"/>
      <c r="AN9" s="267"/>
      <c r="AO9" s="266" t="s">
        <v>48</v>
      </c>
      <c r="AP9" s="267"/>
      <c r="AQ9" s="267"/>
      <c r="AR9" s="266" t="s">
        <v>49</v>
      </c>
      <c r="AS9" s="267"/>
      <c r="AT9" s="267"/>
      <c r="AU9" s="266" t="s">
        <v>50</v>
      </c>
      <c r="AV9" s="267"/>
      <c r="AW9" s="267"/>
      <c r="AX9" s="266" t="s">
        <v>51</v>
      </c>
      <c r="AY9" s="267"/>
      <c r="AZ9" s="267"/>
      <c r="BA9" s="266" t="s">
        <v>52</v>
      </c>
      <c r="BB9" s="267"/>
      <c r="BC9" s="267"/>
      <c r="BD9" s="266" t="s">
        <v>53</v>
      </c>
      <c r="BE9" s="267"/>
      <c r="BF9" s="267"/>
      <c r="BG9" s="266" t="s">
        <v>54</v>
      </c>
      <c r="BH9" s="267"/>
      <c r="BI9" s="267"/>
      <c r="BJ9" s="266" t="s">
        <v>55</v>
      </c>
      <c r="BK9" s="267"/>
      <c r="BL9" s="267"/>
      <c r="BM9" s="266" t="s">
        <v>56</v>
      </c>
      <c r="BN9" s="267"/>
      <c r="BO9" s="267"/>
      <c r="BP9" s="266" t="s">
        <v>57</v>
      </c>
      <c r="BQ9" s="267"/>
      <c r="BR9" s="267"/>
      <c r="BS9" s="266" t="s">
        <v>58</v>
      </c>
      <c r="BT9" s="267"/>
      <c r="BU9" s="267"/>
      <c r="BV9" s="269" t="s">
        <v>0</v>
      </c>
      <c r="BW9" s="270"/>
      <c r="BX9" s="270"/>
      <c r="BY9" s="269" t="s">
        <v>1</v>
      </c>
      <c r="BZ9" s="270"/>
      <c r="CA9" s="271"/>
      <c r="CB9" s="270" t="s">
        <v>2</v>
      </c>
      <c r="CC9" s="270"/>
      <c r="CD9" s="271"/>
    </row>
    <row r="10" spans="1:82" x14ac:dyDescent="0.35">
      <c r="B10" s="99" t="s">
        <v>65</v>
      </c>
      <c r="C10" s="100" t="s">
        <v>6</v>
      </c>
      <c r="D10" s="101" t="s">
        <v>8</v>
      </c>
      <c r="E10" s="99" t="s">
        <v>65</v>
      </c>
      <c r="F10" s="100" t="s">
        <v>6</v>
      </c>
      <c r="G10" s="101" t="s">
        <v>8</v>
      </c>
      <c r="H10" s="102" t="s">
        <v>65</v>
      </c>
      <c r="I10" s="102" t="s">
        <v>6</v>
      </c>
      <c r="J10" s="101" t="s">
        <v>8</v>
      </c>
      <c r="K10" s="103" t="s">
        <v>65</v>
      </c>
      <c r="L10" s="100" t="s">
        <v>6</v>
      </c>
      <c r="M10" s="104" t="s">
        <v>8</v>
      </c>
      <c r="N10" s="99" t="s">
        <v>65</v>
      </c>
      <c r="O10" s="100" t="s">
        <v>6</v>
      </c>
      <c r="P10" s="101" t="s">
        <v>8</v>
      </c>
      <c r="Q10" s="99" t="s">
        <v>65</v>
      </c>
      <c r="R10" s="100" t="s">
        <v>6</v>
      </c>
      <c r="S10" s="101" t="s">
        <v>8</v>
      </c>
      <c r="T10" s="102" t="s">
        <v>65</v>
      </c>
      <c r="U10" s="102" t="s">
        <v>6</v>
      </c>
      <c r="V10" s="101" t="s">
        <v>8</v>
      </c>
      <c r="W10" s="103" t="s">
        <v>65</v>
      </c>
      <c r="X10" s="100" t="s">
        <v>6</v>
      </c>
      <c r="Y10" s="104" t="s">
        <v>8</v>
      </c>
      <c r="Z10" s="99" t="s">
        <v>65</v>
      </c>
      <c r="AA10" s="100" t="s">
        <v>6</v>
      </c>
      <c r="AB10" s="101" t="s">
        <v>8</v>
      </c>
      <c r="AC10" s="99" t="s">
        <v>65</v>
      </c>
      <c r="AD10" s="100" t="s">
        <v>6</v>
      </c>
      <c r="AE10" s="101" t="s">
        <v>8</v>
      </c>
      <c r="AF10" s="102" t="s">
        <v>65</v>
      </c>
      <c r="AG10" s="102" t="s">
        <v>6</v>
      </c>
      <c r="AH10" s="101" t="s">
        <v>8</v>
      </c>
      <c r="AI10" s="103" t="s">
        <v>65</v>
      </c>
      <c r="AJ10" s="100" t="s">
        <v>6</v>
      </c>
      <c r="AK10" s="104" t="s">
        <v>8</v>
      </c>
      <c r="AL10" s="99" t="s">
        <v>65</v>
      </c>
      <c r="AM10" s="100" t="s">
        <v>6</v>
      </c>
      <c r="AN10" s="101" t="s">
        <v>8</v>
      </c>
      <c r="AO10" s="102" t="s">
        <v>65</v>
      </c>
      <c r="AP10" s="102" t="s">
        <v>6</v>
      </c>
      <c r="AQ10" s="101" t="s">
        <v>8</v>
      </c>
      <c r="AR10" s="103" t="s">
        <v>65</v>
      </c>
      <c r="AS10" s="100" t="s">
        <v>6</v>
      </c>
      <c r="AT10" s="104" t="s">
        <v>8</v>
      </c>
      <c r="AU10" s="253" t="s">
        <v>65</v>
      </c>
      <c r="AV10" s="64" t="s">
        <v>6</v>
      </c>
      <c r="AW10" s="254" t="s">
        <v>8</v>
      </c>
      <c r="AX10" s="252" t="s">
        <v>65</v>
      </c>
      <c r="AY10" s="252" t="s">
        <v>6</v>
      </c>
      <c r="AZ10" s="254" t="s">
        <v>8</v>
      </c>
      <c r="BA10" s="76" t="s">
        <v>65</v>
      </c>
      <c r="BB10" s="64" t="s">
        <v>6</v>
      </c>
      <c r="BC10" s="75" t="s">
        <v>8</v>
      </c>
      <c r="BD10" s="253" t="s">
        <v>65</v>
      </c>
      <c r="BE10" s="64" t="s">
        <v>6</v>
      </c>
      <c r="BF10" s="254" t="s">
        <v>8</v>
      </c>
      <c r="BG10" s="252" t="s">
        <v>65</v>
      </c>
      <c r="BH10" s="252" t="s">
        <v>6</v>
      </c>
      <c r="BI10" s="254" t="s">
        <v>8</v>
      </c>
      <c r="BJ10" s="76" t="s">
        <v>65</v>
      </c>
      <c r="BK10" s="64" t="s">
        <v>6</v>
      </c>
      <c r="BL10" s="75" t="s">
        <v>8</v>
      </c>
      <c r="BM10" s="253" t="s">
        <v>65</v>
      </c>
      <c r="BN10" s="64" t="s">
        <v>6</v>
      </c>
      <c r="BO10" s="254" t="s">
        <v>8</v>
      </c>
      <c r="BP10" s="252" t="s">
        <v>65</v>
      </c>
      <c r="BQ10" s="252" t="s">
        <v>6</v>
      </c>
      <c r="BR10" s="254" t="s">
        <v>8</v>
      </c>
      <c r="BS10" s="252" t="s">
        <v>65</v>
      </c>
      <c r="BT10" s="64" t="s">
        <v>6</v>
      </c>
      <c r="BU10" s="254" t="s">
        <v>8</v>
      </c>
      <c r="BV10" s="6" t="s">
        <v>65</v>
      </c>
      <c r="BW10" s="15" t="s">
        <v>6</v>
      </c>
      <c r="BX10" s="6" t="s">
        <v>8</v>
      </c>
      <c r="BY10" s="253" t="s">
        <v>65</v>
      </c>
      <c r="BZ10" s="252" t="s">
        <v>6</v>
      </c>
      <c r="CA10" s="252" t="s">
        <v>8</v>
      </c>
      <c r="CB10" s="14" t="s">
        <v>65</v>
      </c>
      <c r="CC10" s="15" t="s">
        <v>6</v>
      </c>
      <c r="CD10" s="16" t="s">
        <v>8</v>
      </c>
    </row>
    <row r="11" spans="1:82" x14ac:dyDescent="0.35">
      <c r="A11" s="3" t="s">
        <v>21</v>
      </c>
      <c r="B11" s="105"/>
      <c r="C11" s="106"/>
      <c r="D11" s="107"/>
      <c r="E11" s="105"/>
      <c r="F11" s="106"/>
      <c r="G11" s="107"/>
      <c r="H11" s="108"/>
      <c r="I11" s="106"/>
      <c r="J11" s="107"/>
      <c r="K11" s="108"/>
      <c r="L11" s="106"/>
      <c r="M11" s="107"/>
      <c r="N11" s="105"/>
      <c r="O11" s="106"/>
      <c r="P11" s="107"/>
      <c r="Q11" s="105"/>
      <c r="R11" s="106"/>
      <c r="S11" s="107"/>
      <c r="T11" s="108"/>
      <c r="U11" s="106"/>
      <c r="V11" s="107"/>
      <c r="W11" s="108"/>
      <c r="X11" s="106"/>
      <c r="Y11" s="107"/>
      <c r="Z11" s="105"/>
      <c r="AA11" s="106"/>
      <c r="AB11" s="107"/>
      <c r="AC11" s="105"/>
      <c r="AD11" s="106"/>
      <c r="AE11" s="107"/>
      <c r="AF11" s="108"/>
      <c r="AG11" s="106"/>
      <c r="AH11" s="107"/>
      <c r="AI11" s="108"/>
      <c r="AJ11" s="106"/>
      <c r="AK11" s="107"/>
      <c r="AL11" s="105"/>
      <c r="AM11" s="106"/>
      <c r="AN11" s="107"/>
      <c r="AO11" s="108"/>
      <c r="AP11" s="106"/>
      <c r="AQ11" s="107"/>
      <c r="AR11" s="108"/>
      <c r="AS11" s="106"/>
      <c r="AT11" s="107"/>
      <c r="AU11" s="65"/>
      <c r="AV11" s="61"/>
      <c r="AW11" s="66"/>
      <c r="AX11" s="70"/>
      <c r="AY11" s="61"/>
      <c r="AZ11" s="66"/>
      <c r="BA11" s="70"/>
      <c r="BB11" s="79"/>
      <c r="BC11" s="78"/>
      <c r="BD11" s="65"/>
      <c r="BE11" s="61"/>
      <c r="BF11" s="66"/>
      <c r="BG11" s="70"/>
      <c r="BH11" s="61"/>
      <c r="BI11" s="66"/>
      <c r="BJ11" s="70"/>
      <c r="BK11" s="79"/>
      <c r="BL11" s="78"/>
      <c r="BM11" s="65"/>
      <c r="BN11" s="61"/>
      <c r="BO11" s="66"/>
      <c r="BP11" s="70"/>
      <c r="BQ11" s="61"/>
      <c r="BR11" s="66"/>
      <c r="BS11" s="70"/>
      <c r="BT11" s="61"/>
      <c r="BU11" s="66"/>
      <c r="BV11" s="62">
        <v>418791</v>
      </c>
      <c r="BW11" s="12">
        <v>73019000</v>
      </c>
      <c r="BX11" s="25">
        <f>BV11/BW11</f>
        <v>5.7353702461003303E-3</v>
      </c>
      <c r="BY11" s="8">
        <v>889693</v>
      </c>
      <c r="BZ11" s="4">
        <v>59935000</v>
      </c>
      <c r="CA11" s="25">
        <f>BY11/BZ11</f>
        <v>1.4844297989488612E-2</v>
      </c>
      <c r="CB11" s="8">
        <v>303372</v>
      </c>
      <c r="CC11" s="13">
        <v>37560000</v>
      </c>
      <c r="CD11" s="30">
        <f>CB11/CC11</f>
        <v>8.0769968051118204E-3</v>
      </c>
    </row>
    <row r="12" spans="1:82" x14ac:dyDescent="0.35">
      <c r="A12" s="3" t="s">
        <v>67</v>
      </c>
      <c r="B12" s="105"/>
      <c r="C12" s="106"/>
      <c r="D12" s="107"/>
      <c r="E12" s="105"/>
      <c r="F12" s="106"/>
      <c r="G12" s="107"/>
      <c r="H12" s="108"/>
      <c r="I12" s="106"/>
      <c r="J12" s="107"/>
      <c r="K12" s="108"/>
      <c r="L12" s="106"/>
      <c r="M12" s="107"/>
      <c r="N12" s="105"/>
      <c r="O12" s="106"/>
      <c r="P12" s="107"/>
      <c r="Q12" s="105"/>
      <c r="R12" s="106"/>
      <c r="S12" s="107"/>
      <c r="T12" s="108"/>
      <c r="U12" s="106"/>
      <c r="V12" s="107"/>
      <c r="W12" s="108"/>
      <c r="X12" s="106"/>
      <c r="Y12" s="107"/>
      <c r="Z12" s="105"/>
      <c r="AA12" s="106"/>
      <c r="AB12" s="107"/>
      <c r="AC12" s="105"/>
      <c r="AD12" s="106"/>
      <c r="AE12" s="107"/>
      <c r="AF12" s="108"/>
      <c r="AG12" s="106"/>
      <c r="AH12" s="107"/>
      <c r="AI12" s="108"/>
      <c r="AJ12" s="106"/>
      <c r="AK12" s="107"/>
      <c r="AL12" s="105"/>
      <c r="AM12" s="106"/>
      <c r="AN12" s="107"/>
      <c r="AO12" s="108"/>
      <c r="AP12" s="106"/>
      <c r="AQ12" s="107"/>
      <c r="AR12" s="108"/>
      <c r="AS12" s="106"/>
      <c r="AT12" s="107"/>
      <c r="AU12" s="65"/>
      <c r="AV12" s="61"/>
      <c r="AW12" s="66"/>
      <c r="AX12" s="70"/>
      <c r="AY12" s="61"/>
      <c r="AZ12" s="66"/>
      <c r="BA12" s="70"/>
      <c r="BB12" s="79"/>
      <c r="BC12" s="78"/>
      <c r="BD12" s="65"/>
      <c r="BE12" s="61"/>
      <c r="BF12" s="66"/>
      <c r="BG12" s="70"/>
      <c r="BH12" s="61"/>
      <c r="BI12" s="66"/>
      <c r="BJ12" s="70"/>
      <c r="BK12" s="79"/>
      <c r="BL12" s="78"/>
      <c r="BM12" s="65"/>
      <c r="BN12" s="61"/>
      <c r="BO12" s="66"/>
      <c r="BP12" s="70"/>
      <c r="BQ12" s="61"/>
      <c r="BR12" s="66"/>
      <c r="BS12" s="70"/>
      <c r="BT12" s="61"/>
      <c r="BU12" s="66"/>
      <c r="BV12" s="62">
        <v>393915</v>
      </c>
      <c r="BW12" s="4">
        <v>26009000</v>
      </c>
      <c r="BX12" s="25">
        <f t="shared" ref="BX12:BX14" si="3">BV12/BW12</f>
        <v>1.5145334307355146E-2</v>
      </c>
      <c r="BY12" s="8">
        <v>526134</v>
      </c>
      <c r="BZ12" s="4">
        <v>26690000</v>
      </c>
      <c r="CA12" s="25">
        <f t="shared" ref="CA12:CA14" si="4">BY12/BZ12</f>
        <v>1.9712776320719369E-2</v>
      </c>
      <c r="CB12" s="8">
        <v>268844</v>
      </c>
      <c r="CC12" s="5">
        <v>12325000</v>
      </c>
      <c r="CD12" s="30">
        <f t="shared" ref="CD12:CD14" si="5">CB12/CC12</f>
        <v>2.1812900608519269E-2</v>
      </c>
    </row>
    <row r="13" spans="1:82" x14ac:dyDescent="0.35">
      <c r="A13" s="3" t="s">
        <v>27</v>
      </c>
      <c r="B13" s="105"/>
      <c r="C13" s="106"/>
      <c r="D13" s="106"/>
      <c r="E13" s="105"/>
      <c r="F13" s="106"/>
      <c r="G13" s="107"/>
      <c r="H13" s="108"/>
      <c r="I13" s="106"/>
      <c r="J13" s="107"/>
      <c r="K13" s="108"/>
      <c r="L13" s="106"/>
      <c r="M13" s="107"/>
      <c r="N13" s="105"/>
      <c r="O13" s="106"/>
      <c r="P13" s="107"/>
      <c r="Q13" s="105"/>
      <c r="R13" s="106"/>
      <c r="S13" s="107"/>
      <c r="T13" s="108"/>
      <c r="U13" s="106"/>
      <c r="V13" s="107"/>
      <c r="W13" s="108"/>
      <c r="X13" s="106"/>
      <c r="Y13" s="107"/>
      <c r="Z13" s="105"/>
      <c r="AA13" s="106"/>
      <c r="AB13" s="107"/>
      <c r="AC13" s="105"/>
      <c r="AD13" s="106"/>
      <c r="AE13" s="107"/>
      <c r="AF13" s="108"/>
      <c r="AG13" s="106"/>
      <c r="AH13" s="107"/>
      <c r="AI13" s="108"/>
      <c r="AJ13" s="106"/>
      <c r="AK13" s="107"/>
      <c r="AL13" s="105"/>
      <c r="AM13" s="106"/>
      <c r="AN13" s="107"/>
      <c r="AO13" s="108"/>
      <c r="AP13" s="106"/>
      <c r="AQ13" s="107"/>
      <c r="AR13" s="108"/>
      <c r="AS13" s="106"/>
      <c r="AT13" s="107"/>
      <c r="AU13" s="65"/>
      <c r="AV13" s="61"/>
      <c r="AW13" s="66"/>
      <c r="AX13" s="70"/>
      <c r="AY13" s="61"/>
      <c r="AZ13" s="66"/>
      <c r="BA13" s="70"/>
      <c r="BB13" s="79"/>
      <c r="BC13" s="66"/>
      <c r="BD13" s="65"/>
      <c r="BE13" s="61"/>
      <c r="BF13" s="66"/>
      <c r="BG13" s="70"/>
      <c r="BH13" s="61"/>
      <c r="BI13" s="66"/>
      <c r="BJ13" s="70"/>
      <c r="BK13" s="79"/>
      <c r="BL13" s="66"/>
      <c r="BM13" s="65"/>
      <c r="BN13" s="61"/>
      <c r="BO13" s="66"/>
      <c r="BP13" s="70"/>
      <c r="BQ13" s="61"/>
      <c r="BR13" s="66"/>
      <c r="BS13" s="70"/>
      <c r="BT13" s="61"/>
      <c r="BU13" s="66"/>
      <c r="BV13" s="62">
        <v>296742</v>
      </c>
      <c r="BW13" s="5">
        <v>21642000</v>
      </c>
      <c r="BX13" s="25">
        <f t="shared" si="3"/>
        <v>1.3711394510673691E-2</v>
      </c>
      <c r="BY13" s="8">
        <v>249167</v>
      </c>
      <c r="BZ13" s="5">
        <v>23705000</v>
      </c>
      <c r="CA13" s="25">
        <f t="shared" si="4"/>
        <v>1.0511157983547775E-2</v>
      </c>
      <c r="CB13" s="8">
        <v>246707</v>
      </c>
      <c r="CC13" s="5">
        <v>12916000</v>
      </c>
      <c r="CD13" s="30">
        <f t="shared" si="5"/>
        <v>1.9100882626200064E-2</v>
      </c>
    </row>
    <row r="14" spans="1:82" x14ac:dyDescent="0.35">
      <c r="A14" s="3" t="s">
        <v>28</v>
      </c>
      <c r="B14" s="109"/>
      <c r="C14" s="110"/>
      <c r="D14" s="111"/>
      <c r="E14" s="109"/>
      <c r="F14" s="110"/>
      <c r="G14" s="111"/>
      <c r="H14" s="112"/>
      <c r="I14" s="110"/>
      <c r="J14" s="111"/>
      <c r="K14" s="112"/>
      <c r="L14" s="110"/>
      <c r="M14" s="111"/>
      <c r="N14" s="109"/>
      <c r="O14" s="110"/>
      <c r="P14" s="111"/>
      <c r="Q14" s="109"/>
      <c r="R14" s="110"/>
      <c r="S14" s="111"/>
      <c r="T14" s="112"/>
      <c r="U14" s="110"/>
      <c r="V14" s="111"/>
      <c r="W14" s="112"/>
      <c r="X14" s="110"/>
      <c r="Y14" s="111"/>
      <c r="Z14" s="109"/>
      <c r="AA14" s="110"/>
      <c r="AB14" s="111"/>
      <c r="AC14" s="109"/>
      <c r="AD14" s="110"/>
      <c r="AE14" s="111"/>
      <c r="AF14" s="112"/>
      <c r="AG14" s="110"/>
      <c r="AH14" s="111"/>
      <c r="AI14" s="112"/>
      <c r="AJ14" s="110"/>
      <c r="AK14" s="111"/>
      <c r="AL14" s="109"/>
      <c r="AM14" s="110"/>
      <c r="AN14" s="111"/>
      <c r="AO14" s="112"/>
      <c r="AP14" s="110"/>
      <c r="AQ14" s="111"/>
      <c r="AR14" s="112"/>
      <c r="AS14" s="110"/>
      <c r="AT14" s="111"/>
      <c r="AU14" s="67"/>
      <c r="AV14" s="68"/>
      <c r="AW14" s="69"/>
      <c r="AX14" s="71"/>
      <c r="AY14" s="68"/>
      <c r="AZ14" s="69"/>
      <c r="BA14" s="71"/>
      <c r="BB14" s="80"/>
      <c r="BC14" s="69"/>
      <c r="BD14" s="67"/>
      <c r="BE14" s="68"/>
      <c r="BF14" s="69"/>
      <c r="BG14" s="71"/>
      <c r="BH14" s="68"/>
      <c r="BI14" s="69"/>
      <c r="BJ14" s="71"/>
      <c r="BK14" s="80"/>
      <c r="BL14" s="69"/>
      <c r="BM14" s="67"/>
      <c r="BN14" s="68"/>
      <c r="BO14" s="69"/>
      <c r="BP14" s="71"/>
      <c r="BQ14" s="68"/>
      <c r="BR14" s="69"/>
      <c r="BS14" s="71"/>
      <c r="BT14" s="68"/>
      <c r="BU14" s="69"/>
      <c r="BV14" s="63">
        <v>189249</v>
      </c>
      <c r="BW14" s="10">
        <v>5301400</v>
      </c>
      <c r="BX14" s="26">
        <f t="shared" si="3"/>
        <v>3.569792884898329E-2</v>
      </c>
      <c r="BY14" s="9">
        <v>373280</v>
      </c>
      <c r="BZ14" s="10">
        <v>5207400</v>
      </c>
      <c r="CA14" s="26">
        <f t="shared" si="4"/>
        <v>7.1682605522909712E-2</v>
      </c>
      <c r="CB14" s="9">
        <v>78027</v>
      </c>
      <c r="CC14" s="11">
        <v>1809700</v>
      </c>
      <c r="CD14" s="31">
        <f t="shared" si="5"/>
        <v>4.3115986075040059E-2</v>
      </c>
    </row>
    <row r="15" spans="1:82" x14ac:dyDescent="0.35">
      <c r="B15" s="60">
        <v>1590055.2722137754</v>
      </c>
      <c r="C15" s="96">
        <v>260890400</v>
      </c>
      <c r="D15" s="124">
        <f>B15/C15</f>
        <v>6.0947251114405717E-3</v>
      </c>
      <c r="E15" s="60">
        <v>1590055.2722137754</v>
      </c>
      <c r="F15" s="96">
        <v>193494100</v>
      </c>
      <c r="G15" s="124">
        <f>E15/F15</f>
        <v>8.2175904702715772E-3</v>
      </c>
      <c r="H15" s="60">
        <v>1590055.2722137754</v>
      </c>
      <c r="I15" s="96">
        <v>201834400</v>
      </c>
      <c r="J15" s="124">
        <f>H15/I15</f>
        <v>7.8780191692485301E-3</v>
      </c>
      <c r="K15" s="60">
        <v>1590055.2722137754</v>
      </c>
      <c r="L15" s="96">
        <v>131672900</v>
      </c>
      <c r="M15" s="124">
        <f>K15/L15</f>
        <v>1.2075797466401784E-2</v>
      </c>
      <c r="N15" s="60">
        <v>1590055.2722137754</v>
      </c>
      <c r="O15" s="96">
        <v>112849700</v>
      </c>
      <c r="P15" s="124">
        <f>N15/O15</f>
        <v>1.4090026577064674E-2</v>
      </c>
      <c r="Q15" s="60">
        <v>1590055.2722137754</v>
      </c>
      <c r="R15" s="96">
        <v>94897800</v>
      </c>
      <c r="S15" s="124">
        <f>Q15/R15</f>
        <v>1.6755449253974018E-2</v>
      </c>
      <c r="T15" s="60">
        <v>1590055.2722137754</v>
      </c>
      <c r="U15" s="96">
        <v>131926200</v>
      </c>
      <c r="V15" s="124">
        <f>T15/U15</f>
        <v>1.2052611780023797E-2</v>
      </c>
      <c r="W15" s="60">
        <v>1590055.2722137754</v>
      </c>
      <c r="X15" s="96">
        <v>116795300</v>
      </c>
      <c r="Y15" s="124">
        <f>W15/X15</f>
        <v>1.361403474466674E-2</v>
      </c>
      <c r="Z15" s="60">
        <v>1590055.2722137754</v>
      </c>
      <c r="AA15" s="96">
        <v>107324900</v>
      </c>
      <c r="AB15" s="124">
        <f>Z15/AA15</f>
        <v>1.4815343617499531E-2</v>
      </c>
      <c r="AC15" s="60">
        <v>1590055.2722137754</v>
      </c>
      <c r="AD15" s="96">
        <v>178287300</v>
      </c>
      <c r="AE15" s="124">
        <f>AC15/AD15</f>
        <v>8.9184999280025861E-3</v>
      </c>
      <c r="AF15" s="60">
        <v>1590055.2722137754</v>
      </c>
      <c r="AG15" s="96">
        <v>234633700</v>
      </c>
      <c r="AH15" s="124">
        <f>AF15/AG15</f>
        <v>6.7767557354880201E-3</v>
      </c>
      <c r="AI15" s="60">
        <v>1590055.2722137754</v>
      </c>
      <c r="AJ15" s="96">
        <v>144398200</v>
      </c>
      <c r="AK15" s="124">
        <f>AI15/AJ15</f>
        <v>1.1011600367690009E-2</v>
      </c>
      <c r="AL15" s="60">
        <v>1558651.4764900941</v>
      </c>
      <c r="AM15" s="96">
        <v>97320800</v>
      </c>
      <c r="AN15" s="124">
        <f>AL15/AM15</f>
        <v>1.6015604850043302E-2</v>
      </c>
      <c r="AO15" s="60">
        <v>1558651.4764900941</v>
      </c>
      <c r="AP15" s="96">
        <v>220029200</v>
      </c>
      <c r="AQ15" s="124">
        <f>AO15/AP15</f>
        <v>7.083839219931237E-3</v>
      </c>
      <c r="AR15" s="60">
        <v>1558651.4764900941</v>
      </c>
      <c r="AS15" s="96">
        <v>220396500</v>
      </c>
      <c r="AT15" s="124">
        <f>AR15/AS15</f>
        <v>7.0720337051182487E-3</v>
      </c>
      <c r="AU15" s="60">
        <v>1558651.4764900941</v>
      </c>
      <c r="AV15" s="96">
        <v>241601700</v>
      </c>
      <c r="AW15" s="124">
        <f>AU15/AV15</f>
        <v>6.4513266110714212E-3</v>
      </c>
      <c r="AX15" s="60">
        <v>1558651.4764900941</v>
      </c>
      <c r="AY15" s="96">
        <v>97384900</v>
      </c>
      <c r="AZ15" s="124">
        <f>AX15/AY15</f>
        <v>1.6005063171909549E-2</v>
      </c>
      <c r="BA15" s="60">
        <v>1558651.4764900941</v>
      </c>
      <c r="BB15" s="96">
        <v>150285900</v>
      </c>
      <c r="BC15" s="124">
        <f>BA15/BB15</f>
        <v>1.0371242255528258E-2</v>
      </c>
      <c r="BD15" s="60">
        <v>1558651.4764900941</v>
      </c>
      <c r="BE15" s="96">
        <v>127130300</v>
      </c>
      <c r="BF15" s="124">
        <f>BD15/BE15</f>
        <v>1.2260267430267167E-2</v>
      </c>
      <c r="BG15" s="60">
        <v>1558651.4764900941</v>
      </c>
      <c r="BH15" s="96">
        <v>85882800</v>
      </c>
      <c r="BI15" s="124">
        <f>BG15/BH15</f>
        <v>1.8148587103472339E-2</v>
      </c>
      <c r="BJ15" s="60">
        <v>1558651.4764900941</v>
      </c>
      <c r="BK15" s="96">
        <v>144624600</v>
      </c>
      <c r="BL15" s="124">
        <f>BJ15/BK15</f>
        <v>1.0777222384643374E-2</v>
      </c>
      <c r="BM15" s="60">
        <v>1558651.4764900941</v>
      </c>
      <c r="BN15" s="96">
        <v>187340700</v>
      </c>
      <c r="BO15" s="124">
        <f>BM15/BN15</f>
        <v>8.3198764416386514E-3</v>
      </c>
      <c r="BP15" s="60">
        <v>1558651.4764900941</v>
      </c>
      <c r="BQ15" s="96">
        <v>94477000</v>
      </c>
      <c r="BR15" s="124">
        <f>BP15/BQ15</f>
        <v>1.6497681726664628E-2</v>
      </c>
      <c r="BS15" s="60">
        <v>1558651.4764900941</v>
      </c>
      <c r="BT15" s="96">
        <v>128623500</v>
      </c>
      <c r="BU15" s="124">
        <f>BS15/BT15</f>
        <v>1.2117937052638857E-2</v>
      </c>
      <c r="BW15" s="6" t="s">
        <v>66</v>
      </c>
      <c r="BX15" s="24">
        <f>AVERAGE(BX11:BX14)</f>
        <v>1.7572506978278113E-2</v>
      </c>
      <c r="BY15" s="2"/>
      <c r="BZ15" s="6" t="s">
        <v>66</v>
      </c>
      <c r="CA15" s="24">
        <f>AVERAGE(CA11:CA14)</f>
        <v>2.9187709454166367E-2</v>
      </c>
      <c r="CB15" s="2"/>
      <c r="CC15" s="6" t="s">
        <v>66</v>
      </c>
      <c r="CD15" s="24">
        <f>AVERAGE(CD11:CD14)</f>
        <v>2.3026691528717801E-2</v>
      </c>
    </row>
    <row r="16" spans="1:82" x14ac:dyDescent="0.35">
      <c r="BX16" s="27"/>
      <c r="CA16" s="27"/>
      <c r="CD16" s="27"/>
    </row>
    <row r="17" spans="1:82" x14ac:dyDescent="0.35">
      <c r="D17" s="128">
        <f>D7+D15</f>
        <v>6.5984831365555208E-3</v>
      </c>
      <c r="G17" s="128">
        <f>G7+G15</f>
        <v>8.7299613274776072E-3</v>
      </c>
      <c r="J17" s="128">
        <f>J7+J15</f>
        <v>8.4213588415224076E-3</v>
      </c>
      <c r="M17" s="128">
        <f>M7+M15</f>
        <v>1.2581915292859638E-2</v>
      </c>
      <c r="P17" s="128">
        <f>P7+P15</f>
        <v>1.4691689887183355E-2</v>
      </c>
      <c r="S17" s="128">
        <f>S7+S15</f>
        <v>1.7465560379305058E-2</v>
      </c>
      <c r="V17" s="128">
        <f>V7+V15</f>
        <v>1.297479597178708E-2</v>
      </c>
      <c r="Y17" s="128">
        <f>Y7+Y15</f>
        <v>1.4563054657177325E-2</v>
      </c>
      <c r="AB17" s="128">
        <f>AB7+AB15</f>
        <v>1.5654500666727855E-2</v>
      </c>
      <c r="AE17" s="128">
        <f>AE7+AE15</f>
        <v>9.7776729010673677E-3</v>
      </c>
      <c r="AH17" s="128">
        <f>AH7+AH15</f>
        <v>7.3515057646086242E-3</v>
      </c>
      <c r="AK17" s="128">
        <f>AK7+AK15</f>
        <v>1.1499947389766108E-2</v>
      </c>
      <c r="AN17" s="128">
        <f>AN7+AN15</f>
        <v>1.6499587047527967E-2</v>
      </c>
      <c r="AQ17" s="128">
        <f>AQ7+AQ15</f>
        <v>7.6064065561529028E-3</v>
      </c>
      <c r="AT17" s="128">
        <f>AT7+AT15</f>
        <v>7.595761063372744E-3</v>
      </c>
      <c r="AW17" s="128">
        <f>AW7+AW15</f>
        <v>7.0205652811976124E-3</v>
      </c>
      <c r="AZ17" s="128">
        <f>AZ7+AZ15</f>
        <v>1.6596194012126246E-2</v>
      </c>
      <c r="BC17" s="128">
        <f>BC7+BC15</f>
        <v>1.1184759673126293E-2</v>
      </c>
      <c r="BF17" s="128">
        <f>BF7+BF15</f>
        <v>1.2934983641411091E-2</v>
      </c>
      <c r="BI17" s="128">
        <f>BI7+BI15</f>
        <v>1.8829906474821828E-2</v>
      </c>
      <c r="BL17" s="128">
        <f>BL7+BL15</f>
        <v>1.1671269857063975E-2</v>
      </c>
      <c r="BO17" s="128">
        <f>BO7+BO15</f>
        <v>9.2720517157910357E-3</v>
      </c>
      <c r="BR17" s="128">
        <f>BR7+BR15</f>
        <v>1.7128103797976742E-2</v>
      </c>
      <c r="BU17" s="128">
        <f>BU7+BU15</f>
        <v>1.2683872589543923E-2</v>
      </c>
      <c r="BW17" s="6" t="s">
        <v>68</v>
      </c>
      <c r="BX17" s="24">
        <f>AVERAGE(BX3:BX6,BX11:BX14)</f>
        <v>1.1150750971479821E-2</v>
      </c>
      <c r="BY17" s="2"/>
      <c r="BZ17" s="6" t="s">
        <v>68</v>
      </c>
      <c r="CA17" s="24">
        <f>AVERAGE(CA3:CA6,CA11:CA14)</f>
        <v>1.7872038609222429E-2</v>
      </c>
      <c r="CB17" s="2"/>
      <c r="CC17" s="6" t="s">
        <v>68</v>
      </c>
      <c r="CD17" s="24">
        <f>AVERAGE(CD3:CD6,CD11:CD14)</f>
        <v>1.5419460696934624E-2</v>
      </c>
    </row>
    <row r="18" spans="1:82" x14ac:dyDescent="0.35">
      <c r="D18" s="2"/>
      <c r="BW18" s="6"/>
      <c r="BX18" s="24"/>
      <c r="BY18" s="2"/>
      <c r="BZ18" s="6"/>
      <c r="CA18" s="24"/>
      <c r="CB18" s="2"/>
      <c r="CC18" s="6"/>
      <c r="CD18" s="24"/>
    </row>
    <row r="19" spans="1:82" x14ac:dyDescent="0.35">
      <c r="BV19" s="6"/>
      <c r="BW19" s="6"/>
      <c r="BX19" s="6"/>
    </row>
    <row r="20" spans="1:82" x14ac:dyDescent="0.35">
      <c r="BV20" s="60"/>
      <c r="BX20" s="60"/>
    </row>
    <row r="21" spans="1:82" x14ac:dyDescent="0.35">
      <c r="A21" s="1" t="s">
        <v>21</v>
      </c>
      <c r="BW21" s="2"/>
      <c r="BY21" s="2"/>
    </row>
    <row r="22" spans="1:82" x14ac:dyDescent="0.35">
      <c r="A22" s="1" t="s">
        <v>67</v>
      </c>
      <c r="BM22" s="2"/>
      <c r="BN22" s="2"/>
      <c r="BO22" s="2"/>
      <c r="BP22" s="2"/>
      <c r="BQ22" s="2"/>
      <c r="BR22" s="2"/>
      <c r="BS22" s="2"/>
      <c r="BT22" s="2"/>
      <c r="BU22" s="2"/>
      <c r="BV22" s="60"/>
      <c r="BX22" s="60"/>
    </row>
    <row r="23" spans="1:82" x14ac:dyDescent="0.35">
      <c r="A23" s="1" t="s">
        <v>27</v>
      </c>
      <c r="BM23" s="2"/>
      <c r="BN23" s="2"/>
      <c r="BO23" s="2"/>
      <c r="BP23" s="2"/>
      <c r="BQ23" s="2"/>
      <c r="BR23" s="2"/>
      <c r="BS23" s="2"/>
      <c r="BT23" s="2"/>
      <c r="BU23" s="2"/>
      <c r="BV23" s="60"/>
      <c r="BX23" s="60"/>
    </row>
    <row r="24" spans="1:82" x14ac:dyDescent="0.35">
      <c r="A24" s="1" t="s">
        <v>28</v>
      </c>
    </row>
  </sheetData>
  <mergeCells count="54">
    <mergeCell ref="AU1:AW1"/>
    <mergeCell ref="AX1:AZ1"/>
    <mergeCell ref="BA1:BC1"/>
    <mergeCell ref="AU9:AW9"/>
    <mergeCell ref="AX9:AZ9"/>
    <mergeCell ref="BA9:BC9"/>
    <mergeCell ref="BD9:BF9"/>
    <mergeCell ref="BG9:BI9"/>
    <mergeCell ref="BJ1:BL1"/>
    <mergeCell ref="BG1:BI1"/>
    <mergeCell ref="BD1:BF1"/>
    <mergeCell ref="BJ9:BL9"/>
    <mergeCell ref="BS1:BU1"/>
    <mergeCell ref="BS9:BU9"/>
    <mergeCell ref="BP1:BR1"/>
    <mergeCell ref="BP9:BR9"/>
    <mergeCell ref="BM1:BO1"/>
    <mergeCell ref="BM9:BO9"/>
    <mergeCell ref="BV1:BX1"/>
    <mergeCell ref="BY1:CA1"/>
    <mergeCell ref="CB1:CD1"/>
    <mergeCell ref="BV9:BX9"/>
    <mergeCell ref="BY9:CA9"/>
    <mergeCell ref="CB9:CD9"/>
    <mergeCell ref="AL1:AN1"/>
    <mergeCell ref="AO1:AQ1"/>
    <mergeCell ref="AR1:AT1"/>
    <mergeCell ref="AL9:AN9"/>
    <mergeCell ref="AO9:AQ9"/>
    <mergeCell ref="AR9:AT9"/>
    <mergeCell ref="AC1:AE1"/>
    <mergeCell ref="AF1:AH1"/>
    <mergeCell ref="AI1:AK1"/>
    <mergeCell ref="AC9:AE9"/>
    <mergeCell ref="AF9:AH9"/>
    <mergeCell ref="AI9:AK9"/>
    <mergeCell ref="Q1:S1"/>
    <mergeCell ref="T1:V1"/>
    <mergeCell ref="W1:Y1"/>
    <mergeCell ref="Z1:AB1"/>
    <mergeCell ref="Q9:S9"/>
    <mergeCell ref="T9:V9"/>
    <mergeCell ref="W9:Y9"/>
    <mergeCell ref="Z9:AB9"/>
    <mergeCell ref="N1:P1"/>
    <mergeCell ref="E9:G9"/>
    <mergeCell ref="H9:J9"/>
    <mergeCell ref="K9:M9"/>
    <mergeCell ref="N9:P9"/>
    <mergeCell ref="B1:D1"/>
    <mergeCell ref="B9:D9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4841-1A5B-4F76-AB49-EEFA79F3E972}">
  <dimension ref="A1:E5"/>
  <sheetViews>
    <sheetView workbookViewId="0">
      <selection activeCell="C4" sqref="C4"/>
    </sheetView>
  </sheetViews>
  <sheetFormatPr defaultRowHeight="14.5" x14ac:dyDescent="0.35"/>
  <cols>
    <col min="2" max="2" width="16.81640625" bestFit="1" customWidth="1"/>
    <col min="3" max="3" width="16.81640625" customWidth="1"/>
    <col min="4" max="4" width="16.81640625" bestFit="1" customWidth="1"/>
    <col min="5" max="5" width="14.54296875" bestFit="1" customWidth="1"/>
  </cols>
  <sheetData>
    <row r="1" spans="1:5" x14ac:dyDescent="0.35">
      <c r="A1" s="1"/>
      <c r="B1" s="6" t="s">
        <v>70</v>
      </c>
      <c r="C1" s="6"/>
      <c r="D1" s="6" t="s">
        <v>71</v>
      </c>
    </row>
    <row r="2" spans="1:5" x14ac:dyDescent="0.35">
      <c r="A2" s="1"/>
      <c r="B2" s="60">
        <v>292150000</v>
      </c>
      <c r="C2" s="60"/>
      <c r="D2" s="60">
        <v>286380000</v>
      </c>
    </row>
    <row r="3" spans="1:5" x14ac:dyDescent="0.35">
      <c r="A3" s="1"/>
      <c r="B3" s="1"/>
      <c r="C3" s="1"/>
      <c r="D3" s="1"/>
    </row>
    <row r="4" spans="1:5" x14ac:dyDescent="0.35">
      <c r="A4" s="2" t="s">
        <v>72</v>
      </c>
      <c r="B4" s="60">
        <v>5265170.0667680288</v>
      </c>
      <c r="C4" s="60">
        <f>B4/12</f>
        <v>438764.17223066906</v>
      </c>
      <c r="D4" s="60">
        <v>5161182.2821188709</v>
      </c>
      <c r="E4" s="113">
        <f>D4/12</f>
        <v>430098.52350990591</v>
      </c>
    </row>
    <row r="5" spans="1:5" x14ac:dyDescent="0.35">
      <c r="A5" s="2" t="s">
        <v>73</v>
      </c>
      <c r="B5" s="60">
        <v>19080663.266565304</v>
      </c>
      <c r="C5" s="60">
        <f>B5/12</f>
        <v>1590055.2722137754</v>
      </c>
      <c r="D5" s="60">
        <v>18703817.717881128</v>
      </c>
      <c r="E5" s="113">
        <f>D5/12</f>
        <v>1558651.4764900941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175B7-5892-4F35-8CE9-284057B4B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F3D89-7977-4060-8899-C5387B7376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C44752-7D2A-4D7C-96B4-342E6D10A772}"/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of Generation Q3</vt:lpstr>
      <vt:lpstr>O&amp;M Q3</vt:lpstr>
      <vt:lpstr>O&amp;M (PREB)</vt:lpstr>
      <vt:lpstr>O&amp;M (detailed)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Jan C Rodriguez Velazquez</cp:lastModifiedBy>
  <cp:revision/>
  <dcterms:created xsi:type="dcterms:W3CDTF">2025-10-15T19:23:34Z</dcterms:created>
  <dcterms:modified xsi:type="dcterms:W3CDTF">2026-04-16T19:14:06Z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