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diaz\Downloads\"/>
    </mc:Choice>
  </mc:AlternateContent>
  <xr:revisionPtr revIDLastSave="0" documentId="8_{2D0208E1-2A07-4223-B310-566A6D2825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PIs 2026" sheetId="2" r:id="rId1"/>
    <sheet name="FY2026" sheetId="4" r:id="rId2"/>
  </sheets>
  <externalReferences>
    <externalReference r:id="rId3"/>
  </externalReferences>
  <definedNames>
    <definedName name="_xlnm._FilterDatabase" localSheetId="0" hidden="1">'KPIs 2026'!#REF!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2" l="1"/>
  <c r="O45" i="2" s="1"/>
  <c r="P45" i="2" s="1"/>
  <c r="Q45" i="2" s="1"/>
  <c r="R45" i="2" s="1"/>
  <c r="S45" i="2" s="1"/>
  <c r="T45" i="2" s="1"/>
  <c r="U45" i="2" s="1"/>
  <c r="V45" i="2" s="1"/>
  <c r="W45" i="2" s="1"/>
  <c r="X45" i="2" s="1"/>
  <c r="M45" i="2"/>
  <c r="L45" i="2"/>
  <c r="L9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L59" i="2"/>
  <c r="X59" i="2"/>
  <c r="W59" i="2"/>
  <c r="V59" i="2"/>
  <c r="U59" i="2"/>
  <c r="T59" i="2"/>
  <c r="S59" i="2"/>
  <c r="R59" i="2"/>
  <c r="Q59" i="2"/>
  <c r="P59" i="2"/>
  <c r="O59" i="2"/>
  <c r="N59" i="2"/>
  <c r="M59" i="2"/>
  <c r="L47" i="2"/>
  <c r="M47" i="2" s="1"/>
  <c r="N47" i="2" s="1"/>
  <c r="O47" i="2" s="1"/>
  <c r="P47" i="2" s="1"/>
  <c r="Q47" i="2" s="1"/>
  <c r="R47" i="2" s="1"/>
  <c r="S47" i="2" s="1"/>
  <c r="T47" i="2" s="1"/>
  <c r="U47" i="2" s="1"/>
  <c r="V47" i="2" s="1"/>
  <c r="W47" i="2" s="1"/>
  <c r="X47" i="2" s="1"/>
  <c r="N23" i="2"/>
  <c r="O23" i="2"/>
  <c r="P23" i="2"/>
  <c r="Q23" i="2"/>
  <c r="R23" i="2"/>
  <c r="S23" i="2"/>
  <c r="T23" i="2"/>
  <c r="U23" i="2"/>
  <c r="V23" i="2"/>
  <c r="W23" i="2"/>
  <c r="X23" i="2"/>
  <c r="M23" i="2"/>
  <c r="X11" i="2"/>
  <c r="W11" i="2"/>
  <c r="V11" i="2"/>
  <c r="U11" i="2"/>
  <c r="T11" i="2"/>
  <c r="S11" i="2"/>
  <c r="R11" i="2"/>
  <c r="Q11" i="2"/>
  <c r="P11" i="2"/>
  <c r="O11" i="2"/>
  <c r="N11" i="2"/>
  <c r="M11" i="2"/>
  <c r="L23" i="2" l="1"/>
  <c r="K37" i="4" l="1"/>
  <c r="J37" i="4"/>
  <c r="J14" i="4"/>
  <c r="K14" i="4"/>
  <c r="L14" i="4"/>
  <c r="X21" i="2" l="1"/>
  <c r="W21" i="2"/>
  <c r="V21" i="2"/>
  <c r="U21" i="2"/>
  <c r="T21" i="2"/>
  <c r="S21" i="2"/>
  <c r="R21" i="2"/>
  <c r="Q21" i="2"/>
  <c r="P21" i="2"/>
  <c r="O21" i="2"/>
  <c r="N21" i="2"/>
  <c r="M21" i="2"/>
  <c r="R9" i="2"/>
  <c r="Q41" i="4"/>
  <c r="T9" i="2" l="1"/>
  <c r="S9" i="2"/>
  <c r="U9" i="2"/>
  <c r="V9" i="2"/>
  <c r="M9" i="2"/>
  <c r="X9" i="2"/>
  <c r="O9" i="2"/>
  <c r="W9" i="2"/>
  <c r="N9" i="2"/>
  <c r="Q9" i="2"/>
  <c r="P9" i="2"/>
  <c r="L21" i="2"/>
  <c r="L68" i="2"/>
  <c r="L48" i="2"/>
  <c r="N12" i="2"/>
  <c r="O12" i="2"/>
  <c r="P12" i="2"/>
  <c r="Q12" i="2"/>
  <c r="R12" i="2"/>
  <c r="S12" i="2"/>
  <c r="T12" i="2"/>
  <c r="U12" i="2"/>
  <c r="V12" i="2"/>
  <c r="W12" i="2"/>
  <c r="X12" i="2"/>
  <c r="M12" i="2"/>
  <c r="E11" i="4" l="1"/>
  <c r="F11" i="4"/>
  <c r="G11" i="4"/>
  <c r="H11" i="4"/>
  <c r="I11" i="4"/>
  <c r="J11" i="4"/>
  <c r="K11" i="4"/>
  <c r="L11" i="4"/>
  <c r="M11" i="4"/>
  <c r="N11" i="4"/>
  <c r="O11" i="4"/>
  <c r="D11" i="4"/>
  <c r="E39" i="4"/>
  <c r="E37" i="4"/>
  <c r="N22" i="2" s="1"/>
  <c r="N20" i="2" s="1"/>
  <c r="D39" i="4"/>
  <c r="D37" i="4"/>
  <c r="M22" i="2" s="1"/>
  <c r="M20" i="2" s="1"/>
  <c r="E25" i="4"/>
  <c r="E20" i="4"/>
  <c r="E17" i="4"/>
  <c r="E14" i="4"/>
  <c r="E8" i="4"/>
  <c r="L41" i="2"/>
  <c r="L42" i="2"/>
  <c r="L43" i="2"/>
  <c r="L44" i="2"/>
  <c r="L46" i="2"/>
  <c r="O22" i="2"/>
  <c r="O19" i="2" s="1"/>
  <c r="P22" i="2"/>
  <c r="P20" i="2" s="1"/>
  <c r="Q22" i="2"/>
  <c r="Q20" i="2" s="1"/>
  <c r="R22" i="2"/>
  <c r="R20" i="2" s="1"/>
  <c r="S22" i="2"/>
  <c r="S19" i="2" s="1"/>
  <c r="T22" i="2"/>
  <c r="U22" i="2"/>
  <c r="U19" i="2" s="1"/>
  <c r="V22" i="2"/>
  <c r="V19" i="2" s="1"/>
  <c r="W22" i="2"/>
  <c r="W19" i="2" s="1"/>
  <c r="X22" i="2"/>
  <c r="X20" i="2" s="1"/>
  <c r="N5" i="2"/>
  <c r="O5" i="2"/>
  <c r="P5" i="2"/>
  <c r="Q5" i="2"/>
  <c r="Q4" i="2" s="1"/>
  <c r="R5" i="2"/>
  <c r="S5" i="2"/>
  <c r="T5" i="2"/>
  <c r="T4" i="2" s="1"/>
  <c r="U5" i="2"/>
  <c r="U4" i="2" s="1"/>
  <c r="V5" i="2"/>
  <c r="W5" i="2"/>
  <c r="W4" i="2" s="1"/>
  <c r="X5" i="2"/>
  <c r="N6" i="2"/>
  <c r="O6" i="2"/>
  <c r="P6" i="2"/>
  <c r="Q6" i="2"/>
  <c r="R6" i="2"/>
  <c r="S6" i="2"/>
  <c r="T6" i="2"/>
  <c r="U6" i="2"/>
  <c r="V6" i="2"/>
  <c r="W6" i="2"/>
  <c r="X6" i="2"/>
  <c r="N7" i="2"/>
  <c r="O7" i="2"/>
  <c r="P7" i="2"/>
  <c r="Q7" i="2"/>
  <c r="R7" i="2"/>
  <c r="S7" i="2"/>
  <c r="T7" i="2"/>
  <c r="U7" i="2"/>
  <c r="V7" i="2"/>
  <c r="W7" i="2"/>
  <c r="X7" i="2"/>
  <c r="N8" i="2"/>
  <c r="O8" i="2"/>
  <c r="P8" i="2"/>
  <c r="Q8" i="2"/>
  <c r="R8" i="2"/>
  <c r="S8" i="2"/>
  <c r="T8" i="2"/>
  <c r="U8" i="2"/>
  <c r="V8" i="2"/>
  <c r="W8" i="2"/>
  <c r="X8" i="2"/>
  <c r="N10" i="2"/>
  <c r="O10" i="2"/>
  <c r="P10" i="2"/>
  <c r="Q10" i="2"/>
  <c r="R10" i="2"/>
  <c r="S10" i="2"/>
  <c r="T10" i="2"/>
  <c r="U10" i="2"/>
  <c r="V10" i="2"/>
  <c r="W10" i="2"/>
  <c r="X10" i="2"/>
  <c r="M10" i="2"/>
  <c r="M8" i="2"/>
  <c r="M7" i="2"/>
  <c r="M6" i="2"/>
  <c r="M5" i="2"/>
  <c r="L4" i="2"/>
  <c r="L40" i="2" s="1"/>
  <c r="X4" i="2" l="1"/>
  <c r="O4" i="2"/>
  <c r="N4" i="2"/>
  <c r="S31" i="2"/>
  <c r="S4" i="2"/>
  <c r="T34" i="2"/>
  <c r="R4" i="2"/>
  <c r="P4" i="2"/>
  <c r="V4" i="2"/>
  <c r="U31" i="2"/>
  <c r="O31" i="2"/>
  <c r="W31" i="2"/>
  <c r="V31" i="2"/>
  <c r="O20" i="2"/>
  <c r="W20" i="2"/>
  <c r="V20" i="2"/>
  <c r="T20" i="2"/>
  <c r="S20" i="2"/>
  <c r="U20" i="2"/>
  <c r="T19" i="2"/>
  <c r="T31" i="2" s="1"/>
  <c r="D8" i="4"/>
  <c r="S34" i="2"/>
  <c r="W34" i="2"/>
  <c r="O34" i="2"/>
  <c r="E33" i="4"/>
  <c r="U34" i="2"/>
  <c r="V34" i="2"/>
  <c r="N19" i="2"/>
  <c r="N31" i="2" s="1"/>
  <c r="N34" i="2"/>
  <c r="E27" i="4"/>
  <c r="N24" i="2" s="1"/>
  <c r="O57" i="2"/>
  <c r="O69" i="2" s="1"/>
  <c r="W57" i="2"/>
  <c r="W69" i="2" s="1"/>
  <c r="P57" i="2"/>
  <c r="P69" i="2" s="1"/>
  <c r="X57" i="2"/>
  <c r="Q57" i="2"/>
  <c r="Q69" i="2" s="1"/>
  <c r="R57" i="2"/>
  <c r="R69" i="2" s="1"/>
  <c r="S57" i="2"/>
  <c r="S69" i="2" s="1"/>
  <c r="R19" i="2"/>
  <c r="R31" i="2" s="1"/>
  <c r="R34" i="2"/>
  <c r="T57" i="2"/>
  <c r="T69" i="2" s="1"/>
  <c r="T58" i="2"/>
  <c r="U58" i="2"/>
  <c r="N58" i="2"/>
  <c r="V58" i="2"/>
  <c r="O58" i="2"/>
  <c r="W58" i="2"/>
  <c r="P58" i="2"/>
  <c r="X58" i="2"/>
  <c r="L58" i="2" s="1"/>
  <c r="Q19" i="2"/>
  <c r="Q31" i="2" s="1"/>
  <c r="Q34" i="2"/>
  <c r="M57" i="2"/>
  <c r="M69" i="2" s="1"/>
  <c r="N57" i="2"/>
  <c r="N69" i="2" s="1"/>
  <c r="X19" i="2"/>
  <c r="X31" i="2" s="1"/>
  <c r="X34" i="2"/>
  <c r="P19" i="2"/>
  <c r="P31" i="2" s="1"/>
  <c r="P34" i="2"/>
  <c r="M58" i="2"/>
  <c r="S58" i="2"/>
  <c r="R58" i="2"/>
  <c r="Q58" i="2"/>
  <c r="M34" i="2"/>
  <c r="V57" i="2"/>
  <c r="V69" i="2" s="1"/>
  <c r="U57" i="2"/>
  <c r="U69" i="2" s="1"/>
  <c r="L22" i="2"/>
  <c r="M19" i="2"/>
  <c r="M4" i="2"/>
  <c r="L57" i="2" l="1"/>
  <c r="X69" i="2"/>
  <c r="L69" i="2" s="1"/>
  <c r="L19" i="2"/>
  <c r="L20" i="2"/>
  <c r="R56" i="2"/>
  <c r="S56" i="2"/>
  <c r="T56" i="2"/>
  <c r="U56" i="2"/>
  <c r="N56" i="2"/>
  <c r="V56" i="2"/>
  <c r="O56" i="2"/>
  <c r="P56" i="2"/>
  <c r="Q56" i="2"/>
  <c r="W56" i="2"/>
  <c r="X56" i="2"/>
  <c r="L56" i="2" s="1"/>
  <c r="M56" i="2"/>
  <c r="U55" i="2"/>
  <c r="M55" i="2"/>
  <c r="N55" i="2"/>
  <c r="V55" i="2"/>
  <c r="O55" i="2"/>
  <c r="W55" i="2"/>
  <c r="P55" i="2"/>
  <c r="X55" i="2"/>
  <c r="L55" i="2" s="1"/>
  <c r="M31" i="2"/>
  <c r="Q55" i="2"/>
  <c r="R55" i="2"/>
  <c r="T55" i="2"/>
  <c r="S55" i="2"/>
  <c r="Q39" i="4"/>
  <c r="Q37" i="4"/>
  <c r="P34" i="4"/>
  <c r="P32" i="4"/>
  <c r="V26" i="4"/>
  <c r="T26" i="4"/>
  <c r="S26" i="4"/>
  <c r="W26" i="4" s="1"/>
  <c r="Q26" i="4"/>
  <c r="P25" i="4"/>
  <c r="O25" i="4"/>
  <c r="N25" i="4"/>
  <c r="M25" i="4"/>
  <c r="L25" i="4"/>
  <c r="K25" i="4"/>
  <c r="J25" i="4"/>
  <c r="I25" i="4"/>
  <c r="H25" i="4"/>
  <c r="G25" i="4"/>
  <c r="F25" i="4"/>
  <c r="D25" i="4"/>
  <c r="V24" i="4"/>
  <c r="U24" i="4"/>
  <c r="T24" i="4"/>
  <c r="S24" i="4"/>
  <c r="Q24" i="4"/>
  <c r="V23" i="4"/>
  <c r="U23" i="4"/>
  <c r="T23" i="4"/>
  <c r="S23" i="4"/>
  <c r="Q23" i="4"/>
  <c r="V22" i="4"/>
  <c r="U22" i="4"/>
  <c r="T22" i="4"/>
  <c r="S22" i="4"/>
  <c r="Q22" i="4"/>
  <c r="V21" i="4"/>
  <c r="T21" i="4"/>
  <c r="S21" i="4"/>
  <c r="Q21" i="4"/>
  <c r="O20" i="4"/>
  <c r="O34" i="4" s="1"/>
  <c r="N20" i="4"/>
  <c r="N34" i="4" s="1"/>
  <c r="M20" i="4"/>
  <c r="M34" i="4" s="1"/>
  <c r="L20" i="4"/>
  <c r="L34" i="4" s="1"/>
  <c r="K20" i="4"/>
  <c r="K34" i="4" s="1"/>
  <c r="J20" i="4"/>
  <c r="J34" i="4" s="1"/>
  <c r="I20" i="4"/>
  <c r="I34" i="4" s="1"/>
  <c r="H20" i="4"/>
  <c r="H34" i="4" s="1"/>
  <c r="G20" i="4"/>
  <c r="G34" i="4" s="1"/>
  <c r="F20" i="4"/>
  <c r="F34" i="4" s="1"/>
  <c r="E34" i="4"/>
  <c r="N18" i="2" s="1"/>
  <c r="N30" i="2" s="1"/>
  <c r="D20" i="4"/>
  <c r="V19" i="4"/>
  <c r="U19" i="4"/>
  <c r="T19" i="4"/>
  <c r="S19" i="4"/>
  <c r="Q19" i="4"/>
  <c r="V18" i="4"/>
  <c r="T18" i="4"/>
  <c r="S18" i="4"/>
  <c r="Q18" i="4"/>
  <c r="O17" i="4"/>
  <c r="N17" i="4"/>
  <c r="M17" i="4"/>
  <c r="L17" i="4"/>
  <c r="K17" i="4"/>
  <c r="J17" i="4"/>
  <c r="I17" i="4"/>
  <c r="H17" i="4"/>
  <c r="G17" i="4"/>
  <c r="F17" i="4"/>
  <c r="D17" i="4"/>
  <c r="V16" i="4"/>
  <c r="U16" i="4"/>
  <c r="T16" i="4"/>
  <c r="S16" i="4"/>
  <c r="Q16" i="4"/>
  <c r="V15" i="4"/>
  <c r="T15" i="4"/>
  <c r="S15" i="4"/>
  <c r="Q15" i="4"/>
  <c r="P14" i="4"/>
  <c r="O14" i="4"/>
  <c r="N14" i="4"/>
  <c r="M14" i="4"/>
  <c r="I14" i="4"/>
  <c r="H14" i="4"/>
  <c r="G14" i="4"/>
  <c r="F14" i="4"/>
  <c r="D14" i="4"/>
  <c r="S14" i="4" s="1"/>
  <c r="V13" i="4"/>
  <c r="U13" i="4"/>
  <c r="T13" i="4"/>
  <c r="S13" i="4"/>
  <c r="Q13" i="4"/>
  <c r="V12" i="4"/>
  <c r="T12" i="4"/>
  <c r="S12" i="4"/>
  <c r="Q12" i="4"/>
  <c r="V10" i="4"/>
  <c r="U10" i="4"/>
  <c r="T10" i="4"/>
  <c r="S10" i="4"/>
  <c r="Q10" i="4"/>
  <c r="V9" i="4"/>
  <c r="T9" i="4"/>
  <c r="S9" i="4"/>
  <c r="Q9" i="4"/>
  <c r="O8" i="4"/>
  <c r="N8" i="4"/>
  <c r="M8" i="4"/>
  <c r="L8" i="4"/>
  <c r="K8" i="4"/>
  <c r="J8" i="4"/>
  <c r="I8" i="4"/>
  <c r="H8" i="4"/>
  <c r="G8" i="4"/>
  <c r="G32" i="4" s="1"/>
  <c r="F8" i="4"/>
  <c r="E32" i="4"/>
  <c r="N17" i="2" s="1"/>
  <c r="D32" i="4"/>
  <c r="M17" i="2" s="1"/>
  <c r="V7" i="4"/>
  <c r="U7" i="4"/>
  <c r="T7" i="4"/>
  <c r="S7" i="4"/>
  <c r="Q7" i="4"/>
  <c r="V6" i="4"/>
  <c r="U6" i="4"/>
  <c r="T6" i="4"/>
  <c r="S6" i="4"/>
  <c r="Q6" i="4"/>
  <c r="V5" i="4"/>
  <c r="U5" i="4"/>
  <c r="T5" i="4"/>
  <c r="S5" i="4"/>
  <c r="Q5" i="4"/>
  <c r="G33" i="4" l="1"/>
  <c r="W12" i="4"/>
  <c r="S20" i="4"/>
  <c r="U25" i="4"/>
  <c r="J33" i="4"/>
  <c r="S18" i="2" s="1"/>
  <c r="S30" i="2" s="1"/>
  <c r="I33" i="4"/>
  <c r="T14" i="4"/>
  <c r="W16" i="4"/>
  <c r="W10" i="4"/>
  <c r="X10" i="4" s="1"/>
  <c r="T25" i="4"/>
  <c r="V17" i="4"/>
  <c r="K33" i="4"/>
  <c r="T18" i="2" s="1"/>
  <c r="T30" i="2" s="1"/>
  <c r="S17" i="4"/>
  <c r="L27" i="4"/>
  <c r="U24" i="2" s="1"/>
  <c r="T17" i="4"/>
  <c r="L33" i="4"/>
  <c r="W7" i="4"/>
  <c r="X7" i="4" s="1"/>
  <c r="W13" i="4"/>
  <c r="X13" i="4" s="1"/>
  <c r="W9" i="4"/>
  <c r="M27" i="4"/>
  <c r="V24" i="2" s="1"/>
  <c r="F32" i="4"/>
  <c r="O17" i="2" s="1"/>
  <c r="F27" i="4"/>
  <c r="O24" i="2" s="1"/>
  <c r="N27" i="4"/>
  <c r="W24" i="2" s="1"/>
  <c r="P17" i="2"/>
  <c r="P29" i="2" s="1"/>
  <c r="G27" i="4"/>
  <c r="P24" i="2" s="1"/>
  <c r="O32" i="4"/>
  <c r="X17" i="2" s="1"/>
  <c r="X29" i="2" s="1"/>
  <c r="O27" i="4"/>
  <c r="X24" i="2" s="1"/>
  <c r="H27" i="4"/>
  <c r="Q24" i="2" s="1"/>
  <c r="M33" i="4"/>
  <c r="V18" i="2" s="1"/>
  <c r="V30" i="2" s="1"/>
  <c r="X26" i="4"/>
  <c r="I27" i="4"/>
  <c r="R24" i="2" s="1"/>
  <c r="F33" i="4"/>
  <c r="O18" i="2" s="1"/>
  <c r="O30" i="2" s="1"/>
  <c r="V11" i="4"/>
  <c r="N33" i="4"/>
  <c r="W18" i="2" s="1"/>
  <c r="W30" i="2" s="1"/>
  <c r="J27" i="4"/>
  <c r="S24" i="2" s="1"/>
  <c r="T11" i="4"/>
  <c r="P18" i="2"/>
  <c r="P30" i="2" s="1"/>
  <c r="O33" i="4"/>
  <c r="X18" i="2" s="1"/>
  <c r="X30" i="2" s="1"/>
  <c r="V20" i="4"/>
  <c r="V34" i="4" s="1"/>
  <c r="W23" i="4"/>
  <c r="X23" i="4" s="1"/>
  <c r="K27" i="4"/>
  <c r="T24" i="2" s="1"/>
  <c r="H33" i="4"/>
  <c r="Q18" i="2" s="1"/>
  <c r="Q30" i="2" s="1"/>
  <c r="V25" i="4"/>
  <c r="X9" i="4"/>
  <c r="W6" i="4"/>
  <c r="X6" i="4" s="1"/>
  <c r="X12" i="4"/>
  <c r="X16" i="4"/>
  <c r="W22" i="4"/>
  <c r="X22" i="4" s="1"/>
  <c r="D27" i="4"/>
  <c r="M24" i="2" s="1"/>
  <c r="D33" i="4"/>
  <c r="N16" i="2"/>
  <c r="N28" i="2" s="1"/>
  <c r="N29" i="2"/>
  <c r="V8" i="4"/>
  <c r="V32" i="4" s="1"/>
  <c r="H32" i="4"/>
  <c r="Q17" i="2" s="1"/>
  <c r="U14" i="4"/>
  <c r="W21" i="4"/>
  <c r="X21" i="4" s="1"/>
  <c r="I32" i="4"/>
  <c r="R17" i="2" s="1"/>
  <c r="W18" i="4"/>
  <c r="X18" i="4" s="1"/>
  <c r="J32" i="4"/>
  <c r="S17" i="2" s="1"/>
  <c r="U18" i="2"/>
  <c r="U30" i="2" s="1"/>
  <c r="V14" i="4"/>
  <c r="W15" i="4"/>
  <c r="X15" i="4" s="1"/>
  <c r="W24" i="4"/>
  <c r="X24" i="4" s="1"/>
  <c r="W19" i="4"/>
  <c r="X19" i="4" s="1"/>
  <c r="T20" i="4"/>
  <c r="T34" i="4" s="1"/>
  <c r="R18" i="2"/>
  <c r="R30" i="2" s="1"/>
  <c r="M53" i="2"/>
  <c r="M29" i="2"/>
  <c r="N53" i="2"/>
  <c r="W5" i="4"/>
  <c r="X5" i="4" s="1"/>
  <c r="S34" i="4"/>
  <c r="U11" i="4"/>
  <c r="U20" i="4"/>
  <c r="U34" i="4" s="1"/>
  <c r="K32" i="4"/>
  <c r="T17" i="2" s="1"/>
  <c r="Q25" i="4"/>
  <c r="L32" i="4"/>
  <c r="U17" i="2" s="1"/>
  <c r="Q8" i="4"/>
  <c r="Q11" i="4"/>
  <c r="S25" i="4"/>
  <c r="M32" i="4"/>
  <c r="V17" i="2" s="1"/>
  <c r="S8" i="4"/>
  <c r="S11" i="4"/>
  <c r="Q14" i="4"/>
  <c r="Q17" i="4"/>
  <c r="Q20" i="4"/>
  <c r="N32" i="4"/>
  <c r="W17" i="2" s="1"/>
  <c r="U8" i="4"/>
  <c r="U32" i="4" s="1"/>
  <c r="U17" i="4"/>
  <c r="D34" i="4"/>
  <c r="T8" i="4"/>
  <c r="T32" i="4" s="1"/>
  <c r="U33" i="4" l="1"/>
  <c r="V33" i="4"/>
  <c r="M60" i="2"/>
  <c r="L24" i="2"/>
  <c r="W17" i="4"/>
  <c r="X17" i="4" s="1"/>
  <c r="T33" i="4"/>
  <c r="S33" i="4"/>
  <c r="P53" i="2"/>
  <c r="T27" i="4"/>
  <c r="U27" i="4"/>
  <c r="V27" i="4"/>
  <c r="O53" i="2"/>
  <c r="W25" i="4"/>
  <c r="X25" i="4" s="1"/>
  <c r="O29" i="2"/>
  <c r="W14" i="4"/>
  <c r="X14" i="4" s="1"/>
  <c r="Q33" i="4"/>
  <c r="S16" i="2"/>
  <c r="S28" i="2" s="1"/>
  <c r="S29" i="2"/>
  <c r="T16" i="2"/>
  <c r="T28" i="2" s="1"/>
  <c r="T29" i="2"/>
  <c r="W53" i="2"/>
  <c r="X16" i="2"/>
  <c r="X28" i="2" s="1"/>
  <c r="V16" i="2"/>
  <c r="V28" i="2" s="1"/>
  <c r="V29" i="2"/>
  <c r="U53" i="2"/>
  <c r="V53" i="2"/>
  <c r="P16" i="2"/>
  <c r="P28" i="2" s="1"/>
  <c r="W16" i="2"/>
  <c r="W28" i="2" s="1"/>
  <c r="W29" i="2"/>
  <c r="T53" i="2"/>
  <c r="Q16" i="2"/>
  <c r="Q28" i="2" s="1"/>
  <c r="Q29" i="2"/>
  <c r="L17" i="2"/>
  <c r="S53" i="2"/>
  <c r="O16" i="2"/>
  <c r="O28" i="2" s="1"/>
  <c r="U29" i="2"/>
  <c r="U16" i="2"/>
  <c r="U28" i="2" s="1"/>
  <c r="R53" i="2"/>
  <c r="Q53" i="2"/>
  <c r="R16" i="2"/>
  <c r="R28" i="2" s="1"/>
  <c r="R29" i="2"/>
  <c r="X53" i="2"/>
  <c r="L53" i="2" s="1"/>
  <c r="M18" i="2"/>
  <c r="W11" i="4"/>
  <c r="S32" i="4"/>
  <c r="W8" i="4"/>
  <c r="W32" i="4" s="1"/>
  <c r="Q34" i="4"/>
  <c r="W20" i="4"/>
  <c r="W34" i="4" s="1"/>
  <c r="Q32" i="4"/>
  <c r="S27" i="4"/>
  <c r="Q27" i="4"/>
  <c r="M72" i="2" l="1"/>
  <c r="N60" i="2"/>
  <c r="W33" i="4"/>
  <c r="W27" i="4"/>
  <c r="X27" i="4" s="1"/>
  <c r="X11" i="4"/>
  <c r="X20" i="4"/>
  <c r="M30" i="2"/>
  <c r="S54" i="2"/>
  <c r="T54" i="2"/>
  <c r="L18" i="2"/>
  <c r="L16" i="2" s="1"/>
  <c r="U54" i="2"/>
  <c r="O54" i="2"/>
  <c r="N54" i="2"/>
  <c r="W54" i="2"/>
  <c r="P54" i="2"/>
  <c r="X54" i="2"/>
  <c r="L54" i="2" s="1"/>
  <c r="R54" i="2"/>
  <c r="V54" i="2"/>
  <c r="M16" i="2"/>
  <c r="P52" i="2" s="1"/>
  <c r="Q54" i="2"/>
  <c r="M54" i="2"/>
  <c r="X8" i="4"/>
  <c r="N72" i="2" l="1"/>
  <c r="O60" i="2"/>
  <c r="Q52" i="2"/>
  <c r="W52" i="2"/>
  <c r="R52" i="2"/>
  <c r="S52" i="2"/>
  <c r="M28" i="2"/>
  <c r="T52" i="2"/>
  <c r="M52" i="2"/>
  <c r="X52" i="2"/>
  <c r="L52" i="2" s="1"/>
  <c r="U52" i="2"/>
  <c r="N52" i="2"/>
  <c r="O52" i="2"/>
  <c r="V52" i="2"/>
  <c r="O72" i="2" l="1"/>
  <c r="P60" i="2"/>
  <c r="M44" i="2"/>
  <c r="N44" i="2" s="1"/>
  <c r="O44" i="2" s="1"/>
  <c r="P44" i="2" s="1"/>
  <c r="Q44" i="2" s="1"/>
  <c r="R44" i="2" s="1"/>
  <c r="S44" i="2" s="1"/>
  <c r="T44" i="2" s="1"/>
  <c r="U44" i="2" s="1"/>
  <c r="V44" i="2" s="1"/>
  <c r="W44" i="2" s="1"/>
  <c r="X44" i="2" s="1"/>
  <c r="M42" i="2"/>
  <c r="M66" i="2" s="1"/>
  <c r="M43" i="2"/>
  <c r="M67" i="2" s="1"/>
  <c r="M41" i="2"/>
  <c r="M65" i="2" s="1"/>
  <c r="M40" i="2"/>
  <c r="M64" i="2" s="1"/>
  <c r="M46" i="2"/>
  <c r="M70" i="2" s="1"/>
  <c r="Q60" i="2" l="1"/>
  <c r="R60" i="2" s="1"/>
  <c r="P72" i="2"/>
  <c r="N40" i="2"/>
  <c r="O40" i="2" s="1"/>
  <c r="O64" i="2" s="1"/>
  <c r="N43" i="2"/>
  <c r="N67" i="2" s="1"/>
  <c r="N42" i="2"/>
  <c r="O42" i="2" s="1"/>
  <c r="N46" i="2"/>
  <c r="P40" i="2"/>
  <c r="Q40" i="2" s="1"/>
  <c r="Q64" i="2" s="1"/>
  <c r="N41" i="2"/>
  <c r="O43" i="2" l="1"/>
  <c r="P43" i="2" s="1"/>
  <c r="Q43" i="2" s="1"/>
  <c r="N64" i="2"/>
  <c r="R40" i="2"/>
  <c r="S40" i="2" s="1"/>
  <c r="Q72" i="2"/>
  <c r="P64" i="2"/>
  <c r="N66" i="2"/>
  <c r="N70" i="2"/>
  <c r="O46" i="2"/>
  <c r="O41" i="2"/>
  <c r="N65" i="2"/>
  <c r="P42" i="2"/>
  <c r="O66" i="2"/>
  <c r="P67" i="2"/>
  <c r="R64" i="2" l="1"/>
  <c r="O67" i="2"/>
  <c r="S60" i="2"/>
  <c r="R72" i="2"/>
  <c r="O70" i="2"/>
  <c r="P46" i="2"/>
  <c r="O65" i="2"/>
  <c r="P41" i="2"/>
  <c r="T40" i="2"/>
  <c r="S64" i="2"/>
  <c r="Q67" i="2"/>
  <c r="R43" i="2"/>
  <c r="P66" i="2"/>
  <c r="Q42" i="2"/>
  <c r="T60" i="2" l="1"/>
  <c r="S72" i="2"/>
  <c r="P70" i="2"/>
  <c r="Q46" i="2"/>
  <c r="P65" i="2"/>
  <c r="Q41" i="2"/>
  <c r="R67" i="2"/>
  <c r="S43" i="2"/>
  <c r="T64" i="2"/>
  <c r="U40" i="2"/>
  <c r="R42" i="2"/>
  <c r="Q66" i="2"/>
  <c r="U60" i="2" l="1"/>
  <c r="T72" i="2"/>
  <c r="R46" i="2"/>
  <c r="Q70" i="2"/>
  <c r="Q65" i="2"/>
  <c r="R41" i="2"/>
  <c r="S42" i="2"/>
  <c r="R66" i="2"/>
  <c r="V40" i="2"/>
  <c r="U64" i="2"/>
  <c r="T43" i="2"/>
  <c r="S67" i="2"/>
  <c r="V60" i="2" l="1"/>
  <c r="U72" i="2"/>
  <c r="S46" i="2"/>
  <c r="R70" i="2"/>
  <c r="R65" i="2"/>
  <c r="S41" i="2"/>
  <c r="U43" i="2"/>
  <c r="T67" i="2"/>
  <c r="V64" i="2"/>
  <c r="W40" i="2"/>
  <c r="S66" i="2"/>
  <c r="T42" i="2"/>
  <c r="W60" i="2" l="1"/>
  <c r="V72" i="2"/>
  <c r="T46" i="2"/>
  <c r="S70" i="2"/>
  <c r="S65" i="2"/>
  <c r="T41" i="2"/>
  <c r="W64" i="2"/>
  <c r="X40" i="2"/>
  <c r="X64" i="2" s="1"/>
  <c r="L64" i="2" s="1"/>
  <c r="T66" i="2"/>
  <c r="U42" i="2"/>
  <c r="U67" i="2"/>
  <c r="V43" i="2"/>
  <c r="X60" i="2" l="1"/>
  <c r="W72" i="2"/>
  <c r="U46" i="2"/>
  <c r="T70" i="2"/>
  <c r="U41" i="2"/>
  <c r="T65" i="2"/>
  <c r="U66" i="2"/>
  <c r="V42" i="2"/>
  <c r="V67" i="2"/>
  <c r="W43" i="2"/>
  <c r="L60" i="2" l="1"/>
  <c r="X72" i="2"/>
  <c r="L72" i="2" s="1"/>
  <c r="U70" i="2"/>
  <c r="V46" i="2"/>
  <c r="V41" i="2"/>
  <c r="U65" i="2"/>
  <c r="W67" i="2"/>
  <c r="X43" i="2"/>
  <c r="X67" i="2" s="1"/>
  <c r="L67" i="2" s="1"/>
  <c r="W42" i="2"/>
  <c r="V66" i="2"/>
  <c r="V70" i="2" l="1"/>
  <c r="W46" i="2"/>
  <c r="W41" i="2"/>
  <c r="V65" i="2"/>
  <c r="X42" i="2"/>
  <c r="X66" i="2" s="1"/>
  <c r="L66" i="2" s="1"/>
  <c r="W66" i="2"/>
  <c r="W70" i="2" l="1"/>
  <c r="X46" i="2"/>
  <c r="X70" i="2" s="1"/>
  <c r="L70" i="2" s="1"/>
  <c r="W65" i="2"/>
  <c r="X41" i="2"/>
  <c r="X65" i="2" s="1"/>
  <c r="L65" i="2" s="1"/>
</calcChain>
</file>

<file path=xl/sharedStrings.xml><?xml version="1.0" encoding="utf-8"?>
<sst xmlns="http://schemas.openxmlformats.org/spreadsheetml/2006/main" count="352" uniqueCount="69">
  <si>
    <t>KOE</t>
  </si>
  <si>
    <t>TOTAL</t>
  </si>
  <si>
    <t>Overtime</t>
  </si>
  <si>
    <t>Benefits</t>
  </si>
  <si>
    <t>Finance</t>
  </si>
  <si>
    <t>NME</t>
  </si>
  <si>
    <t>MONTHLY</t>
  </si>
  <si>
    <t>BUDGET</t>
  </si>
  <si>
    <t>Reported by</t>
  </si>
  <si>
    <t>Metric Category</t>
  </si>
  <si>
    <t>Metric</t>
  </si>
  <si>
    <t>Sub-Group</t>
  </si>
  <si>
    <t>Unit of Measure</t>
  </si>
  <si>
    <t>Genera PR</t>
  </si>
  <si>
    <t>Operational expenses vs. budget (FYTD)</t>
  </si>
  <si>
    <t>System</t>
  </si>
  <si>
    <t>Percentage</t>
  </si>
  <si>
    <t>Labor</t>
  </si>
  <si>
    <t>Non-Labor</t>
  </si>
  <si>
    <t>Capital expenses vs. budget (FYTD)</t>
  </si>
  <si>
    <t>Federally funded</t>
  </si>
  <si>
    <t>Non-federally funded</t>
  </si>
  <si>
    <t>ACTUAL</t>
  </si>
  <si>
    <t>%</t>
  </si>
  <si>
    <t>YTD</t>
  </si>
  <si>
    <t>725 BY MONTH</t>
  </si>
  <si>
    <t>KOE Description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</si>
  <si>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</si>
  <si>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</si>
  <si>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</si>
  <si>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</si>
  <si>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</si>
  <si>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</si>
  <si>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</si>
  <si>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</si>
  <si>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</si>
  <si>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</si>
  <si>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</si>
  <si>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</si>
  <si>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Q1</t>
  </si>
  <si>
    <t>Q2</t>
  </si>
  <si>
    <t>Q3</t>
  </si>
  <si>
    <t>Q4</t>
  </si>
  <si>
    <t>Basic Salary</t>
  </si>
  <si>
    <t>SALARIES PAYROLL</t>
  </si>
  <si>
    <t>Materials and Supplies</t>
  </si>
  <si>
    <t>MATERIALS AND SUPPLIES</t>
  </si>
  <si>
    <t>Security Services</t>
  </si>
  <si>
    <t>SECURITY SERVICES</t>
  </si>
  <si>
    <t>TRANSPORTATION AUTHORIRTY</t>
  </si>
  <si>
    <t>General Miscellaneous Expenses</t>
  </si>
  <si>
    <t>GENERAL MISCELLANEOUS EXPENSES</t>
  </si>
  <si>
    <t>Water, Light, Power</t>
  </si>
  <si>
    <t>Technical and Professional Services</t>
  </si>
  <si>
    <t>Miscellaneous Div Expenses</t>
  </si>
  <si>
    <t>MISCELLANEOUS EXPENSES</t>
  </si>
  <si>
    <t>FOR B2A</t>
  </si>
  <si>
    <t>Non Labor</t>
  </si>
  <si>
    <t>Shared</t>
  </si>
  <si>
    <t>TOTAL NON-FEDERAL (NME)</t>
  </si>
  <si>
    <t>Generation Maintenance Reserve Fund</t>
  </si>
  <si>
    <t>FEDERAL PROJECTS</t>
  </si>
  <si>
    <t>2025 - 2026</t>
  </si>
  <si>
    <t>FY2026</t>
  </si>
  <si>
    <t>260/240/300</t>
  </si>
  <si>
    <t>Land Transportation, Per diem and Traveling Expenses</t>
  </si>
  <si>
    <t>500/510</t>
  </si>
  <si>
    <t>Operation Cost Efficiency</t>
  </si>
  <si>
    <t>Maintenance reserve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</si>
</sst>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2"/>
      <name val="Times New Roman"/>
      <family val="1"/>
    </font>
    <font>
      <sz val="12"/>
      <color theme="1"/>
      <name val="Arial"/>
      <family val="2"/>
    </font>
    <font>
      <sz val="14"/>
      <color theme="1"/>
      <name val="Aptos Display"/>
      <family val="2"/>
      <scheme val="major"/>
    </font>
    <font>
      <sz val="14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b/>
      <sz val="16"/>
      <name val="Aptos Display"/>
      <family val="2"/>
      <scheme val="major"/>
    </font>
    <font>
      <sz val="16"/>
      <color rgb="FF000000"/>
      <name val="Aptos Display"/>
      <family val="2"/>
      <scheme val="major"/>
    </font>
    <font>
      <sz val="16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b/>
      <sz val="14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b/>
      <sz val="26"/>
      <color rgb="FFFF0000"/>
      <name val="Aptos Display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3C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/>
    <xf numFmtId="9" fontId="1" fillId="0" borderId="0" applyFont="0" applyFill="0" applyBorder="0" applyAlignment="0" applyProtection="0"/>
    <xf numFmtId="0" fontId="6" fillId="0" borderId="0"/>
  </cellStyleXfs>
  <cellXfs count="146">
    <xf numFmtId="0" fontId="0" fillId="0" borderId="0" xfId="0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right"/>
    </xf>
    <xf numFmtId="164" fontId="0" fillId="2" borderId="0" xfId="1" applyNumberFormat="1" applyFont="1" applyFill="1"/>
    <xf numFmtId="164" fontId="3" fillId="2" borderId="0" xfId="1" applyNumberFormat="1" applyFont="1" applyFill="1"/>
    <xf numFmtId="164" fontId="3" fillId="2" borderId="2" xfId="1" applyNumberFormat="1" applyFont="1" applyFill="1" applyBorder="1"/>
    <xf numFmtId="0" fontId="2" fillId="2" borderId="0" xfId="0" applyFont="1" applyFill="1"/>
    <xf numFmtId="0" fontId="0" fillId="2" borderId="0" xfId="0" applyFill="1"/>
    <xf numFmtId="164" fontId="0" fillId="0" borderId="0" xfId="1" applyNumberFormat="1" applyFont="1"/>
    <xf numFmtId="164" fontId="4" fillId="2" borderId="0" xfId="1" applyNumberFormat="1" applyFont="1" applyFill="1"/>
    <xf numFmtId="43" fontId="0" fillId="2" borderId="0" xfId="1" applyFont="1" applyFill="1"/>
    <xf numFmtId="43" fontId="3" fillId="2" borderId="0" xfId="1" applyFont="1" applyFill="1"/>
    <xf numFmtId="43" fontId="3" fillId="2" borderId="2" xfId="1" applyFont="1" applyFill="1" applyBorder="1"/>
    <xf numFmtId="43" fontId="0" fillId="0" borderId="0" xfId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3" applyFont="1" applyAlignment="1">
      <alignment horizontal="center"/>
    </xf>
    <xf numFmtId="164" fontId="7" fillId="0" borderId="18" xfId="1" applyNumberFormat="1" applyFont="1" applyBorder="1" applyAlignment="1">
      <alignment horizontal="center"/>
    </xf>
    <xf numFmtId="164" fontId="7" fillId="0" borderId="14" xfId="1" applyNumberFormat="1" applyFont="1" applyBorder="1" applyAlignment="1">
      <alignment horizontal="center"/>
    </xf>
    <xf numFmtId="164" fontId="2" fillId="2" borderId="0" xfId="1" applyNumberFormat="1" applyFont="1" applyFill="1"/>
    <xf numFmtId="43" fontId="3" fillId="2" borderId="0" xfId="1" applyFont="1" applyFill="1" applyAlignment="1">
      <alignment horizontal="center" vertical="center"/>
    </xf>
    <xf numFmtId="43" fontId="0" fillId="0" borderId="0" xfId="1" applyFont="1" applyBorder="1"/>
    <xf numFmtId="43" fontId="3" fillId="2" borderId="0" xfId="1" applyFont="1" applyFill="1" applyBorder="1"/>
    <xf numFmtId="164" fontId="3" fillId="2" borderId="0" xfId="1" applyNumberFormat="1" applyFont="1" applyFill="1" applyBorder="1"/>
    <xf numFmtId="164" fontId="0" fillId="2" borderId="0" xfId="0" applyNumberFormat="1" applyFill="1"/>
    <xf numFmtId="0" fontId="2" fillId="2" borderId="7" xfId="0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3" xfId="0" applyFont="1" applyFill="1" applyBorder="1" applyAlignment="1">
      <alignment horizontal="right"/>
    </xf>
    <xf numFmtId="43" fontId="0" fillId="2" borderId="4" xfId="1" applyFont="1" applyFill="1" applyBorder="1"/>
    <xf numFmtId="0" fontId="2" fillId="2" borderId="8" xfId="0" applyFont="1" applyFill="1" applyBorder="1" applyAlignment="1">
      <alignment horizontal="right"/>
    </xf>
    <xf numFmtId="43" fontId="0" fillId="2" borderId="0" xfId="1" applyFont="1" applyFill="1" applyBorder="1"/>
    <xf numFmtId="43" fontId="0" fillId="2" borderId="11" xfId="1" applyFont="1" applyFill="1" applyBorder="1"/>
    <xf numFmtId="164" fontId="1" fillId="2" borderId="0" xfId="1" applyNumberFormat="1" applyFont="1" applyFill="1"/>
    <xf numFmtId="0" fontId="2" fillId="2" borderId="5" xfId="0" applyFont="1" applyFill="1" applyBorder="1" applyAlignment="1">
      <alignment horizontal="right"/>
    </xf>
    <xf numFmtId="43" fontId="0" fillId="2" borderId="6" xfId="1" applyFont="1" applyFill="1" applyBorder="1"/>
    <xf numFmtId="43" fontId="2" fillId="2" borderId="0" xfId="1" applyFont="1" applyFill="1"/>
    <xf numFmtId="164" fontId="2" fillId="2" borderId="0" xfId="0" applyNumberFormat="1" applyFont="1" applyFill="1"/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164" fontId="2" fillId="4" borderId="7" xfId="1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164" fontId="0" fillId="0" borderId="11" xfId="1" applyNumberFormat="1" applyFont="1" applyBorder="1"/>
    <xf numFmtId="164" fontId="0" fillId="0" borderId="6" xfId="1" applyNumberFormat="1" applyFont="1" applyBorder="1"/>
    <xf numFmtId="43" fontId="0" fillId="0" borderId="9" xfId="1" applyFont="1" applyBorder="1"/>
    <xf numFmtId="164" fontId="2" fillId="0" borderId="4" xfId="1" applyNumberFormat="1" applyFont="1" applyBorder="1"/>
    <xf numFmtId="164" fontId="2" fillId="0" borderId="11" xfId="1" applyNumberFormat="1" applyFont="1" applyBorder="1"/>
    <xf numFmtId="0" fontId="0" fillId="0" borderId="5" xfId="0" applyBorder="1"/>
    <xf numFmtId="43" fontId="0" fillId="0" borderId="7" xfId="1" applyFont="1" applyBorder="1"/>
    <xf numFmtId="43" fontId="4" fillId="2" borderId="0" xfId="1" applyFont="1" applyFill="1" applyBorder="1"/>
    <xf numFmtId="43" fontId="3" fillId="2" borderId="0" xfId="1" applyFont="1" applyFill="1" applyBorder="1" applyAlignment="1">
      <alignment horizontal="center" vertical="center"/>
    </xf>
    <xf numFmtId="164" fontId="7" fillId="0" borderId="18" xfId="1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10" fontId="7" fillId="0" borderId="13" xfId="2" applyNumberFormat="1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10" fontId="7" fillId="0" borderId="14" xfId="2" applyNumberFormat="1" applyFont="1" applyFill="1" applyBorder="1" applyAlignment="1">
      <alignment horizontal="center"/>
    </xf>
    <xf numFmtId="43" fontId="3" fillId="4" borderId="20" xfId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164" fontId="15" fillId="0" borderId="18" xfId="1" applyNumberFormat="1" applyFont="1" applyBorder="1" applyAlignment="1">
      <alignment horizontal="center"/>
    </xf>
    <xf numFmtId="164" fontId="15" fillId="0" borderId="13" xfId="1" applyNumberFormat="1" applyFont="1" applyBorder="1" applyAlignment="1">
      <alignment horizontal="center"/>
    </xf>
    <xf numFmtId="10" fontId="7" fillId="0" borderId="15" xfId="2" applyNumberFormat="1" applyFont="1" applyFill="1" applyBorder="1" applyAlignment="1">
      <alignment horizontal="center"/>
    </xf>
    <xf numFmtId="10" fontId="7" fillId="0" borderId="16" xfId="2" applyNumberFormat="1" applyFont="1" applyFill="1" applyBorder="1" applyAlignment="1">
      <alignment horizontal="center"/>
    </xf>
    <xf numFmtId="10" fontId="7" fillId="0" borderId="17" xfId="2" applyNumberFormat="1" applyFont="1" applyFill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1" fillId="5" borderId="13" xfId="8" applyFont="1" applyFill="1" applyBorder="1" applyAlignment="1">
      <alignment horizontal="center"/>
    </xf>
    <xf numFmtId="0" fontId="11" fillId="5" borderId="0" xfId="8" applyFont="1" applyFill="1" applyAlignment="1">
      <alignment horizontal="center"/>
    </xf>
    <xf numFmtId="0" fontId="12" fillId="5" borderId="0" xfId="8" applyFont="1" applyFill="1" applyAlignment="1">
      <alignment horizontal="center"/>
    </xf>
    <xf numFmtId="0" fontId="15" fillId="0" borderId="13" xfId="0" applyFont="1" applyBorder="1" applyAlignment="1">
      <alignment horizontal="center"/>
    </xf>
    <xf numFmtId="0" fontId="18" fillId="0" borderId="0" xfId="8" applyFont="1"/>
    <xf numFmtId="0" fontId="18" fillId="0" borderId="0" xfId="8" applyFont="1" applyAlignment="1">
      <alignment horizontal="center"/>
    </xf>
    <xf numFmtId="0" fontId="12" fillId="0" borderId="0" xfId="8" applyFont="1"/>
    <xf numFmtId="0" fontId="13" fillId="0" borderId="0" xfId="8" applyFont="1"/>
    <xf numFmtId="0" fontId="13" fillId="0" borderId="0" xfId="8" applyFont="1" applyAlignment="1">
      <alignment horizontal="center"/>
    </xf>
    <xf numFmtId="0" fontId="14" fillId="0" borderId="0" xfId="8" applyFont="1"/>
    <xf numFmtId="0" fontId="14" fillId="0" borderId="0" xfId="8" applyFont="1" applyAlignment="1">
      <alignment horizontal="left"/>
    </xf>
    <xf numFmtId="0" fontId="12" fillId="0" borderId="0" xfId="8" applyFont="1" applyAlignment="1">
      <alignment horizontal="left"/>
    </xf>
    <xf numFmtId="0" fontId="13" fillId="0" borderId="0" xfId="8" applyFont="1" applyAlignment="1">
      <alignment vertical="center"/>
    </xf>
    <xf numFmtId="0" fontId="13" fillId="0" borderId="0" xfId="8" applyFont="1" applyAlignment="1">
      <alignment horizontal="center" vertical="center"/>
    </xf>
    <xf numFmtId="0" fontId="14" fillId="0" borderId="0" xfId="8" applyFont="1" applyAlignment="1">
      <alignment vertical="center"/>
    </xf>
    <xf numFmtId="0" fontId="14" fillId="0" borderId="0" xfId="8" applyFont="1" applyAlignment="1">
      <alignment horizontal="left" vertical="center"/>
    </xf>
    <xf numFmtId="17" fontId="10" fillId="3" borderId="1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15" fillId="2" borderId="0" xfId="1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164" fontId="19" fillId="0" borderId="12" xfId="1" applyNumberFormat="1" applyFont="1" applyBorder="1" applyAlignment="1">
      <alignment horizontal="center"/>
    </xf>
    <xf numFmtId="10" fontId="15" fillId="0" borderId="13" xfId="2" applyNumberFormat="1" applyFont="1" applyBorder="1" applyAlignment="1">
      <alignment horizontal="center"/>
    </xf>
    <xf numFmtId="10" fontId="15" fillId="0" borderId="0" xfId="2" applyNumberFormat="1" applyFont="1" applyBorder="1" applyAlignment="1">
      <alignment horizontal="center"/>
    </xf>
    <xf numFmtId="10" fontId="15" fillId="0" borderId="14" xfId="2" applyNumberFormat="1" applyFont="1" applyBorder="1" applyAlignment="1">
      <alignment horizontal="center"/>
    </xf>
    <xf numFmtId="10" fontId="7" fillId="0" borderId="13" xfId="2" applyNumberFormat="1" applyFont="1" applyBorder="1" applyAlignment="1">
      <alignment horizontal="center"/>
    </xf>
    <xf numFmtId="10" fontId="7" fillId="0" borderId="0" xfId="2" applyNumberFormat="1" applyFont="1" applyBorder="1" applyAlignment="1">
      <alignment horizontal="center"/>
    </xf>
    <xf numFmtId="10" fontId="7" fillId="0" borderId="14" xfId="2" applyNumberFormat="1" applyFont="1" applyBorder="1" applyAlignment="1">
      <alignment horizontal="center"/>
    </xf>
    <xf numFmtId="164" fontId="15" fillId="0" borderId="18" xfId="1" applyNumberFormat="1" applyFont="1" applyFill="1" applyBorder="1" applyAlignment="1">
      <alignment horizontal="center"/>
    </xf>
    <xf numFmtId="164" fontId="15" fillId="0" borderId="14" xfId="1" applyNumberFormat="1" applyFont="1" applyFill="1" applyBorder="1" applyAlignment="1">
      <alignment horizontal="center"/>
    </xf>
    <xf numFmtId="164" fontId="7" fillId="0" borderId="14" xfId="1" applyNumberFormat="1" applyFont="1" applyFill="1" applyBorder="1" applyAlignment="1">
      <alignment horizontal="center"/>
    </xf>
    <xf numFmtId="164" fontId="15" fillId="2" borderId="18" xfId="1" applyNumberFormat="1" applyFont="1" applyFill="1" applyBorder="1" applyAlignment="1">
      <alignment horizontal="center"/>
    </xf>
    <xf numFmtId="164" fontId="7" fillId="2" borderId="14" xfId="1" applyNumberFormat="1" applyFont="1" applyFill="1" applyBorder="1" applyAlignment="1">
      <alignment horizontal="center"/>
    </xf>
    <xf numFmtId="164" fontId="15" fillId="2" borderId="14" xfId="1" applyNumberFormat="1" applyFont="1" applyFill="1" applyBorder="1" applyAlignment="1">
      <alignment horizontal="center"/>
    </xf>
    <xf numFmtId="164" fontId="7" fillId="2" borderId="17" xfId="1" applyNumberFormat="1" applyFont="1" applyFill="1" applyBorder="1" applyAlignment="1">
      <alignment horizontal="center"/>
    </xf>
    <xf numFmtId="164" fontId="7" fillId="2" borderId="18" xfId="1" applyNumberFormat="1" applyFont="1" applyFill="1" applyBorder="1" applyAlignment="1">
      <alignment horizontal="center"/>
    </xf>
    <xf numFmtId="164" fontId="7" fillId="2" borderId="13" xfId="1" applyNumberFormat="1" applyFont="1" applyFill="1" applyBorder="1" applyAlignment="1">
      <alignment horizontal="center"/>
    </xf>
    <xf numFmtId="10" fontId="7" fillId="6" borderId="14" xfId="2" applyNumberFormat="1" applyFont="1" applyFill="1" applyBorder="1" applyAlignment="1">
      <alignment horizontal="center"/>
    </xf>
    <xf numFmtId="10" fontId="7" fillId="0" borderId="18" xfId="2" applyNumberFormat="1" applyFont="1" applyBorder="1" applyAlignment="1">
      <alignment horizontal="center"/>
    </xf>
    <xf numFmtId="10" fontId="7" fillId="0" borderId="18" xfId="2" applyNumberFormat="1" applyFont="1" applyFill="1" applyBorder="1" applyAlignment="1">
      <alignment horizontal="center"/>
    </xf>
    <xf numFmtId="10" fontId="15" fillId="0" borderId="18" xfId="2" applyNumberFormat="1" applyFont="1" applyBorder="1" applyAlignment="1">
      <alignment horizontal="center"/>
    </xf>
    <xf numFmtId="10" fontId="7" fillId="0" borderId="19" xfId="2" applyNumberFormat="1" applyFont="1" applyFill="1" applyBorder="1" applyAlignment="1">
      <alignment horizontal="center"/>
    </xf>
    <xf numFmtId="17" fontId="10" fillId="3" borderId="26" xfId="3" applyNumberFormat="1" applyFont="1" applyFill="1" applyBorder="1" applyAlignment="1">
      <alignment horizontal="center" vertical="center"/>
    </xf>
    <xf numFmtId="17" fontId="10" fillId="3" borderId="27" xfId="3" applyNumberFormat="1" applyFont="1" applyFill="1" applyBorder="1" applyAlignment="1">
      <alignment horizontal="center" vertical="center"/>
    </xf>
    <xf numFmtId="17" fontId="10" fillId="3" borderId="28" xfId="3" applyNumberFormat="1" applyFont="1" applyFill="1" applyBorder="1" applyAlignment="1">
      <alignment horizontal="center" vertical="center"/>
    </xf>
    <xf numFmtId="17" fontId="10" fillId="3" borderId="29" xfId="3" applyNumberFormat="1" applyFont="1" applyFill="1" applyBorder="1" applyAlignment="1">
      <alignment horizontal="center" vertical="center"/>
    </xf>
    <xf numFmtId="17" fontId="10" fillId="3" borderId="30" xfId="3" applyNumberFormat="1" applyFont="1" applyFill="1" applyBorder="1" applyAlignment="1">
      <alignment horizontal="center" vertical="center"/>
    </xf>
    <xf numFmtId="10" fontId="7" fillId="0" borderId="10" xfId="2" applyNumberFormat="1" applyFont="1" applyFill="1" applyBorder="1" applyAlignment="1">
      <alignment horizontal="center"/>
    </xf>
    <xf numFmtId="10" fontId="7" fillId="6" borderId="25" xfId="2" applyNumberFormat="1" applyFont="1" applyFill="1" applyBorder="1" applyAlignment="1">
      <alignment horizontal="center"/>
    </xf>
    <xf numFmtId="164" fontId="15" fillId="0" borderId="10" xfId="1" applyNumberFormat="1" applyFont="1" applyFill="1" applyBorder="1" applyAlignment="1">
      <alignment horizontal="center"/>
    </xf>
    <xf numFmtId="164" fontId="19" fillId="0" borderId="24" xfId="1" applyNumberFormat="1" applyFont="1" applyBorder="1" applyAlignment="1">
      <alignment horizontal="center"/>
    </xf>
    <xf numFmtId="0" fontId="4" fillId="2" borderId="0" xfId="0" applyFont="1" applyFill="1" applyAlignment="1">
      <alignment horizontal="right"/>
    </xf>
    <xf numFmtId="43" fontId="0" fillId="0" borderId="9" xfId="1" applyFont="1" applyFill="1" applyBorder="1"/>
    <xf numFmtId="43" fontId="0" fillId="0" borderId="4" xfId="1" applyFont="1" applyFill="1" applyBorder="1"/>
    <xf numFmtId="43" fontId="0" fillId="0" borderId="0" xfId="1" applyFont="1" applyFill="1"/>
    <xf numFmtId="43" fontId="0" fillId="0" borderId="7" xfId="1" applyFont="1" applyFill="1" applyBorder="1"/>
    <xf numFmtId="43" fontId="0" fillId="0" borderId="6" xfId="1" applyFont="1" applyFill="1" applyBorder="1"/>
    <xf numFmtId="43" fontId="2" fillId="0" borderId="0" xfId="1" applyFont="1" applyFill="1"/>
    <xf numFmtId="43" fontId="0" fillId="0" borderId="0" xfId="1" applyFont="1" applyFill="1" applyBorder="1"/>
    <xf numFmtId="164" fontId="0" fillId="0" borderId="9" xfId="1" applyNumberFormat="1" applyFont="1" applyFill="1" applyBorder="1"/>
    <xf numFmtId="164" fontId="0" fillId="0" borderId="0" xfId="1" applyNumberFormat="1" applyFont="1" applyFill="1" applyBorder="1"/>
    <xf numFmtId="164" fontId="15" fillId="0" borderId="19" xfId="1" applyNumberFormat="1" applyFont="1" applyFill="1" applyBorder="1" applyAlignment="1">
      <alignment horizontal="center"/>
    </xf>
    <xf numFmtId="164" fontId="15" fillId="2" borderId="17" xfId="1" applyNumberFormat="1" applyFont="1" applyFill="1" applyBorder="1" applyAlignment="1">
      <alignment horizontal="center"/>
    </xf>
    <xf numFmtId="10" fontId="15" fillId="0" borderId="19" xfId="2" applyNumberFormat="1" applyFont="1" applyFill="1" applyBorder="1" applyAlignment="1">
      <alignment horizontal="center"/>
    </xf>
    <xf numFmtId="10" fontId="15" fillId="6" borderId="17" xfId="2" applyNumberFormat="1" applyFont="1" applyFill="1" applyBorder="1" applyAlignment="1">
      <alignment horizontal="center"/>
    </xf>
    <xf numFmtId="164" fontId="7" fillId="2" borderId="14" xfId="0" applyNumberFormat="1" applyFont="1" applyFill="1" applyBorder="1" applyAlignment="1">
      <alignment horizontal="center"/>
    </xf>
    <xf numFmtId="43" fontId="3" fillId="0" borderId="0" xfId="1" applyFont="1" applyFill="1" applyBorder="1"/>
    <xf numFmtId="43" fontId="16" fillId="2" borderId="21" xfId="1" applyFont="1" applyFill="1" applyBorder="1" applyAlignment="1">
      <alignment horizontal="center" wrapText="1"/>
    </xf>
    <xf numFmtId="0" fontId="16" fillId="0" borderId="22" xfId="0" applyFont="1" applyBorder="1" applyAlignment="1">
      <alignment horizontal="center" wrapText="1"/>
    </xf>
    <xf numFmtId="0" fontId="16" fillId="0" borderId="23" xfId="0" applyFont="1" applyBorder="1" applyAlignment="1">
      <alignment horizontal="center" wrapText="1"/>
    </xf>
  </cellXfs>
  <cellStyles count="9">
    <cellStyle name="Comma" xfId="1" builtinId="3"/>
    <cellStyle name="Comma 12" xfId="5" xr:uid="{A7D91FAC-AD95-43A8-81EF-C49FBE44FC4D}"/>
    <cellStyle name="Comma 2" xfId="4" xr:uid="{A452BEFF-28AD-4E63-961E-D8FB08D53F71}"/>
    <cellStyle name="Normal" xfId="0" builtinId="0"/>
    <cellStyle name="Normal 16 2" xfId="3" xr:uid="{DBD266F9-1918-4E33-828A-C8B8BBF67A97}"/>
    <cellStyle name="Normal 2 2" xfId="8" xr:uid="{9C6B2C61-9B82-44E9-9FA5-4DE6F771D414}"/>
    <cellStyle name="Normal 3 3" xfId="6" xr:uid="{2F955ED0-22AB-4E0F-BE24-F54D99668537}"/>
    <cellStyle name="Percent" xfId="2" builtinId="5"/>
    <cellStyle name="Percent 2" xfId="7" xr:uid="{D20354AD-635B-432B-9D4C-1B9DAF9CA95A}"/>
  </cellStyles>
  <dxfs count="1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540608</xdr:colOff>
      <xdr:row>49</xdr:row>
      <xdr:rowOff>115845</xdr:rowOff>
    </xdr:from>
    <xdr:to>
      <xdr:col>11</xdr:col>
      <xdr:colOff>1119831</xdr:colOff>
      <xdr:row>86</xdr:row>
      <xdr:rowOff>124961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2CB946-6785-1204-0E62-928297275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040" y="9808176"/>
          <a:ext cx="14840980" cy="71528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83b12af76bb70e6/AMR%20Strategic%20Group/Clients/Genera/Documents/08.%20B2A%20JUL%202025%2008.05.2025.xlsx" TargetMode="External"/><Relationship Id="rId1" Type="http://schemas.openxmlformats.org/officeDocument/2006/relationships/externalLinkPath" Target="https://generapr1.sharepoint.com/a83b12af76bb70e6/AMR%20Strategic%20Group/Clients/Genera/Documents/08.%20B2A%20JUL%202025%2008.05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2A YTD mgt"/>
      <sheetName val="FY2025-2026 Budget"/>
      <sheetName val="YTD Operating Expenses"/>
      <sheetName val="Re-apportionment"/>
      <sheetName val="Summary"/>
      <sheetName val="B2A as of today"/>
      <sheetName val="Pivot Operational"/>
      <sheetName val="Pivot by Dpt"/>
      <sheetName val="YTD NME"/>
      <sheetName val="YTD GMR"/>
      <sheetName val="segment names"/>
      <sheetName val="Resp Conso Names"/>
    </sheetNames>
    <sheetDataSet>
      <sheetData sheetId="0">
        <row r="45">
          <cell r="E45">
            <v>-672378.20999999973</v>
          </cell>
          <cell r="F45">
            <v>2985346.53</v>
          </cell>
        </row>
        <row r="47">
          <cell r="E47">
            <v>3885667.37</v>
          </cell>
          <cell r="F47">
            <v>-3131866.65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F1B17-E686-4801-A3F7-740B468A4A47}">
  <sheetPr codeName="Sheet1">
    <tabColor rgb="FFFF0000"/>
  </sheetPr>
  <dimension ref="A1:AB72"/>
  <sheetViews>
    <sheetView tabSelected="1" zoomScale="53" zoomScaleNormal="59" workbookViewId="0">
      <pane xSplit="8" ySplit="1" topLeftCell="I22" activePane="bottomRight" state="frozen"/>
      <selection pane="topRight" activeCell="V48" sqref="V48"/>
      <selection pane="bottomLeft" activeCell="V48" sqref="V48"/>
      <selection pane="bottomRight" activeCell="M69" sqref="M69:U69"/>
    </sheetView>
  </sheetViews>
  <sheetFormatPr defaultColWidth="8.85546875" defaultRowHeight="18.75" x14ac:dyDescent="0.3"/>
  <cols>
    <col min="1" max="3" width="11.28515625" style="20" hidden="1" customWidth="1"/>
    <col min="4" max="4" width="11.28515625" style="21" hidden="1" customWidth="1"/>
    <col min="5" max="5" width="11.28515625" style="20" customWidth="1"/>
    <col min="6" max="6" width="15.42578125" style="20" customWidth="1"/>
    <col min="7" max="7" width="30.7109375" style="20" bestFit="1" customWidth="1"/>
    <col min="8" max="8" width="27.42578125" style="20" customWidth="1"/>
    <col min="9" max="9" width="75.5703125" style="22" bestFit="1" customWidth="1"/>
    <col min="10" max="10" width="29.85546875" style="22" bestFit="1" customWidth="1"/>
    <col min="11" max="11" width="44.42578125" style="21" customWidth="1"/>
    <col min="12" max="12" width="19.140625" style="20" bestFit="1" customWidth="1"/>
    <col min="13" max="13" width="18.28515625" style="20" bestFit="1" customWidth="1"/>
    <col min="14" max="24" width="18.140625" style="20" bestFit="1" customWidth="1"/>
    <col min="25" max="16384" width="8.85546875" style="20"/>
  </cols>
  <sheetData>
    <row r="1" spans="1:26" ht="19.5" thickBot="1" x14ac:dyDescent="0.35">
      <c r="A1" s="91"/>
      <c r="B1" s="91"/>
      <c r="C1" s="91"/>
      <c r="D1" s="93"/>
      <c r="E1" s="91"/>
      <c r="F1" s="91"/>
      <c r="G1" s="91"/>
      <c r="H1" s="91"/>
      <c r="I1" s="92"/>
      <c r="J1" s="92"/>
      <c r="K1" s="93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23"/>
      <c r="Z1" s="23"/>
    </row>
    <row r="2" spans="1:26" ht="35.25" thickBot="1" x14ac:dyDescent="0.6">
      <c r="A2" s="91"/>
      <c r="B2" s="91"/>
      <c r="C2" s="91"/>
      <c r="D2" s="93"/>
      <c r="E2" s="91"/>
      <c r="F2" s="97" t="s">
        <v>6</v>
      </c>
      <c r="G2" s="72"/>
      <c r="H2" s="72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23"/>
      <c r="Z2" s="23"/>
    </row>
    <row r="3" spans="1:26" ht="19.5" customHeight="1" thickBot="1" x14ac:dyDescent="0.4">
      <c r="A3" s="91"/>
      <c r="B3" s="91"/>
      <c r="C3" s="91"/>
      <c r="D3" s="93"/>
      <c r="E3" s="91"/>
      <c r="F3" s="74" t="s">
        <v>7</v>
      </c>
      <c r="G3" s="75" t="s">
        <v>8</v>
      </c>
      <c r="H3" s="75" t="s">
        <v>9</v>
      </c>
      <c r="I3" s="76" t="s">
        <v>10</v>
      </c>
      <c r="J3" s="76" t="s">
        <v>11</v>
      </c>
      <c r="K3" s="76" t="s">
        <v>12</v>
      </c>
      <c r="L3" s="118" t="s">
        <v>63</v>
      </c>
      <c r="M3" s="122">
        <v>45839</v>
      </c>
      <c r="N3" s="120">
        <v>45870</v>
      </c>
      <c r="O3" s="120">
        <v>45901</v>
      </c>
      <c r="P3" s="120">
        <v>45931</v>
      </c>
      <c r="Q3" s="120">
        <v>45962</v>
      </c>
      <c r="R3" s="120">
        <v>45992</v>
      </c>
      <c r="S3" s="120">
        <v>46023</v>
      </c>
      <c r="T3" s="120">
        <v>46054</v>
      </c>
      <c r="U3" s="120">
        <v>46082</v>
      </c>
      <c r="V3" s="120">
        <v>46113</v>
      </c>
      <c r="W3" s="120">
        <v>46143</v>
      </c>
      <c r="X3" s="121">
        <v>46174</v>
      </c>
    </row>
    <row r="4" spans="1:26" s="66" customFormat="1" ht="21" x14ac:dyDescent="0.35">
      <c r="A4" s="95"/>
      <c r="B4" s="95"/>
      <c r="C4" s="95"/>
      <c r="D4" s="96"/>
      <c r="E4" s="95"/>
      <c r="F4" s="77"/>
      <c r="G4" s="78" t="s">
        <v>13</v>
      </c>
      <c r="H4" s="79" t="s">
        <v>4</v>
      </c>
      <c r="I4" s="80" t="s">
        <v>14</v>
      </c>
      <c r="J4" s="80" t="s">
        <v>15</v>
      </c>
      <c r="K4" s="80" t="s">
        <v>16</v>
      </c>
      <c r="L4" s="67">
        <f>+L5+L6</f>
        <v>203332.99999999988</v>
      </c>
      <c r="M4" s="109">
        <f>+M5+M6</f>
        <v>16944.416666666657</v>
      </c>
      <c r="N4" s="107">
        <f t="shared" ref="N4:X4" si="0">+N5+N6</f>
        <v>16944.416666666657</v>
      </c>
      <c r="O4" s="107">
        <f t="shared" si="0"/>
        <v>16944.416666666657</v>
      </c>
      <c r="P4" s="107">
        <f t="shared" si="0"/>
        <v>16944.416666666657</v>
      </c>
      <c r="Q4" s="107">
        <f t="shared" si="0"/>
        <v>16944.416666666657</v>
      </c>
      <c r="R4" s="107">
        <f t="shared" si="0"/>
        <v>16944.416666666657</v>
      </c>
      <c r="S4" s="107">
        <f t="shared" si="0"/>
        <v>16944.416666666657</v>
      </c>
      <c r="T4" s="107">
        <f t="shared" si="0"/>
        <v>16944.416666666657</v>
      </c>
      <c r="U4" s="107">
        <f t="shared" si="0"/>
        <v>16944.416666666657</v>
      </c>
      <c r="V4" s="107">
        <f t="shared" si="0"/>
        <v>16944.416666666657</v>
      </c>
      <c r="W4" s="107">
        <f t="shared" si="0"/>
        <v>16944.416666666657</v>
      </c>
      <c r="X4" s="107">
        <f t="shared" si="0"/>
        <v>16944.416666666657</v>
      </c>
    </row>
    <row r="5" spans="1:26" ht="21" x14ac:dyDescent="0.35">
      <c r="A5" s="91"/>
      <c r="B5" s="91"/>
      <c r="C5" s="91"/>
      <c r="D5" s="93"/>
      <c r="E5" s="91"/>
      <c r="F5" s="61"/>
      <c r="G5" s="81" t="s">
        <v>13</v>
      </c>
      <c r="H5" s="82" t="s">
        <v>4</v>
      </c>
      <c r="I5" s="83" t="s">
        <v>14</v>
      </c>
      <c r="J5" s="84" t="s">
        <v>17</v>
      </c>
      <c r="K5" s="83" t="s">
        <v>16</v>
      </c>
      <c r="L5" s="60">
        <v>75403.999999999869</v>
      </c>
      <c r="M5" s="108">
        <f>$L$5/12</f>
        <v>6283.6666666666561</v>
      </c>
      <c r="N5" s="108">
        <f t="shared" ref="N5:X5" si="1">$L$5/12</f>
        <v>6283.6666666666561</v>
      </c>
      <c r="O5" s="108">
        <f t="shared" si="1"/>
        <v>6283.6666666666561</v>
      </c>
      <c r="P5" s="108">
        <f t="shared" si="1"/>
        <v>6283.6666666666561</v>
      </c>
      <c r="Q5" s="108">
        <f t="shared" si="1"/>
        <v>6283.6666666666561</v>
      </c>
      <c r="R5" s="108">
        <f t="shared" si="1"/>
        <v>6283.6666666666561</v>
      </c>
      <c r="S5" s="108">
        <f t="shared" si="1"/>
        <v>6283.6666666666561</v>
      </c>
      <c r="T5" s="108">
        <f t="shared" si="1"/>
        <v>6283.6666666666561</v>
      </c>
      <c r="U5" s="108">
        <f t="shared" si="1"/>
        <v>6283.6666666666561</v>
      </c>
      <c r="V5" s="108">
        <f t="shared" si="1"/>
        <v>6283.6666666666561</v>
      </c>
      <c r="W5" s="108">
        <f t="shared" si="1"/>
        <v>6283.6666666666561</v>
      </c>
      <c r="X5" s="108">
        <f t="shared" si="1"/>
        <v>6283.6666666666561</v>
      </c>
    </row>
    <row r="6" spans="1:26" ht="21" x14ac:dyDescent="0.35">
      <c r="A6" s="91"/>
      <c r="B6" s="91"/>
      <c r="C6" s="91"/>
      <c r="D6" s="93"/>
      <c r="E6" s="91"/>
      <c r="F6" s="61"/>
      <c r="G6" s="81" t="s">
        <v>13</v>
      </c>
      <c r="H6" s="82" t="s">
        <v>4</v>
      </c>
      <c r="I6" s="83" t="s">
        <v>14</v>
      </c>
      <c r="J6" s="84" t="s">
        <v>18</v>
      </c>
      <c r="K6" s="83" t="s">
        <v>16</v>
      </c>
      <c r="L6" s="60">
        <v>127929.00000000001</v>
      </c>
      <c r="M6" s="108">
        <f>$L$6/12</f>
        <v>10660.750000000002</v>
      </c>
      <c r="N6" s="108">
        <f t="shared" ref="N6:X6" si="2">$L$6/12</f>
        <v>10660.750000000002</v>
      </c>
      <c r="O6" s="108">
        <f t="shared" si="2"/>
        <v>10660.750000000002</v>
      </c>
      <c r="P6" s="108">
        <f t="shared" si="2"/>
        <v>10660.750000000002</v>
      </c>
      <c r="Q6" s="108">
        <f t="shared" si="2"/>
        <v>10660.750000000002</v>
      </c>
      <c r="R6" s="108">
        <f t="shared" si="2"/>
        <v>10660.750000000002</v>
      </c>
      <c r="S6" s="108">
        <f t="shared" si="2"/>
        <v>10660.750000000002</v>
      </c>
      <c r="T6" s="108">
        <f t="shared" si="2"/>
        <v>10660.750000000002</v>
      </c>
      <c r="U6" s="108">
        <f t="shared" si="2"/>
        <v>10660.750000000002</v>
      </c>
      <c r="V6" s="108">
        <f t="shared" si="2"/>
        <v>10660.750000000002</v>
      </c>
      <c r="W6" s="108">
        <f t="shared" si="2"/>
        <v>10660.750000000002</v>
      </c>
      <c r="X6" s="108">
        <f t="shared" si="2"/>
        <v>10660.750000000002</v>
      </c>
    </row>
    <row r="7" spans="1:26" ht="21" x14ac:dyDescent="0.35">
      <c r="A7" s="91"/>
      <c r="B7" s="91"/>
      <c r="C7" s="91"/>
      <c r="D7" s="93"/>
      <c r="E7" s="91"/>
      <c r="F7" s="61"/>
      <c r="G7" s="81" t="s">
        <v>13</v>
      </c>
      <c r="H7" s="82" t="s">
        <v>4</v>
      </c>
      <c r="I7" s="83" t="s">
        <v>19</v>
      </c>
      <c r="J7" s="84" t="s">
        <v>5</v>
      </c>
      <c r="K7" s="83" t="s">
        <v>16</v>
      </c>
      <c r="L7" s="60">
        <v>130318</v>
      </c>
      <c r="M7" s="108">
        <f>$L$7/12</f>
        <v>10859.833333333334</v>
      </c>
      <c r="N7" s="108">
        <f t="shared" ref="N7:X7" si="3">$L$7/12</f>
        <v>10859.833333333334</v>
      </c>
      <c r="O7" s="108">
        <f t="shared" si="3"/>
        <v>10859.833333333334</v>
      </c>
      <c r="P7" s="108">
        <f t="shared" si="3"/>
        <v>10859.833333333334</v>
      </c>
      <c r="Q7" s="108">
        <f t="shared" si="3"/>
        <v>10859.833333333334</v>
      </c>
      <c r="R7" s="108">
        <f t="shared" si="3"/>
        <v>10859.833333333334</v>
      </c>
      <c r="S7" s="108">
        <f t="shared" si="3"/>
        <v>10859.833333333334</v>
      </c>
      <c r="T7" s="108">
        <f t="shared" si="3"/>
        <v>10859.833333333334</v>
      </c>
      <c r="U7" s="108">
        <f t="shared" si="3"/>
        <v>10859.833333333334</v>
      </c>
      <c r="V7" s="108">
        <f t="shared" si="3"/>
        <v>10859.833333333334</v>
      </c>
      <c r="W7" s="108">
        <f t="shared" si="3"/>
        <v>10859.833333333334</v>
      </c>
      <c r="X7" s="108">
        <f t="shared" si="3"/>
        <v>10859.833333333334</v>
      </c>
    </row>
    <row r="8" spans="1:26" s="66" customFormat="1" ht="21" x14ac:dyDescent="0.35">
      <c r="A8" s="95"/>
      <c r="B8" s="95"/>
      <c r="C8" s="95"/>
      <c r="D8" s="96"/>
      <c r="E8" s="95"/>
      <c r="F8" s="77"/>
      <c r="G8" s="78" t="s">
        <v>13</v>
      </c>
      <c r="H8" s="79" t="s">
        <v>4</v>
      </c>
      <c r="I8" s="80" t="s">
        <v>19</v>
      </c>
      <c r="J8" s="85" t="s">
        <v>15</v>
      </c>
      <c r="K8" s="80" t="s">
        <v>16</v>
      </c>
      <c r="L8" s="104">
        <v>130318</v>
      </c>
      <c r="M8" s="109">
        <f>$L$8/12</f>
        <v>10859.833333333334</v>
      </c>
      <c r="N8" s="109">
        <f t="shared" ref="N8:X8" si="4">$L$8/12</f>
        <v>10859.833333333334</v>
      </c>
      <c r="O8" s="109">
        <f t="shared" si="4"/>
        <v>10859.833333333334</v>
      </c>
      <c r="P8" s="109">
        <f t="shared" si="4"/>
        <v>10859.833333333334</v>
      </c>
      <c r="Q8" s="109">
        <f t="shared" si="4"/>
        <v>10859.833333333334</v>
      </c>
      <c r="R8" s="109">
        <f t="shared" si="4"/>
        <v>10859.833333333334</v>
      </c>
      <c r="S8" s="109">
        <f t="shared" si="4"/>
        <v>10859.833333333334</v>
      </c>
      <c r="T8" s="109">
        <f t="shared" si="4"/>
        <v>10859.833333333334</v>
      </c>
      <c r="U8" s="109">
        <f t="shared" si="4"/>
        <v>10859.833333333334</v>
      </c>
      <c r="V8" s="109">
        <f t="shared" si="4"/>
        <v>10859.833333333334</v>
      </c>
      <c r="W8" s="109">
        <f t="shared" si="4"/>
        <v>10859.833333333334</v>
      </c>
      <c r="X8" s="109">
        <f t="shared" si="4"/>
        <v>10859.833333333334</v>
      </c>
    </row>
    <row r="9" spans="1:26" ht="21" x14ac:dyDescent="0.3">
      <c r="A9" s="91"/>
      <c r="B9" s="91"/>
      <c r="C9" s="91"/>
      <c r="D9" s="93"/>
      <c r="E9" s="91"/>
      <c r="F9" s="61"/>
      <c r="G9" s="86" t="s">
        <v>13</v>
      </c>
      <c r="H9" s="87" t="s">
        <v>4</v>
      </c>
      <c r="I9" s="88" t="s">
        <v>19</v>
      </c>
      <c r="J9" s="89" t="s">
        <v>20</v>
      </c>
      <c r="K9" s="88" t="s">
        <v>16</v>
      </c>
      <c r="L9" s="60">
        <f>628810445.34/1000</f>
        <v>628810.44533999998</v>
      </c>
      <c r="M9" s="141">
        <f>$L$9/12</f>
        <v>52400.870445</v>
      </c>
      <c r="N9" s="108">
        <f t="shared" ref="N9:X9" si="5">$L$9/12</f>
        <v>52400.870445</v>
      </c>
      <c r="O9" s="108">
        <f t="shared" si="5"/>
        <v>52400.870445</v>
      </c>
      <c r="P9" s="108">
        <f t="shared" si="5"/>
        <v>52400.870445</v>
      </c>
      <c r="Q9" s="108">
        <f t="shared" si="5"/>
        <v>52400.870445</v>
      </c>
      <c r="R9" s="108">
        <f t="shared" si="5"/>
        <v>52400.870445</v>
      </c>
      <c r="S9" s="108">
        <f t="shared" si="5"/>
        <v>52400.870445</v>
      </c>
      <c r="T9" s="108">
        <f t="shared" si="5"/>
        <v>52400.870445</v>
      </c>
      <c r="U9" s="108">
        <f t="shared" si="5"/>
        <v>52400.870445</v>
      </c>
      <c r="V9" s="108">
        <f t="shared" si="5"/>
        <v>52400.870445</v>
      </c>
      <c r="W9" s="108">
        <f t="shared" si="5"/>
        <v>52400.870445</v>
      </c>
      <c r="X9" s="108">
        <f t="shared" si="5"/>
        <v>52400.870445</v>
      </c>
    </row>
    <row r="10" spans="1:26" ht="21" x14ac:dyDescent="0.35">
      <c r="A10" s="91"/>
      <c r="B10" s="91"/>
      <c r="C10" s="91"/>
      <c r="D10" s="93"/>
      <c r="E10" s="91"/>
      <c r="F10" s="61"/>
      <c r="G10" s="81" t="s">
        <v>13</v>
      </c>
      <c r="H10" s="82" t="s">
        <v>4</v>
      </c>
      <c r="I10" s="83" t="s">
        <v>19</v>
      </c>
      <c r="J10" s="84" t="s">
        <v>21</v>
      </c>
      <c r="K10" s="83" t="s">
        <v>16</v>
      </c>
      <c r="L10" s="60">
        <v>130318</v>
      </c>
      <c r="M10" s="108">
        <f>$L$10/12</f>
        <v>10859.833333333334</v>
      </c>
      <c r="N10" s="108">
        <f t="shared" ref="N10:X10" si="6">$L$10/12</f>
        <v>10859.833333333334</v>
      </c>
      <c r="O10" s="108">
        <f t="shared" si="6"/>
        <v>10859.833333333334</v>
      </c>
      <c r="P10" s="108">
        <f t="shared" si="6"/>
        <v>10859.833333333334</v>
      </c>
      <c r="Q10" s="108">
        <f t="shared" si="6"/>
        <v>10859.833333333334</v>
      </c>
      <c r="R10" s="108">
        <f t="shared" si="6"/>
        <v>10859.833333333334</v>
      </c>
      <c r="S10" s="108">
        <f t="shared" si="6"/>
        <v>10859.833333333334</v>
      </c>
      <c r="T10" s="108">
        <f t="shared" si="6"/>
        <v>10859.833333333334</v>
      </c>
      <c r="U10" s="108">
        <f t="shared" si="6"/>
        <v>10859.833333333334</v>
      </c>
      <c r="V10" s="108">
        <f t="shared" si="6"/>
        <v>10859.833333333334</v>
      </c>
      <c r="W10" s="108">
        <f t="shared" si="6"/>
        <v>10859.833333333334</v>
      </c>
      <c r="X10" s="108">
        <f t="shared" si="6"/>
        <v>10859.833333333334</v>
      </c>
    </row>
    <row r="11" spans="1:26" ht="21" x14ac:dyDescent="0.35">
      <c r="A11" s="91"/>
      <c r="B11" s="91"/>
      <c r="C11" s="91"/>
      <c r="D11" s="93"/>
      <c r="E11" s="91"/>
      <c r="F11" s="61"/>
      <c r="G11" s="81" t="s">
        <v>13</v>
      </c>
      <c r="H11" s="82" t="s">
        <v>4</v>
      </c>
      <c r="I11" s="83" t="s">
        <v>19</v>
      </c>
      <c r="J11" s="84" t="s">
        <v>68</v>
      </c>
      <c r="K11" s="83" t="s">
        <v>16</v>
      </c>
      <c r="L11" s="60">
        <v>11671</v>
      </c>
      <c r="M11" s="108">
        <f>$L$11/12</f>
        <v>972.58333333333337</v>
      </c>
      <c r="N11" s="108">
        <f t="shared" ref="N11:X11" si="7">$L$11/12</f>
        <v>972.58333333333337</v>
      </c>
      <c r="O11" s="108">
        <f t="shared" si="7"/>
        <v>972.58333333333337</v>
      </c>
      <c r="P11" s="108">
        <f t="shared" si="7"/>
        <v>972.58333333333337</v>
      </c>
      <c r="Q11" s="108">
        <f t="shared" si="7"/>
        <v>972.58333333333337</v>
      </c>
      <c r="R11" s="108">
        <f t="shared" si="7"/>
        <v>972.58333333333337</v>
      </c>
      <c r="S11" s="108">
        <f t="shared" si="7"/>
        <v>972.58333333333337</v>
      </c>
      <c r="T11" s="108">
        <f t="shared" si="7"/>
        <v>972.58333333333337</v>
      </c>
      <c r="U11" s="108">
        <f t="shared" si="7"/>
        <v>972.58333333333337</v>
      </c>
      <c r="V11" s="108">
        <f t="shared" si="7"/>
        <v>972.58333333333337</v>
      </c>
      <c r="W11" s="108">
        <f t="shared" si="7"/>
        <v>972.58333333333337</v>
      </c>
      <c r="X11" s="108">
        <f t="shared" si="7"/>
        <v>972.58333333333337</v>
      </c>
    </row>
    <row r="12" spans="1:26" ht="21.75" thickBot="1" x14ac:dyDescent="0.4">
      <c r="A12" s="91"/>
      <c r="B12" s="91"/>
      <c r="C12" s="91"/>
      <c r="D12" s="93"/>
      <c r="E12" s="91"/>
      <c r="F12" s="61"/>
      <c r="G12" s="78" t="s">
        <v>13</v>
      </c>
      <c r="H12" s="79" t="s">
        <v>4</v>
      </c>
      <c r="I12" s="80" t="s">
        <v>67</v>
      </c>
      <c r="J12" s="85"/>
      <c r="K12" s="80" t="s">
        <v>16</v>
      </c>
      <c r="L12" s="137">
        <v>345322</v>
      </c>
      <c r="M12" s="110">
        <f>$L$12/12</f>
        <v>28776.833333333332</v>
      </c>
      <c r="N12" s="110">
        <f t="shared" ref="N12:X12" si="8">$L$12/12</f>
        <v>28776.833333333332</v>
      </c>
      <c r="O12" s="110">
        <f t="shared" si="8"/>
        <v>28776.833333333332</v>
      </c>
      <c r="P12" s="110">
        <f t="shared" si="8"/>
        <v>28776.833333333332</v>
      </c>
      <c r="Q12" s="110">
        <f t="shared" si="8"/>
        <v>28776.833333333332</v>
      </c>
      <c r="R12" s="110">
        <f t="shared" si="8"/>
        <v>28776.833333333332</v>
      </c>
      <c r="S12" s="110">
        <f t="shared" si="8"/>
        <v>28776.833333333332</v>
      </c>
      <c r="T12" s="110">
        <f t="shared" si="8"/>
        <v>28776.833333333332</v>
      </c>
      <c r="U12" s="110">
        <f t="shared" si="8"/>
        <v>28776.833333333332</v>
      </c>
      <c r="V12" s="110">
        <f t="shared" si="8"/>
        <v>28776.833333333332</v>
      </c>
      <c r="W12" s="110">
        <f t="shared" si="8"/>
        <v>28776.833333333332</v>
      </c>
      <c r="X12" s="110">
        <f t="shared" si="8"/>
        <v>28776.833333333332</v>
      </c>
    </row>
    <row r="13" spans="1:26" x14ac:dyDescent="0.3">
      <c r="A13" s="91"/>
      <c r="B13" s="91"/>
      <c r="C13" s="91"/>
      <c r="D13" s="93"/>
      <c r="E13" s="91"/>
      <c r="F13" s="6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6" ht="19.5" thickBot="1" x14ac:dyDescent="0.35">
      <c r="A14" s="91"/>
      <c r="B14" s="91"/>
      <c r="C14" s="91"/>
      <c r="D14" s="93"/>
      <c r="E14" s="91"/>
      <c r="F14" s="6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6" ht="21.75" thickBot="1" x14ac:dyDescent="0.4">
      <c r="A15" s="91"/>
      <c r="B15" s="91"/>
      <c r="C15" s="91"/>
      <c r="D15" s="93"/>
      <c r="E15" s="91"/>
      <c r="F15" s="74" t="s">
        <v>22</v>
      </c>
      <c r="G15" s="75" t="s">
        <v>8</v>
      </c>
      <c r="H15" s="75" t="s">
        <v>9</v>
      </c>
      <c r="I15" s="76" t="s">
        <v>10</v>
      </c>
      <c r="J15" s="76" t="s">
        <v>11</v>
      </c>
      <c r="K15" s="76" t="s">
        <v>12</v>
      </c>
      <c r="L15" s="119" t="s">
        <v>63</v>
      </c>
      <c r="M15" s="120">
        <v>45839</v>
      </c>
      <c r="N15" s="120">
        <v>45870</v>
      </c>
      <c r="O15" s="120">
        <v>45901</v>
      </c>
      <c r="P15" s="120">
        <v>45931</v>
      </c>
      <c r="Q15" s="120">
        <v>45962</v>
      </c>
      <c r="R15" s="120">
        <v>45992</v>
      </c>
      <c r="S15" s="120">
        <v>46023</v>
      </c>
      <c r="T15" s="120">
        <v>46054</v>
      </c>
      <c r="U15" s="120">
        <v>46082</v>
      </c>
      <c r="V15" s="120">
        <v>46113</v>
      </c>
      <c r="W15" s="120">
        <v>46143</v>
      </c>
      <c r="X15" s="121">
        <v>46174</v>
      </c>
    </row>
    <row r="16" spans="1:26" s="66" customFormat="1" ht="21" x14ac:dyDescent="0.35">
      <c r="A16" s="95"/>
      <c r="B16" s="95"/>
      <c r="C16" s="95"/>
      <c r="D16" s="96"/>
      <c r="E16" s="95"/>
      <c r="F16" s="77"/>
      <c r="G16" s="78" t="s">
        <v>13</v>
      </c>
      <c r="H16" s="79" t="s">
        <v>4</v>
      </c>
      <c r="I16" s="80" t="s">
        <v>14</v>
      </c>
      <c r="J16" s="80" t="s">
        <v>15</v>
      </c>
      <c r="K16" s="80" t="s">
        <v>16</v>
      </c>
      <c r="L16" s="67">
        <f>+L17+L18</f>
        <v>116963.71794</v>
      </c>
      <c r="M16" s="68">
        <f t="shared" ref="M16:X16" si="9">+M17+M18</f>
        <v>11348.946779999998</v>
      </c>
      <c r="N16" s="68">
        <f t="shared" si="9"/>
        <v>14892.865000000002</v>
      </c>
      <c r="O16" s="68">
        <f t="shared" si="9"/>
        <v>11768.90854</v>
      </c>
      <c r="P16" s="68">
        <f t="shared" si="9"/>
        <v>13875.034309999999</v>
      </c>
      <c r="Q16" s="68">
        <f t="shared" si="9"/>
        <v>11960.108319999999</v>
      </c>
      <c r="R16" s="68">
        <f t="shared" si="9"/>
        <v>14179.0118</v>
      </c>
      <c r="S16" s="68">
        <f t="shared" si="9"/>
        <v>12815.688330000001</v>
      </c>
      <c r="T16" s="68">
        <f t="shared" si="9"/>
        <v>11642.810469999997</v>
      </c>
      <c r="U16" s="68">
        <f t="shared" si="9"/>
        <v>14480.344390000002</v>
      </c>
      <c r="V16" s="68">
        <f t="shared" si="9"/>
        <v>0</v>
      </c>
      <c r="W16" s="68">
        <f t="shared" si="9"/>
        <v>0</v>
      </c>
      <c r="X16" s="67">
        <f t="shared" si="9"/>
        <v>0</v>
      </c>
    </row>
    <row r="17" spans="1:25" ht="21" x14ac:dyDescent="0.35">
      <c r="A17" s="91"/>
      <c r="B17" s="91"/>
      <c r="C17" s="91"/>
      <c r="D17" s="93"/>
      <c r="E17" s="91"/>
      <c r="F17" s="61"/>
      <c r="G17" s="81" t="s">
        <v>13</v>
      </c>
      <c r="H17" s="82" t="s">
        <v>4</v>
      </c>
      <c r="I17" s="83" t="s">
        <v>14</v>
      </c>
      <c r="J17" s="84" t="s">
        <v>17</v>
      </c>
      <c r="K17" s="83" t="s">
        <v>16</v>
      </c>
      <c r="L17" s="111">
        <f>SUM(M17:X17)</f>
        <v>51097.566690000007</v>
      </c>
      <c r="M17" s="112">
        <f>+'FY2026'!D32/1000</f>
        <v>4122.3454199999996</v>
      </c>
      <c r="N17" s="112">
        <f>+'FY2026'!E32/1000</f>
        <v>7726.8822</v>
      </c>
      <c r="O17" s="112">
        <f>+'FY2026'!F32/1000</f>
        <v>5148.2556500000001</v>
      </c>
      <c r="P17" s="112">
        <f>+'FY2026'!G32/1000</f>
        <v>6011.8170700000001</v>
      </c>
      <c r="Q17" s="112">
        <f>+'FY2026'!H32/1000</f>
        <v>4898.2582199999997</v>
      </c>
      <c r="R17" s="112">
        <f>+'FY2026'!I32/1000</f>
        <v>5352.7713400000011</v>
      </c>
      <c r="S17" s="112">
        <f>+'FY2026'!J32/1000</f>
        <v>5846.6404599999987</v>
      </c>
      <c r="T17" s="112">
        <f>+'FY2026'!K32/1000</f>
        <v>4516.7409799999996</v>
      </c>
      <c r="U17" s="112">
        <f>+'FY2026'!L32/1000</f>
        <v>7473.8553499999998</v>
      </c>
      <c r="V17" s="112">
        <f>+'FY2026'!M32/1000</f>
        <v>0</v>
      </c>
      <c r="W17" s="112">
        <f>+'FY2026'!N32/1000</f>
        <v>0</v>
      </c>
      <c r="X17" s="111">
        <f>+'FY2026'!O32/1000</f>
        <v>0</v>
      </c>
    </row>
    <row r="18" spans="1:25" ht="21" x14ac:dyDescent="0.35">
      <c r="A18" s="91"/>
      <c r="B18" s="91"/>
      <c r="C18" s="91"/>
      <c r="D18" s="93"/>
      <c r="E18" s="91"/>
      <c r="F18" s="61"/>
      <c r="G18" s="81" t="s">
        <v>13</v>
      </c>
      <c r="H18" s="82" t="s">
        <v>4</v>
      </c>
      <c r="I18" s="83" t="s">
        <v>14</v>
      </c>
      <c r="J18" s="84" t="s">
        <v>18</v>
      </c>
      <c r="K18" s="83" t="s">
        <v>16</v>
      </c>
      <c r="L18" s="111">
        <f>SUM(M18:X18)</f>
        <v>65866.151249999995</v>
      </c>
      <c r="M18" s="112">
        <f>SUBTOTAL(9,'FY2026'!D33:D34)/1000</f>
        <v>7226.6013599999997</v>
      </c>
      <c r="N18" s="112">
        <f>SUBTOTAL(9,'FY2026'!E33:E34)/1000</f>
        <v>7165.9828000000007</v>
      </c>
      <c r="O18" s="112">
        <f>SUBTOTAL(9,'FY2026'!F33:F34)/1000</f>
        <v>6620.6528899999994</v>
      </c>
      <c r="P18" s="112">
        <f>SUBTOTAL(9,'FY2026'!G33:G34)/1000</f>
        <v>7863.2172399999981</v>
      </c>
      <c r="Q18" s="112">
        <f>SUBTOTAL(9,'FY2026'!H33:H34)/1000</f>
        <v>7061.8501000000006</v>
      </c>
      <c r="R18" s="112">
        <f>SUBTOTAL(9,'FY2026'!I33:I34)/1000</f>
        <v>8826.2404599999991</v>
      </c>
      <c r="S18" s="112">
        <f>SUBTOTAL(9,'FY2026'!J33:J34)/1000</f>
        <v>6969.0478700000012</v>
      </c>
      <c r="T18" s="112">
        <f>SUBTOTAL(9,'FY2026'!K33:K34)/1000</f>
        <v>7126.0694899999971</v>
      </c>
      <c r="U18" s="112">
        <f>SUBTOTAL(9,'FY2026'!L33:L34)/1000</f>
        <v>7006.4890400000013</v>
      </c>
      <c r="V18" s="112">
        <f>SUBTOTAL(9,'FY2026'!M33:M34)/1000</f>
        <v>0</v>
      </c>
      <c r="W18" s="112">
        <f>SUBTOTAL(9,'FY2026'!N33:N34)/1000</f>
        <v>0</v>
      </c>
      <c r="X18" s="111">
        <f>SUBTOTAL(9,'FY2026'!O33:O34)/1000</f>
        <v>0</v>
      </c>
    </row>
    <row r="19" spans="1:25" ht="21" x14ac:dyDescent="0.35">
      <c r="A19" s="91"/>
      <c r="B19" s="91"/>
      <c r="C19" s="91"/>
      <c r="D19" s="93"/>
      <c r="E19" s="91"/>
      <c r="F19" s="61"/>
      <c r="G19" s="81" t="s">
        <v>13</v>
      </c>
      <c r="H19" s="82" t="s">
        <v>4</v>
      </c>
      <c r="I19" s="83" t="s">
        <v>19</v>
      </c>
      <c r="J19" s="84" t="s">
        <v>5</v>
      </c>
      <c r="K19" s="83" t="s">
        <v>16</v>
      </c>
      <c r="L19" s="111">
        <f>+L22</f>
        <v>46424.233070000002</v>
      </c>
      <c r="M19" s="112">
        <f t="shared" ref="M19:X19" si="10">+M22</f>
        <v>-672.37820999999974</v>
      </c>
      <c r="N19" s="112">
        <f t="shared" si="10"/>
        <v>2985.3465299999998</v>
      </c>
      <c r="O19" s="112">
        <f t="shared" si="10"/>
        <v>4413.5519700000013</v>
      </c>
      <c r="P19" s="112">
        <f t="shared" si="10"/>
        <v>5185.9320799999996</v>
      </c>
      <c r="Q19" s="112">
        <f t="shared" si="10"/>
        <v>5529.0784299999996</v>
      </c>
      <c r="R19" s="112">
        <f t="shared" si="10"/>
        <v>4957.9498299999996</v>
      </c>
      <c r="S19" s="112">
        <f t="shared" si="10"/>
        <v>9526.0010500000008</v>
      </c>
      <c r="T19" s="112">
        <f t="shared" si="10"/>
        <v>6481.767890000001</v>
      </c>
      <c r="U19" s="112">
        <f t="shared" si="10"/>
        <v>8016.9835000000003</v>
      </c>
      <c r="V19" s="112">
        <f t="shared" si="10"/>
        <v>0</v>
      </c>
      <c r="W19" s="112">
        <f t="shared" si="10"/>
        <v>0</v>
      </c>
      <c r="X19" s="111">
        <f t="shared" si="10"/>
        <v>0</v>
      </c>
    </row>
    <row r="20" spans="1:25" s="66" customFormat="1" ht="21" x14ac:dyDescent="0.35">
      <c r="A20" s="95"/>
      <c r="B20" s="95"/>
      <c r="C20" s="95"/>
      <c r="D20" s="96"/>
      <c r="E20" s="95"/>
      <c r="F20" s="77"/>
      <c r="G20" s="78" t="s">
        <v>13</v>
      </c>
      <c r="H20" s="79" t="s">
        <v>4</v>
      </c>
      <c r="I20" s="80" t="s">
        <v>19</v>
      </c>
      <c r="J20" s="80" t="s">
        <v>15</v>
      </c>
      <c r="K20" s="80" t="s">
        <v>16</v>
      </c>
      <c r="L20" s="107">
        <f>L21+L22</f>
        <v>435635.56618000002</v>
      </c>
      <c r="M20" s="107">
        <f t="shared" ref="M20:X20" si="11">M21+M22</f>
        <v>6994.8818899999997</v>
      </c>
      <c r="N20" s="107">
        <f t="shared" si="11"/>
        <v>136164.61722000001</v>
      </c>
      <c r="O20" s="107">
        <f t="shared" si="11"/>
        <v>46220.310859999998</v>
      </c>
      <c r="P20" s="107">
        <f t="shared" si="11"/>
        <v>15879.23774</v>
      </c>
      <c r="Q20" s="107">
        <f t="shared" si="11"/>
        <v>116847.22375</v>
      </c>
      <c r="R20" s="107">
        <f t="shared" si="11"/>
        <v>22806.797070000001</v>
      </c>
      <c r="S20" s="107">
        <f t="shared" si="11"/>
        <v>18188.09711000001</v>
      </c>
      <c r="T20" s="107">
        <f t="shared" si="11"/>
        <v>26661.868820000003</v>
      </c>
      <c r="U20" s="107">
        <f t="shared" si="11"/>
        <v>45872.531719999999</v>
      </c>
      <c r="V20" s="107">
        <f t="shared" si="11"/>
        <v>0</v>
      </c>
      <c r="W20" s="107">
        <f t="shared" si="11"/>
        <v>0</v>
      </c>
      <c r="X20" s="107">
        <f t="shared" si="11"/>
        <v>0</v>
      </c>
    </row>
    <row r="21" spans="1:25" ht="21" x14ac:dyDescent="0.3">
      <c r="A21" s="91"/>
      <c r="B21" s="91"/>
      <c r="C21" s="91"/>
      <c r="D21" s="93"/>
      <c r="E21" s="91"/>
      <c r="F21" s="61"/>
      <c r="G21" s="86" t="s">
        <v>13</v>
      </c>
      <c r="H21" s="87" t="s">
        <v>4</v>
      </c>
      <c r="I21" s="88" t="s">
        <v>19</v>
      </c>
      <c r="J21" s="89" t="s">
        <v>20</v>
      </c>
      <c r="K21" s="88" t="s">
        <v>16</v>
      </c>
      <c r="L21" s="111">
        <f>SUM(M21:X21)</f>
        <v>389211.33311000001</v>
      </c>
      <c r="M21" s="112">
        <f>'FY2026'!D41/1000</f>
        <v>7667.2600999999995</v>
      </c>
      <c r="N21" s="112">
        <f>'FY2026'!E41/1000</f>
        <v>133179.27069</v>
      </c>
      <c r="O21" s="112">
        <f>'FY2026'!F41/1000</f>
        <v>41806.758889999997</v>
      </c>
      <c r="P21" s="112">
        <f>'FY2026'!G41/1000</f>
        <v>10693.30566</v>
      </c>
      <c r="Q21" s="112">
        <f>'FY2026'!H41/1000</f>
        <v>111318.14532000001</v>
      </c>
      <c r="R21" s="112">
        <f>'FY2026'!I41/1000</f>
        <v>17848.847239999999</v>
      </c>
      <c r="S21" s="112">
        <f>'FY2026'!J41/1000</f>
        <v>8662.0960600000071</v>
      </c>
      <c r="T21" s="112">
        <f>'FY2026'!K41/1000</f>
        <v>20180.100930000001</v>
      </c>
      <c r="U21" s="112">
        <f>'FY2026'!L41/1000</f>
        <v>37855.548219999997</v>
      </c>
      <c r="V21" s="112">
        <f>'FY2026'!M41/1000</f>
        <v>0</v>
      </c>
      <c r="W21" s="112">
        <f>'FY2026'!N41/1000</f>
        <v>0</v>
      </c>
      <c r="X21" s="111">
        <f>'FY2026'!O41/1000</f>
        <v>0</v>
      </c>
    </row>
    <row r="22" spans="1:25" ht="21" x14ac:dyDescent="0.35">
      <c r="A22" s="91"/>
      <c r="B22" s="91"/>
      <c r="C22" s="91"/>
      <c r="D22" s="93"/>
      <c r="E22" s="91"/>
      <c r="F22" s="61"/>
      <c r="G22" s="81" t="s">
        <v>13</v>
      </c>
      <c r="H22" s="82" t="s">
        <v>4</v>
      </c>
      <c r="I22" s="83" t="s">
        <v>19</v>
      </c>
      <c r="J22" s="84" t="s">
        <v>21</v>
      </c>
      <c r="K22" s="83" t="s">
        <v>16</v>
      </c>
      <c r="L22" s="111">
        <f>SUM(M22:X22)</f>
        <v>46424.233070000002</v>
      </c>
      <c r="M22" s="112">
        <f>+'FY2026'!D37/1000</f>
        <v>-672.37820999999974</v>
      </c>
      <c r="N22" s="112">
        <f>+'FY2026'!E37/1000</f>
        <v>2985.3465299999998</v>
      </c>
      <c r="O22" s="112">
        <f>+'FY2026'!F37/1000</f>
        <v>4413.5519700000013</v>
      </c>
      <c r="P22" s="112">
        <f>+'FY2026'!G37/1000</f>
        <v>5185.9320799999996</v>
      </c>
      <c r="Q22" s="112">
        <f>+'FY2026'!H37/1000</f>
        <v>5529.0784299999996</v>
      </c>
      <c r="R22" s="112">
        <f>+'FY2026'!I37/1000</f>
        <v>4957.9498299999996</v>
      </c>
      <c r="S22" s="112">
        <f>+'FY2026'!J37/1000</f>
        <v>9526.0010500000008</v>
      </c>
      <c r="T22" s="112">
        <f>+'FY2026'!K37/1000</f>
        <v>6481.767890000001</v>
      </c>
      <c r="U22" s="112">
        <f>+'FY2026'!L37/1000</f>
        <v>8016.9835000000003</v>
      </c>
      <c r="V22" s="112">
        <f>+'FY2026'!M37/1000</f>
        <v>0</v>
      </c>
      <c r="W22" s="112">
        <f>+'FY2026'!N37/1000</f>
        <v>0</v>
      </c>
      <c r="X22" s="111">
        <f>+'FY2026'!O37/1000</f>
        <v>0</v>
      </c>
    </row>
    <row r="23" spans="1:25" ht="21" x14ac:dyDescent="0.35">
      <c r="A23" s="91"/>
      <c r="B23" s="91"/>
      <c r="C23" s="91"/>
      <c r="D23" s="93"/>
      <c r="E23" s="91"/>
      <c r="F23" s="61"/>
      <c r="G23" s="81" t="s">
        <v>13</v>
      </c>
      <c r="H23" s="82" t="s">
        <v>4</v>
      </c>
      <c r="I23" s="83" t="s">
        <v>19</v>
      </c>
      <c r="J23" s="84" t="s">
        <v>68</v>
      </c>
      <c r="K23" s="83" t="s">
        <v>16</v>
      </c>
      <c r="L23" s="111">
        <f>SUM(M23:X23)</f>
        <v>7609.4211199999991</v>
      </c>
      <c r="M23" s="112">
        <f>+'FY2026'!D39/1000</f>
        <v>3885.6673700000001</v>
      </c>
      <c r="N23" s="112">
        <f>+'FY2026'!E39/1000</f>
        <v>-3131.8666499999999</v>
      </c>
      <c r="O23" s="112">
        <f>+'FY2026'!F39/1000</f>
        <v>139.09923000000001</v>
      </c>
      <c r="P23" s="112">
        <f>+'FY2026'!G39/1000</f>
        <v>927.63370999999995</v>
      </c>
      <c r="Q23" s="112">
        <f>+'FY2026'!H39/1000</f>
        <v>1484.9722199999999</v>
      </c>
      <c r="R23" s="112">
        <f>+'FY2026'!I39/1000</f>
        <v>104.39677</v>
      </c>
      <c r="S23" s="112">
        <f>+'FY2026'!J39/1000</f>
        <v>2166.7014100000001</v>
      </c>
      <c r="T23" s="112">
        <f>+'FY2026'!K39/1000</f>
        <v>416.4518799999999</v>
      </c>
      <c r="U23" s="112">
        <f>+'FY2026'!L39/1000</f>
        <v>1616.36518</v>
      </c>
      <c r="V23" s="112">
        <f>+'FY2026'!M39/1000</f>
        <v>0</v>
      </c>
      <c r="W23" s="112">
        <f>+'FY2026'!N39/1000</f>
        <v>0</v>
      </c>
      <c r="X23" s="111">
        <f>+'FY2026'!O39/1000</f>
        <v>0</v>
      </c>
    </row>
    <row r="24" spans="1:25" ht="21.75" thickBot="1" x14ac:dyDescent="0.4">
      <c r="A24" s="91"/>
      <c r="B24" s="91"/>
      <c r="C24" s="91"/>
      <c r="D24" s="93"/>
      <c r="E24" s="91"/>
      <c r="F24" s="61"/>
      <c r="G24" s="78" t="s">
        <v>13</v>
      </c>
      <c r="H24" s="79" t="s">
        <v>4</v>
      </c>
      <c r="I24" s="80" t="s">
        <v>67</v>
      </c>
      <c r="J24" s="85"/>
      <c r="K24" s="80" t="s">
        <v>16</v>
      </c>
      <c r="L24" s="137">
        <f>SUM(M24:X24)</f>
        <v>170997.37213</v>
      </c>
      <c r="M24" s="110">
        <f>+('FY2026'!D27+'FY2026'!D37+'FY2026'!D39)/1000</f>
        <v>14562.23594</v>
      </c>
      <c r="N24" s="110">
        <f>+('FY2026'!E27+'FY2026'!E37+'FY2026'!E39)/1000</f>
        <v>14746.344880000001</v>
      </c>
      <c r="O24" s="110">
        <f>+('FY2026'!F27+'FY2026'!F37+'FY2026'!F39)/1000</f>
        <v>16321.559740000002</v>
      </c>
      <c r="P24" s="110">
        <f>+('FY2026'!G27+'FY2026'!G37+'FY2026'!G39)/1000</f>
        <v>19988.600099999996</v>
      </c>
      <c r="Q24" s="110">
        <f>+('FY2026'!H27+'FY2026'!H37+'FY2026'!H39)/1000</f>
        <v>18974.15897</v>
      </c>
      <c r="R24" s="110">
        <f>+('FY2026'!I27+'FY2026'!I37+'FY2026'!I39)/1000</f>
        <v>19241.358399999997</v>
      </c>
      <c r="S24" s="110">
        <f>+('FY2026'!J27+'FY2026'!J37+'FY2026'!J39)/1000</f>
        <v>24508.390789999998</v>
      </c>
      <c r="T24" s="110">
        <f>+('FY2026'!K27+'FY2026'!K37+'FY2026'!K39)/1000</f>
        <v>18541.03024</v>
      </c>
      <c r="U24" s="110">
        <f>+('FY2026'!L27+'FY2026'!L37+'FY2026'!L39)/1000</f>
        <v>24113.693070000001</v>
      </c>
      <c r="V24" s="110">
        <f>+('FY2026'!M27+'FY2026'!M37+'FY2026'!M39)/1000</f>
        <v>0</v>
      </c>
      <c r="W24" s="110">
        <f>+('FY2026'!N27+'FY2026'!N37+'FY2026'!N39)/1000</f>
        <v>0</v>
      </c>
      <c r="X24" s="110">
        <f>+('FY2026'!O27+'FY2026'!O37+'FY2026'!O39)/1000</f>
        <v>0</v>
      </c>
      <c r="Y24" s="21"/>
    </row>
    <row r="25" spans="1:25" x14ac:dyDescent="0.3">
      <c r="A25" s="91"/>
      <c r="B25" s="91"/>
      <c r="C25" s="91"/>
      <c r="D25" s="93"/>
      <c r="E25" s="91"/>
      <c r="F25" s="6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19.5" thickBot="1" x14ac:dyDescent="0.35">
      <c r="A26" s="91"/>
      <c r="B26" s="91"/>
      <c r="C26" s="91"/>
      <c r="D26" s="93"/>
      <c r="E26" s="91"/>
      <c r="F26" s="6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21.75" hidden="1" thickBot="1" x14ac:dyDescent="0.4">
      <c r="A27" s="91"/>
      <c r="B27" s="91"/>
      <c r="C27" s="91"/>
      <c r="D27" s="93"/>
      <c r="E27" s="91"/>
      <c r="F27" s="74" t="s">
        <v>23</v>
      </c>
      <c r="G27" s="75" t="s">
        <v>8</v>
      </c>
      <c r="H27" s="75" t="s">
        <v>9</v>
      </c>
      <c r="I27" s="76" t="s">
        <v>10</v>
      </c>
      <c r="J27" s="76" t="s">
        <v>11</v>
      </c>
      <c r="K27" s="76" t="s">
        <v>12</v>
      </c>
      <c r="L27" s="118" t="s">
        <v>63</v>
      </c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</row>
    <row r="28" spans="1:25" ht="21.75" hidden="1" thickBot="1" x14ac:dyDescent="0.4">
      <c r="A28" s="91"/>
      <c r="B28" s="91"/>
      <c r="C28" s="91"/>
      <c r="D28" s="93"/>
      <c r="E28" s="91"/>
      <c r="F28" s="61"/>
      <c r="G28" s="81" t="s">
        <v>13</v>
      </c>
      <c r="H28" s="82" t="s">
        <v>4</v>
      </c>
      <c r="I28" s="83" t="s">
        <v>14</v>
      </c>
      <c r="J28" s="83" t="s">
        <v>15</v>
      </c>
      <c r="K28" s="83" t="s">
        <v>16</v>
      </c>
      <c r="L28" s="114"/>
      <c r="M28" s="101">
        <f>+M16/M4</f>
        <v>0.66977500631968279</v>
      </c>
      <c r="N28" s="102">
        <f t="shared" ref="N28:X28" si="12">+N16/N4</f>
        <v>0.87892462118790415</v>
      </c>
      <c r="O28" s="103">
        <f t="shared" si="12"/>
        <v>0.69455967540930441</v>
      </c>
      <c r="P28" s="101">
        <f t="shared" si="12"/>
        <v>0.81885582625545328</v>
      </c>
      <c r="Q28" s="102">
        <f t="shared" si="12"/>
        <v>0.70584361535018947</v>
      </c>
      <c r="R28" s="103">
        <f t="shared" si="12"/>
        <v>0.83679551081231329</v>
      </c>
      <c r="S28" s="101">
        <f t="shared" si="12"/>
        <v>0.75633694461794243</v>
      </c>
      <c r="T28" s="102">
        <f t="shared" si="12"/>
        <v>0.68711780989804916</v>
      </c>
      <c r="U28" s="103">
        <f t="shared" si="12"/>
        <v>0.85457910265426729</v>
      </c>
      <c r="V28" s="101">
        <f t="shared" si="12"/>
        <v>0</v>
      </c>
      <c r="W28" s="102">
        <f t="shared" si="12"/>
        <v>0</v>
      </c>
      <c r="X28" s="103">
        <f t="shared" si="12"/>
        <v>0</v>
      </c>
    </row>
    <row r="29" spans="1:25" ht="21.75" hidden="1" thickBot="1" x14ac:dyDescent="0.4">
      <c r="A29" s="91"/>
      <c r="B29" s="91"/>
      <c r="C29" s="91"/>
      <c r="D29" s="93"/>
      <c r="E29" s="91"/>
      <c r="F29" s="61"/>
      <c r="G29" s="81" t="s">
        <v>13</v>
      </c>
      <c r="H29" s="82" t="s">
        <v>4</v>
      </c>
      <c r="I29" s="83" t="s">
        <v>14</v>
      </c>
      <c r="J29" s="84" t="s">
        <v>17</v>
      </c>
      <c r="K29" s="83" t="s">
        <v>16</v>
      </c>
      <c r="L29" s="115"/>
      <c r="M29" s="62">
        <f>+M17/M5</f>
        <v>0.65604139090764524</v>
      </c>
      <c r="N29" s="63">
        <f t="shared" ref="N29:X29" si="13">+N17/N5</f>
        <v>1.2296772903294275</v>
      </c>
      <c r="O29" s="64">
        <f t="shared" si="13"/>
        <v>0.81930756723781373</v>
      </c>
      <c r="P29" s="62">
        <f t="shared" si="13"/>
        <v>0.9567371073152634</v>
      </c>
      <c r="Q29" s="63">
        <f t="shared" si="13"/>
        <v>0.77952228847276128</v>
      </c>
      <c r="R29" s="64">
        <f t="shared" si="13"/>
        <v>0.85185475677683042</v>
      </c>
      <c r="S29" s="62">
        <f t="shared" si="13"/>
        <v>0.93045044719113179</v>
      </c>
      <c r="T29" s="63">
        <f t="shared" si="13"/>
        <v>0.71880658532703945</v>
      </c>
      <c r="U29" s="64">
        <f t="shared" si="13"/>
        <v>1.1894099013314963</v>
      </c>
      <c r="V29" s="63">
        <f t="shared" si="13"/>
        <v>0</v>
      </c>
      <c r="W29" s="63">
        <f t="shared" si="13"/>
        <v>0</v>
      </c>
      <c r="X29" s="64">
        <f t="shared" si="13"/>
        <v>0</v>
      </c>
    </row>
    <row r="30" spans="1:25" ht="21.75" hidden="1" thickBot="1" x14ac:dyDescent="0.4">
      <c r="A30" s="91"/>
      <c r="B30" s="91"/>
      <c r="C30" s="91"/>
      <c r="D30" s="93"/>
      <c r="E30" s="91"/>
      <c r="F30" s="61"/>
      <c r="G30" s="81" t="s">
        <v>13</v>
      </c>
      <c r="H30" s="82" t="s">
        <v>4</v>
      </c>
      <c r="I30" s="83" t="s">
        <v>14</v>
      </c>
      <c r="J30" s="84" t="s">
        <v>18</v>
      </c>
      <c r="K30" s="83" t="s">
        <v>16</v>
      </c>
      <c r="L30" s="115"/>
      <c r="M30" s="62">
        <f>+M18/M6</f>
        <v>0.67786988345097654</v>
      </c>
      <c r="N30" s="63">
        <f t="shared" ref="N30:X30" si="14">+N18/N6</f>
        <v>0.67218373941795839</v>
      </c>
      <c r="O30" s="64">
        <f t="shared" si="14"/>
        <v>0.62103068639636028</v>
      </c>
      <c r="P30" s="62">
        <f t="shared" si="14"/>
        <v>0.7375857458433972</v>
      </c>
      <c r="Q30" s="63">
        <f t="shared" si="14"/>
        <v>0.66241588068381674</v>
      </c>
      <c r="R30" s="64">
        <f t="shared" si="14"/>
        <v>0.82791927960040312</v>
      </c>
      <c r="S30" s="62">
        <f t="shared" si="14"/>
        <v>0.653710843045752</v>
      </c>
      <c r="T30" s="63">
        <f t="shared" si="14"/>
        <v>0.66843978988345054</v>
      </c>
      <c r="U30" s="64">
        <f t="shared" si="14"/>
        <v>0.65722290082780288</v>
      </c>
      <c r="V30" s="63">
        <f t="shared" si="14"/>
        <v>0</v>
      </c>
      <c r="W30" s="63">
        <f t="shared" si="14"/>
        <v>0</v>
      </c>
      <c r="X30" s="64">
        <f t="shared" si="14"/>
        <v>0</v>
      </c>
    </row>
    <row r="31" spans="1:25" ht="21.75" hidden="1" thickBot="1" x14ac:dyDescent="0.4">
      <c r="A31" s="91"/>
      <c r="B31" s="91"/>
      <c r="C31" s="91"/>
      <c r="D31" s="93"/>
      <c r="E31" s="91"/>
      <c r="F31" s="61"/>
      <c r="G31" s="81" t="s">
        <v>13</v>
      </c>
      <c r="H31" s="82" t="s">
        <v>4</v>
      </c>
      <c r="I31" s="83" t="s">
        <v>19</v>
      </c>
      <c r="J31" s="84" t="s">
        <v>5</v>
      </c>
      <c r="K31" s="83" t="s">
        <v>16</v>
      </c>
      <c r="L31" s="115"/>
      <c r="M31" s="62">
        <f>+M19/M7</f>
        <v>-6.1914229193204287E-2</v>
      </c>
      <c r="N31" s="63">
        <f t="shared" ref="N31:X31" si="15">+N19/N7</f>
        <v>0.27489800610813547</v>
      </c>
      <c r="O31" s="64">
        <f t="shared" si="15"/>
        <v>0.40641065424576817</v>
      </c>
      <c r="P31" s="62">
        <f t="shared" si="15"/>
        <v>0.47753330284381273</v>
      </c>
      <c r="Q31" s="63">
        <f t="shared" si="15"/>
        <v>0.50913105756687482</v>
      </c>
      <c r="R31" s="64">
        <f t="shared" si="15"/>
        <v>0.45654013996531556</v>
      </c>
      <c r="S31" s="62">
        <f t="shared" si="15"/>
        <v>0.87717746282171305</v>
      </c>
      <c r="T31" s="63">
        <f t="shared" si="15"/>
        <v>0.59685703187587291</v>
      </c>
      <c r="U31" s="64">
        <f t="shared" si="15"/>
        <v>0.73822343805153545</v>
      </c>
      <c r="V31" s="63">
        <f t="shared" si="15"/>
        <v>0</v>
      </c>
      <c r="W31" s="63">
        <f t="shared" si="15"/>
        <v>0</v>
      </c>
      <c r="X31" s="64">
        <f t="shared" si="15"/>
        <v>0</v>
      </c>
    </row>
    <row r="32" spans="1:25" s="66" customFormat="1" ht="21.75" hidden="1" thickBot="1" x14ac:dyDescent="0.4">
      <c r="A32" s="95"/>
      <c r="B32" s="95"/>
      <c r="C32" s="95"/>
      <c r="D32" s="96"/>
      <c r="E32" s="95"/>
      <c r="F32" s="77"/>
      <c r="G32" s="78" t="s">
        <v>13</v>
      </c>
      <c r="H32" s="79" t="s">
        <v>4</v>
      </c>
      <c r="I32" s="80" t="s">
        <v>19</v>
      </c>
      <c r="J32" s="80" t="s">
        <v>15</v>
      </c>
      <c r="K32" s="80" t="s">
        <v>16</v>
      </c>
      <c r="L32" s="116"/>
      <c r="M32" s="98"/>
      <c r="N32" s="99"/>
      <c r="O32" s="100"/>
      <c r="P32" s="98"/>
      <c r="Q32" s="99"/>
      <c r="R32" s="100"/>
      <c r="S32" s="98"/>
      <c r="T32" s="99"/>
      <c r="U32" s="100"/>
      <c r="V32" s="98"/>
      <c r="W32" s="99"/>
      <c r="X32" s="100"/>
    </row>
    <row r="33" spans="1:24" ht="21.75" hidden="1" thickBot="1" x14ac:dyDescent="0.35">
      <c r="A33" s="91"/>
      <c r="B33" s="91"/>
      <c r="C33" s="91"/>
      <c r="D33" s="93"/>
      <c r="E33" s="91"/>
      <c r="F33" s="61"/>
      <c r="G33" s="86" t="s">
        <v>13</v>
      </c>
      <c r="H33" s="87" t="s">
        <v>4</v>
      </c>
      <c r="I33" s="88" t="s">
        <v>19</v>
      </c>
      <c r="J33" s="89" t="s">
        <v>20</v>
      </c>
      <c r="K33" s="88" t="s">
        <v>16</v>
      </c>
      <c r="L33" s="115"/>
      <c r="M33" s="62"/>
      <c r="N33" s="63"/>
      <c r="O33" s="64"/>
      <c r="P33" s="62"/>
      <c r="Q33" s="63"/>
      <c r="R33" s="64"/>
      <c r="S33" s="62"/>
      <c r="T33" s="63"/>
      <c r="U33" s="64"/>
      <c r="V33" s="63"/>
      <c r="W33" s="63"/>
      <c r="X33" s="64"/>
    </row>
    <row r="34" spans="1:24" ht="21.75" hidden="1" thickBot="1" x14ac:dyDescent="0.4">
      <c r="A34" s="91"/>
      <c r="B34" s="91"/>
      <c r="C34" s="91"/>
      <c r="D34" s="93"/>
      <c r="E34" s="91"/>
      <c r="F34" s="61"/>
      <c r="G34" s="81" t="s">
        <v>13</v>
      </c>
      <c r="H34" s="82" t="s">
        <v>4</v>
      </c>
      <c r="I34" s="83" t="s">
        <v>19</v>
      </c>
      <c r="J34" s="84" t="s">
        <v>21</v>
      </c>
      <c r="K34" s="83" t="s">
        <v>16</v>
      </c>
      <c r="L34" s="117"/>
      <c r="M34" s="69">
        <f t="shared" ref="M34:X34" si="16">+M22/M10</f>
        <v>-6.1914229193204287E-2</v>
      </c>
      <c r="N34" s="70">
        <f t="shared" si="16"/>
        <v>0.27489800610813547</v>
      </c>
      <c r="O34" s="71">
        <f t="shared" si="16"/>
        <v>0.40641065424576817</v>
      </c>
      <c r="P34" s="69">
        <f t="shared" si="16"/>
        <v>0.47753330284381273</v>
      </c>
      <c r="Q34" s="70">
        <f t="shared" si="16"/>
        <v>0.50913105756687482</v>
      </c>
      <c r="R34" s="71">
        <f t="shared" si="16"/>
        <v>0.45654013996531556</v>
      </c>
      <c r="S34" s="69">
        <f t="shared" si="16"/>
        <v>0.87717746282171305</v>
      </c>
      <c r="T34" s="70">
        <f t="shared" si="16"/>
        <v>0.59685703187587291</v>
      </c>
      <c r="U34" s="71">
        <f t="shared" si="16"/>
        <v>0.73822343805153545</v>
      </c>
      <c r="V34" s="70">
        <f t="shared" si="16"/>
        <v>0</v>
      </c>
      <c r="W34" s="70">
        <f t="shared" si="16"/>
        <v>0</v>
      </c>
      <c r="X34" s="71">
        <f t="shared" si="16"/>
        <v>0</v>
      </c>
    </row>
    <row r="35" spans="1:24" ht="19.5" hidden="1" thickBot="1" x14ac:dyDescent="0.35">
      <c r="A35" s="91"/>
      <c r="B35" s="91"/>
      <c r="C35" s="91"/>
      <c r="D35" s="93"/>
      <c r="E35" s="91"/>
      <c r="F35" s="61"/>
      <c r="I35" s="20"/>
      <c r="J35" s="20"/>
      <c r="K35" s="20"/>
    </row>
    <row r="36" spans="1:24" ht="19.5" hidden="1" thickBot="1" x14ac:dyDescent="0.35">
      <c r="A36" s="91"/>
      <c r="B36" s="91"/>
      <c r="C36" s="91"/>
      <c r="D36" s="93"/>
      <c r="E36" s="91"/>
      <c r="F36" s="91"/>
      <c r="G36" s="91"/>
      <c r="H36" s="91"/>
      <c r="I36" s="92"/>
      <c r="J36" s="92"/>
      <c r="K36" s="93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</row>
    <row r="37" spans="1:24" ht="19.5" hidden="1" thickBot="1" x14ac:dyDescent="0.35">
      <c r="A37" s="91"/>
      <c r="B37" s="91"/>
      <c r="C37" s="91"/>
      <c r="D37" s="93"/>
      <c r="E37" s="91"/>
      <c r="F37" s="91"/>
      <c r="G37" s="91"/>
      <c r="H37" s="91"/>
      <c r="I37" s="92"/>
      <c r="J37" s="92"/>
      <c r="K37" s="93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</row>
    <row r="38" spans="1:24" ht="35.25" thickBot="1" x14ac:dyDescent="0.6">
      <c r="A38" s="91"/>
      <c r="B38" s="91"/>
      <c r="C38" s="91"/>
      <c r="D38" s="93"/>
      <c r="E38" s="91"/>
      <c r="F38" s="126" t="s">
        <v>24</v>
      </c>
      <c r="G38" s="72"/>
      <c r="H38" s="72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</row>
    <row r="39" spans="1:24" ht="21.75" thickBot="1" x14ac:dyDescent="0.4">
      <c r="A39" s="91"/>
      <c r="B39" s="91"/>
      <c r="C39" s="91"/>
      <c r="D39" s="93"/>
      <c r="E39" s="91"/>
      <c r="F39" s="74" t="s">
        <v>7</v>
      </c>
      <c r="G39" s="75" t="s">
        <v>8</v>
      </c>
      <c r="H39" s="75" t="s">
        <v>9</v>
      </c>
      <c r="I39" s="76" t="s">
        <v>10</v>
      </c>
      <c r="J39" s="76" t="s">
        <v>11</v>
      </c>
      <c r="K39" s="76" t="s">
        <v>12</v>
      </c>
      <c r="L39" s="119" t="s">
        <v>63</v>
      </c>
      <c r="M39" s="120">
        <v>45839</v>
      </c>
      <c r="N39" s="120">
        <v>45870</v>
      </c>
      <c r="O39" s="120">
        <v>45901</v>
      </c>
      <c r="P39" s="120">
        <v>45931</v>
      </c>
      <c r="Q39" s="120">
        <v>45962</v>
      </c>
      <c r="R39" s="120">
        <v>45992</v>
      </c>
      <c r="S39" s="120">
        <v>46023</v>
      </c>
      <c r="T39" s="120">
        <v>46054</v>
      </c>
      <c r="U39" s="120">
        <v>46082</v>
      </c>
      <c r="V39" s="120">
        <v>46113</v>
      </c>
      <c r="W39" s="120">
        <v>46143</v>
      </c>
      <c r="X39" s="121">
        <v>46174</v>
      </c>
    </row>
    <row r="40" spans="1:24" s="66" customFormat="1" ht="21" x14ac:dyDescent="0.35">
      <c r="A40" s="95"/>
      <c r="B40" s="95"/>
      <c r="C40" s="95"/>
      <c r="D40" s="96"/>
      <c r="E40" s="95"/>
      <c r="F40" s="77"/>
      <c r="G40" s="78" t="s">
        <v>13</v>
      </c>
      <c r="H40" s="79" t="s">
        <v>4</v>
      </c>
      <c r="I40" s="80" t="s">
        <v>14</v>
      </c>
      <c r="J40" s="80" t="s">
        <v>15</v>
      </c>
      <c r="K40" s="80" t="s">
        <v>16</v>
      </c>
      <c r="L40" s="125">
        <f>L4</f>
        <v>203332.99999999988</v>
      </c>
      <c r="M40" s="125">
        <f>L40</f>
        <v>203332.99999999988</v>
      </c>
      <c r="N40" s="125">
        <f t="shared" ref="N40:X40" si="17">M40</f>
        <v>203332.99999999988</v>
      </c>
      <c r="O40" s="125">
        <f t="shared" si="17"/>
        <v>203332.99999999988</v>
      </c>
      <c r="P40" s="125">
        <f t="shared" si="17"/>
        <v>203332.99999999988</v>
      </c>
      <c r="Q40" s="125">
        <f t="shared" si="17"/>
        <v>203332.99999999988</v>
      </c>
      <c r="R40" s="125">
        <f t="shared" si="17"/>
        <v>203332.99999999988</v>
      </c>
      <c r="S40" s="125">
        <f t="shared" si="17"/>
        <v>203332.99999999988</v>
      </c>
      <c r="T40" s="125">
        <f t="shared" si="17"/>
        <v>203332.99999999988</v>
      </c>
      <c r="U40" s="125">
        <f t="shared" si="17"/>
        <v>203332.99999999988</v>
      </c>
      <c r="V40" s="125">
        <f t="shared" si="17"/>
        <v>203332.99999999988</v>
      </c>
      <c r="W40" s="125">
        <f t="shared" si="17"/>
        <v>203332.99999999988</v>
      </c>
      <c r="X40" s="125">
        <f t="shared" si="17"/>
        <v>203332.99999999988</v>
      </c>
    </row>
    <row r="41" spans="1:24" ht="21" x14ac:dyDescent="0.35">
      <c r="A41" s="91"/>
      <c r="B41" s="91"/>
      <c r="C41" s="91"/>
      <c r="D41" s="93"/>
      <c r="E41" s="91"/>
      <c r="F41" s="61"/>
      <c r="G41" s="81" t="s">
        <v>13</v>
      </c>
      <c r="H41" s="82" t="s">
        <v>4</v>
      </c>
      <c r="I41" s="83" t="s">
        <v>14</v>
      </c>
      <c r="J41" s="84" t="s">
        <v>17</v>
      </c>
      <c r="K41" s="83" t="s">
        <v>16</v>
      </c>
      <c r="L41" s="60">
        <f>L5</f>
        <v>75403.999999999869</v>
      </c>
      <c r="M41" s="106">
        <f>L41</f>
        <v>75403.999999999869</v>
      </c>
      <c r="N41" s="106">
        <f t="shared" ref="N41:X41" si="18">M41</f>
        <v>75403.999999999869</v>
      </c>
      <c r="O41" s="106">
        <f t="shared" si="18"/>
        <v>75403.999999999869</v>
      </c>
      <c r="P41" s="106">
        <f t="shared" si="18"/>
        <v>75403.999999999869</v>
      </c>
      <c r="Q41" s="106">
        <f t="shared" si="18"/>
        <v>75403.999999999869</v>
      </c>
      <c r="R41" s="106">
        <f t="shared" si="18"/>
        <v>75403.999999999869</v>
      </c>
      <c r="S41" s="106">
        <f t="shared" si="18"/>
        <v>75403.999999999869</v>
      </c>
      <c r="T41" s="106">
        <f t="shared" si="18"/>
        <v>75403.999999999869</v>
      </c>
      <c r="U41" s="106">
        <f t="shared" si="18"/>
        <v>75403.999999999869</v>
      </c>
      <c r="V41" s="106">
        <f t="shared" si="18"/>
        <v>75403.999999999869</v>
      </c>
      <c r="W41" s="106">
        <f t="shared" si="18"/>
        <v>75403.999999999869</v>
      </c>
      <c r="X41" s="106">
        <f t="shared" si="18"/>
        <v>75403.999999999869</v>
      </c>
    </row>
    <row r="42" spans="1:24" ht="21" x14ac:dyDescent="0.35">
      <c r="A42" s="91"/>
      <c r="B42" s="91"/>
      <c r="C42" s="91"/>
      <c r="D42" s="93"/>
      <c r="E42" s="91"/>
      <c r="F42" s="61"/>
      <c r="G42" s="81" t="s">
        <v>13</v>
      </c>
      <c r="H42" s="82" t="s">
        <v>4</v>
      </c>
      <c r="I42" s="83" t="s">
        <v>14</v>
      </c>
      <c r="J42" s="84" t="s">
        <v>18</v>
      </c>
      <c r="K42" s="83" t="s">
        <v>16</v>
      </c>
      <c r="L42" s="60">
        <f>L6</f>
        <v>127929.00000000001</v>
      </c>
      <c r="M42" s="106">
        <f t="shared" ref="M42:X47" si="19">L42</f>
        <v>127929.00000000001</v>
      </c>
      <c r="N42" s="106">
        <f t="shared" si="19"/>
        <v>127929.00000000001</v>
      </c>
      <c r="O42" s="106">
        <f t="shared" si="19"/>
        <v>127929.00000000001</v>
      </c>
      <c r="P42" s="106">
        <f t="shared" si="19"/>
        <v>127929.00000000001</v>
      </c>
      <c r="Q42" s="106">
        <f t="shared" si="19"/>
        <v>127929.00000000001</v>
      </c>
      <c r="R42" s="106">
        <f t="shared" si="19"/>
        <v>127929.00000000001</v>
      </c>
      <c r="S42" s="106">
        <f t="shared" si="19"/>
        <v>127929.00000000001</v>
      </c>
      <c r="T42" s="106">
        <f t="shared" si="19"/>
        <v>127929.00000000001</v>
      </c>
      <c r="U42" s="106">
        <f t="shared" si="19"/>
        <v>127929.00000000001</v>
      </c>
      <c r="V42" s="106">
        <f t="shared" si="19"/>
        <v>127929.00000000001</v>
      </c>
      <c r="W42" s="106">
        <f t="shared" si="19"/>
        <v>127929.00000000001</v>
      </c>
      <c r="X42" s="106">
        <f t="shared" si="19"/>
        <v>127929.00000000001</v>
      </c>
    </row>
    <row r="43" spans="1:24" ht="21" x14ac:dyDescent="0.35">
      <c r="A43" s="91"/>
      <c r="B43" s="91"/>
      <c r="C43" s="91"/>
      <c r="D43" s="93"/>
      <c r="E43" s="91"/>
      <c r="F43" s="61"/>
      <c r="G43" s="81" t="s">
        <v>13</v>
      </c>
      <c r="H43" s="82" t="s">
        <v>4</v>
      </c>
      <c r="I43" s="83" t="s">
        <v>19</v>
      </c>
      <c r="J43" s="84" t="s">
        <v>5</v>
      </c>
      <c r="K43" s="83" t="s">
        <v>16</v>
      </c>
      <c r="L43" s="60">
        <f>L7</f>
        <v>130318</v>
      </c>
      <c r="M43" s="106">
        <f t="shared" si="19"/>
        <v>130318</v>
      </c>
      <c r="N43" s="106">
        <f t="shared" si="19"/>
        <v>130318</v>
      </c>
      <c r="O43" s="106">
        <f t="shared" si="19"/>
        <v>130318</v>
      </c>
      <c r="P43" s="106">
        <f t="shared" si="19"/>
        <v>130318</v>
      </c>
      <c r="Q43" s="106">
        <f t="shared" si="19"/>
        <v>130318</v>
      </c>
      <c r="R43" s="106">
        <f t="shared" si="19"/>
        <v>130318</v>
      </c>
      <c r="S43" s="106">
        <f t="shared" si="19"/>
        <v>130318</v>
      </c>
      <c r="T43" s="106">
        <f t="shared" si="19"/>
        <v>130318</v>
      </c>
      <c r="U43" s="106">
        <f t="shared" si="19"/>
        <v>130318</v>
      </c>
      <c r="V43" s="106">
        <f t="shared" si="19"/>
        <v>130318</v>
      </c>
      <c r="W43" s="106">
        <f t="shared" si="19"/>
        <v>130318</v>
      </c>
      <c r="X43" s="106">
        <f t="shared" si="19"/>
        <v>130318</v>
      </c>
    </row>
    <row r="44" spans="1:24" s="66" customFormat="1" ht="21" x14ac:dyDescent="0.35">
      <c r="A44" s="95"/>
      <c r="B44" s="95"/>
      <c r="C44" s="95"/>
      <c r="D44" s="96"/>
      <c r="E44" s="95"/>
      <c r="F44" s="77"/>
      <c r="G44" s="78" t="s">
        <v>13</v>
      </c>
      <c r="H44" s="79" t="s">
        <v>4</v>
      </c>
      <c r="I44" s="80" t="s">
        <v>19</v>
      </c>
      <c r="J44" s="85" t="s">
        <v>15</v>
      </c>
      <c r="K44" s="80" t="s">
        <v>16</v>
      </c>
      <c r="L44" s="104">
        <f>L8</f>
        <v>130318</v>
      </c>
      <c r="M44" s="105">
        <f t="shared" si="19"/>
        <v>130318</v>
      </c>
      <c r="N44" s="105">
        <f t="shared" si="19"/>
        <v>130318</v>
      </c>
      <c r="O44" s="105">
        <f t="shared" si="19"/>
        <v>130318</v>
      </c>
      <c r="P44" s="105">
        <f t="shared" si="19"/>
        <v>130318</v>
      </c>
      <c r="Q44" s="105">
        <f t="shared" si="19"/>
        <v>130318</v>
      </c>
      <c r="R44" s="105">
        <f t="shared" si="19"/>
        <v>130318</v>
      </c>
      <c r="S44" s="105">
        <f t="shared" si="19"/>
        <v>130318</v>
      </c>
      <c r="T44" s="105">
        <f t="shared" si="19"/>
        <v>130318</v>
      </c>
      <c r="U44" s="105">
        <f t="shared" si="19"/>
        <v>130318</v>
      </c>
      <c r="V44" s="105">
        <f t="shared" si="19"/>
        <v>130318</v>
      </c>
      <c r="W44" s="105">
        <f t="shared" si="19"/>
        <v>130318</v>
      </c>
      <c r="X44" s="105">
        <f t="shared" si="19"/>
        <v>130318</v>
      </c>
    </row>
    <row r="45" spans="1:24" ht="21" x14ac:dyDescent="0.3">
      <c r="A45" s="91"/>
      <c r="B45" s="91"/>
      <c r="C45" s="91"/>
      <c r="D45" s="93"/>
      <c r="E45" s="91"/>
      <c r="F45" s="61"/>
      <c r="G45" s="86" t="s">
        <v>13</v>
      </c>
      <c r="H45" s="87" t="s">
        <v>4</v>
      </c>
      <c r="I45" s="88" t="s">
        <v>19</v>
      </c>
      <c r="J45" s="89" t="s">
        <v>20</v>
      </c>
      <c r="K45" s="88" t="s">
        <v>16</v>
      </c>
      <c r="L45" s="24">
        <f>+L9</f>
        <v>628810.44533999998</v>
      </c>
      <c r="M45" s="25">
        <f>+L45</f>
        <v>628810.44533999998</v>
      </c>
      <c r="N45" s="25">
        <f t="shared" ref="N45:X45" si="20">+M45</f>
        <v>628810.44533999998</v>
      </c>
      <c r="O45" s="25">
        <f t="shared" si="20"/>
        <v>628810.44533999998</v>
      </c>
      <c r="P45" s="25">
        <f t="shared" si="20"/>
        <v>628810.44533999998</v>
      </c>
      <c r="Q45" s="25">
        <f t="shared" si="20"/>
        <v>628810.44533999998</v>
      </c>
      <c r="R45" s="25">
        <f t="shared" si="20"/>
        <v>628810.44533999998</v>
      </c>
      <c r="S45" s="25">
        <f t="shared" si="20"/>
        <v>628810.44533999998</v>
      </c>
      <c r="T45" s="25">
        <f t="shared" si="20"/>
        <v>628810.44533999998</v>
      </c>
      <c r="U45" s="25">
        <f t="shared" si="20"/>
        <v>628810.44533999998</v>
      </c>
      <c r="V45" s="25">
        <f t="shared" si="20"/>
        <v>628810.44533999998</v>
      </c>
      <c r="W45" s="25">
        <f t="shared" si="20"/>
        <v>628810.44533999998</v>
      </c>
      <c r="X45" s="25">
        <f t="shared" si="20"/>
        <v>628810.44533999998</v>
      </c>
    </row>
    <row r="46" spans="1:24" ht="21" x14ac:dyDescent="0.35">
      <c r="A46" s="91"/>
      <c r="B46" s="91"/>
      <c r="C46" s="91"/>
      <c r="D46" s="93"/>
      <c r="E46" s="91"/>
      <c r="F46" s="61"/>
      <c r="G46" s="81" t="s">
        <v>13</v>
      </c>
      <c r="H46" s="82" t="s">
        <v>4</v>
      </c>
      <c r="I46" s="83" t="s">
        <v>19</v>
      </c>
      <c r="J46" s="84" t="s">
        <v>21</v>
      </c>
      <c r="K46" s="83" t="s">
        <v>16</v>
      </c>
      <c r="L46" s="60">
        <f>L10</f>
        <v>130318</v>
      </c>
      <c r="M46" s="106">
        <f t="shared" si="19"/>
        <v>130318</v>
      </c>
      <c r="N46" s="106">
        <f t="shared" si="19"/>
        <v>130318</v>
      </c>
      <c r="O46" s="106">
        <f t="shared" si="19"/>
        <v>130318</v>
      </c>
      <c r="P46" s="106">
        <f t="shared" si="19"/>
        <v>130318</v>
      </c>
      <c r="Q46" s="106">
        <f t="shared" si="19"/>
        <v>130318</v>
      </c>
      <c r="R46" s="106">
        <f t="shared" si="19"/>
        <v>130318</v>
      </c>
      <c r="S46" s="106">
        <f t="shared" si="19"/>
        <v>130318</v>
      </c>
      <c r="T46" s="106">
        <f t="shared" si="19"/>
        <v>130318</v>
      </c>
      <c r="U46" s="106">
        <f t="shared" si="19"/>
        <v>130318</v>
      </c>
      <c r="V46" s="106">
        <f t="shared" si="19"/>
        <v>130318</v>
      </c>
      <c r="W46" s="106">
        <f t="shared" si="19"/>
        <v>130318</v>
      </c>
      <c r="X46" s="106">
        <f t="shared" si="19"/>
        <v>130318</v>
      </c>
    </row>
    <row r="47" spans="1:24" ht="21" x14ac:dyDescent="0.35">
      <c r="A47" s="91"/>
      <c r="B47" s="91"/>
      <c r="C47" s="91"/>
      <c r="D47" s="93"/>
      <c r="E47" s="91"/>
      <c r="F47" s="61"/>
      <c r="G47" s="81" t="s">
        <v>13</v>
      </c>
      <c r="H47" s="82" t="s">
        <v>4</v>
      </c>
      <c r="I47" s="83" t="s">
        <v>19</v>
      </c>
      <c r="J47" s="84" t="s">
        <v>68</v>
      </c>
      <c r="K47" s="83" t="s">
        <v>16</v>
      </c>
      <c r="L47" s="60">
        <f>+L11</f>
        <v>11671</v>
      </c>
      <c r="M47" s="106">
        <f t="shared" si="19"/>
        <v>11671</v>
      </c>
      <c r="N47" s="106">
        <f t="shared" si="19"/>
        <v>11671</v>
      </c>
      <c r="O47" s="106">
        <f t="shared" si="19"/>
        <v>11671</v>
      </c>
      <c r="P47" s="106">
        <f t="shared" si="19"/>
        <v>11671</v>
      </c>
      <c r="Q47" s="106">
        <f t="shared" si="19"/>
        <v>11671</v>
      </c>
      <c r="R47" s="106">
        <f t="shared" si="19"/>
        <v>11671</v>
      </c>
      <c r="S47" s="106">
        <f t="shared" si="19"/>
        <v>11671</v>
      </c>
      <c r="T47" s="106">
        <f t="shared" si="19"/>
        <v>11671</v>
      </c>
      <c r="U47" s="106">
        <f t="shared" si="19"/>
        <v>11671</v>
      </c>
      <c r="V47" s="106">
        <f t="shared" si="19"/>
        <v>11671</v>
      </c>
      <c r="W47" s="106">
        <f t="shared" si="19"/>
        <v>11671</v>
      </c>
      <c r="X47" s="106">
        <f t="shared" si="19"/>
        <v>11671</v>
      </c>
    </row>
    <row r="48" spans="1:24" ht="21.75" thickBot="1" x14ac:dyDescent="0.4">
      <c r="A48" s="91"/>
      <c r="B48" s="91"/>
      <c r="C48" s="91"/>
      <c r="D48" s="93"/>
      <c r="E48" s="91"/>
      <c r="F48" s="61"/>
      <c r="G48" s="78" t="s">
        <v>13</v>
      </c>
      <c r="H48" s="79" t="s">
        <v>4</v>
      </c>
      <c r="I48" s="80" t="s">
        <v>67</v>
      </c>
      <c r="J48" s="85"/>
      <c r="K48" s="80" t="s">
        <v>16</v>
      </c>
      <c r="L48" s="137">
        <f>+L12</f>
        <v>345322</v>
      </c>
      <c r="M48" s="138">
        <v>345322</v>
      </c>
      <c r="N48" s="138">
        <v>345322</v>
      </c>
      <c r="O48" s="138">
        <v>345322</v>
      </c>
      <c r="P48" s="138">
        <v>345322</v>
      </c>
      <c r="Q48" s="138">
        <v>345322</v>
      </c>
      <c r="R48" s="138">
        <v>345322</v>
      </c>
      <c r="S48" s="138">
        <v>345322</v>
      </c>
      <c r="T48" s="138">
        <v>345322</v>
      </c>
      <c r="U48" s="138">
        <v>345322</v>
      </c>
      <c r="V48" s="138">
        <v>345322</v>
      </c>
      <c r="W48" s="138">
        <v>345322</v>
      </c>
      <c r="X48" s="138">
        <v>345322</v>
      </c>
    </row>
    <row r="49" spans="1:28" x14ac:dyDescent="0.3">
      <c r="A49" s="91"/>
      <c r="B49" s="91"/>
      <c r="C49" s="91"/>
      <c r="D49" s="93"/>
      <c r="E49" s="91"/>
      <c r="F49" s="6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spans="1:28" ht="19.5" thickBot="1" x14ac:dyDescent="0.35">
      <c r="A50" s="91"/>
      <c r="B50" s="91"/>
      <c r="C50" s="91"/>
      <c r="D50" s="93"/>
      <c r="E50" s="91"/>
      <c r="F50" s="6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</row>
    <row r="51" spans="1:28" ht="21.75" thickBot="1" x14ac:dyDescent="0.4">
      <c r="A51" s="91"/>
      <c r="B51" s="91"/>
      <c r="C51" s="91"/>
      <c r="D51" s="93"/>
      <c r="E51" s="91"/>
      <c r="F51" s="74" t="s">
        <v>22</v>
      </c>
      <c r="G51" s="75" t="s">
        <v>8</v>
      </c>
      <c r="H51" s="75" t="s">
        <v>9</v>
      </c>
      <c r="I51" s="76" t="s">
        <v>10</v>
      </c>
      <c r="J51" s="76" t="s">
        <v>11</v>
      </c>
      <c r="K51" s="76" t="s">
        <v>12</v>
      </c>
      <c r="L51" s="119" t="s">
        <v>63</v>
      </c>
      <c r="M51" s="120">
        <v>45839</v>
      </c>
      <c r="N51" s="120">
        <v>45870</v>
      </c>
      <c r="O51" s="120">
        <v>45901</v>
      </c>
      <c r="P51" s="120">
        <v>45931</v>
      </c>
      <c r="Q51" s="120">
        <v>45962</v>
      </c>
      <c r="R51" s="120">
        <v>45992</v>
      </c>
      <c r="S51" s="120">
        <v>46023</v>
      </c>
      <c r="T51" s="120">
        <v>46054</v>
      </c>
      <c r="U51" s="120">
        <v>46082</v>
      </c>
      <c r="V51" s="120">
        <v>46113</v>
      </c>
      <c r="W51" s="120">
        <v>46143</v>
      </c>
      <c r="X51" s="121">
        <v>46174</v>
      </c>
    </row>
    <row r="52" spans="1:28" s="66" customFormat="1" ht="21" x14ac:dyDescent="0.35">
      <c r="A52" s="95"/>
      <c r="B52" s="95"/>
      <c r="C52" s="95"/>
      <c r="D52" s="96"/>
      <c r="E52" s="95"/>
      <c r="F52" s="77"/>
      <c r="G52" s="78" t="s">
        <v>13</v>
      </c>
      <c r="H52" s="79" t="s">
        <v>4</v>
      </c>
      <c r="I52" s="80" t="s">
        <v>14</v>
      </c>
      <c r="J52" s="80" t="s">
        <v>15</v>
      </c>
      <c r="K52" s="80" t="s">
        <v>16</v>
      </c>
      <c r="L52" s="104">
        <f>+X52</f>
        <v>116963.71793999999</v>
      </c>
      <c r="M52" s="105">
        <f>SUM($M$16:M16)</f>
        <v>11348.946779999998</v>
      </c>
      <c r="N52" s="105">
        <f>SUM($M$16:N16)</f>
        <v>26241.81178</v>
      </c>
      <c r="O52" s="105">
        <f>SUM($M$16:O16)</f>
        <v>38010.72032</v>
      </c>
      <c r="P52" s="105">
        <f>SUM($M$16:P16)</f>
        <v>51885.754629999996</v>
      </c>
      <c r="Q52" s="105">
        <f>SUM($M$16:Q16)</f>
        <v>63845.862949999995</v>
      </c>
      <c r="R52" s="105">
        <f>SUM($M$16:R16)</f>
        <v>78024.874749999988</v>
      </c>
      <c r="S52" s="105">
        <f>SUM($M$16:S16)</f>
        <v>90840.563079999993</v>
      </c>
      <c r="T52" s="105">
        <f>SUM($M$16:T16)</f>
        <v>102483.37354999999</v>
      </c>
      <c r="U52" s="105">
        <f>SUM($M$16:U16)</f>
        <v>116963.71793999999</v>
      </c>
      <c r="V52" s="105">
        <f>SUM($M$16:V16)</f>
        <v>116963.71793999999</v>
      </c>
      <c r="W52" s="105">
        <f>SUM($M$16:W16)</f>
        <v>116963.71793999999</v>
      </c>
      <c r="X52" s="105">
        <f>SUM($M$16:X16)</f>
        <v>116963.71793999999</v>
      </c>
    </row>
    <row r="53" spans="1:28" ht="21" x14ac:dyDescent="0.35">
      <c r="A53" s="91"/>
      <c r="B53" s="91"/>
      <c r="C53" s="91"/>
      <c r="D53" s="93"/>
      <c r="E53" s="91"/>
      <c r="F53" s="61"/>
      <c r="G53" s="81" t="s">
        <v>13</v>
      </c>
      <c r="H53" s="82" t="s">
        <v>4</v>
      </c>
      <c r="I53" s="83" t="s">
        <v>14</v>
      </c>
      <c r="J53" s="84" t="s">
        <v>17</v>
      </c>
      <c r="K53" s="83" t="s">
        <v>16</v>
      </c>
      <c r="L53" s="60">
        <f t="shared" ref="L53:L59" si="21">+X53</f>
        <v>51097.566690000007</v>
      </c>
      <c r="M53" s="106">
        <f>SUM($M$17:M17)</f>
        <v>4122.3454199999996</v>
      </c>
      <c r="N53" s="106">
        <f>SUM($M$17:N17)</f>
        <v>11849.22762</v>
      </c>
      <c r="O53" s="106">
        <f>SUM($M$17:O17)</f>
        <v>16997.483270000001</v>
      </c>
      <c r="P53" s="106">
        <f>SUM($M$17:P17)</f>
        <v>23009.300340000002</v>
      </c>
      <c r="Q53" s="106">
        <f>SUM($M$17:Q17)</f>
        <v>27907.558560000001</v>
      </c>
      <c r="R53" s="106">
        <f>SUM($M$17:R17)</f>
        <v>33260.329900000004</v>
      </c>
      <c r="S53" s="106">
        <f>SUM($M$17:S17)</f>
        <v>39106.970360000007</v>
      </c>
      <c r="T53" s="106">
        <f>SUM($M$17:T17)</f>
        <v>43623.711340000009</v>
      </c>
      <c r="U53" s="106">
        <f>SUM($M$17:U17)</f>
        <v>51097.566690000007</v>
      </c>
      <c r="V53" s="106">
        <f>SUM($M$17:V17)</f>
        <v>51097.566690000007</v>
      </c>
      <c r="W53" s="106">
        <f>SUM($M$17:W17)</f>
        <v>51097.566690000007</v>
      </c>
      <c r="X53" s="106">
        <f>SUM($M$17:X17)</f>
        <v>51097.566690000007</v>
      </c>
    </row>
    <row r="54" spans="1:28" ht="21" x14ac:dyDescent="0.35">
      <c r="A54" s="91"/>
      <c r="B54" s="91"/>
      <c r="C54" s="91"/>
      <c r="D54" s="93"/>
      <c r="E54" s="91"/>
      <c r="F54" s="61"/>
      <c r="G54" s="81" t="s">
        <v>13</v>
      </c>
      <c r="H54" s="82" t="s">
        <v>4</v>
      </c>
      <c r="I54" s="83" t="s">
        <v>14</v>
      </c>
      <c r="J54" s="84" t="s">
        <v>18</v>
      </c>
      <c r="K54" s="83" t="s">
        <v>16</v>
      </c>
      <c r="L54" s="60">
        <f t="shared" si="21"/>
        <v>65866.151249999995</v>
      </c>
      <c r="M54" s="106">
        <f>SUM($M$18:M18)</f>
        <v>7226.6013599999997</v>
      </c>
      <c r="N54" s="106">
        <f>SUM($M$18:N18)</f>
        <v>14392.58416</v>
      </c>
      <c r="O54" s="106">
        <f>SUM($M$18:O18)</f>
        <v>21013.23705</v>
      </c>
      <c r="P54" s="106">
        <f>SUM($M$18:P18)</f>
        <v>28876.454289999998</v>
      </c>
      <c r="Q54" s="106">
        <f>SUM($M$18:Q18)</f>
        <v>35938.304389999998</v>
      </c>
      <c r="R54" s="106">
        <f>SUM($M$18:R18)</f>
        <v>44764.544849999998</v>
      </c>
      <c r="S54" s="106">
        <f>SUM($M$18:S18)</f>
        <v>51733.592720000001</v>
      </c>
      <c r="T54" s="106">
        <f>SUM($M$18:T18)</f>
        <v>58859.662209999995</v>
      </c>
      <c r="U54" s="106">
        <f>SUM($M$18:U18)</f>
        <v>65866.151249999995</v>
      </c>
      <c r="V54" s="106">
        <f>SUM($M$18:V18)</f>
        <v>65866.151249999995</v>
      </c>
      <c r="W54" s="106">
        <f>SUM($M$18:W18)</f>
        <v>65866.151249999995</v>
      </c>
      <c r="X54" s="106">
        <f>SUM($M$18:X18)</f>
        <v>65866.151249999995</v>
      </c>
    </row>
    <row r="55" spans="1:28" ht="21" x14ac:dyDescent="0.35">
      <c r="A55" s="91"/>
      <c r="B55" s="91"/>
      <c r="C55" s="91"/>
      <c r="D55" s="93"/>
      <c r="E55" s="91"/>
      <c r="F55" s="61"/>
      <c r="G55" s="81" t="s">
        <v>13</v>
      </c>
      <c r="H55" s="82" t="s">
        <v>4</v>
      </c>
      <c r="I55" s="83" t="s">
        <v>19</v>
      </c>
      <c r="J55" s="84" t="s">
        <v>5</v>
      </c>
      <c r="K55" s="83" t="s">
        <v>16</v>
      </c>
      <c r="L55" s="60">
        <f t="shared" si="21"/>
        <v>46424.233070000002</v>
      </c>
      <c r="M55" s="106">
        <f>SUM($M$19:M19)</f>
        <v>-672.37820999999974</v>
      </c>
      <c r="N55" s="106">
        <f>SUM($M$19:N19)</f>
        <v>2312.9683199999999</v>
      </c>
      <c r="O55" s="106">
        <f>SUM($M$19:O19)</f>
        <v>6726.5202900000013</v>
      </c>
      <c r="P55" s="106">
        <f>SUM($M$19:P19)</f>
        <v>11912.452370000001</v>
      </c>
      <c r="Q55" s="106">
        <f>SUM($M$19:Q19)</f>
        <v>17441.5308</v>
      </c>
      <c r="R55" s="106">
        <f>SUM($M$19:R19)</f>
        <v>22399.480629999998</v>
      </c>
      <c r="S55" s="106">
        <f>SUM($M$19:S19)</f>
        <v>31925.481679999997</v>
      </c>
      <c r="T55" s="106">
        <f>SUM($M$19:T19)</f>
        <v>38407.24957</v>
      </c>
      <c r="U55" s="106">
        <f>SUM($M$19:U19)</f>
        <v>46424.233070000002</v>
      </c>
      <c r="V55" s="106">
        <f>SUM($M$19:V19)</f>
        <v>46424.233070000002</v>
      </c>
      <c r="W55" s="106">
        <f>SUM($M$19:W19)</f>
        <v>46424.233070000002</v>
      </c>
      <c r="X55" s="106">
        <f>SUM($M$19:X19)</f>
        <v>46424.233070000002</v>
      </c>
    </row>
    <row r="56" spans="1:28" s="66" customFormat="1" ht="21" x14ac:dyDescent="0.35">
      <c r="A56" s="95"/>
      <c r="B56" s="95"/>
      <c r="C56" s="95"/>
      <c r="D56" s="96"/>
      <c r="E56" s="95"/>
      <c r="F56" s="77"/>
      <c r="G56" s="78" t="s">
        <v>13</v>
      </c>
      <c r="H56" s="79" t="s">
        <v>4</v>
      </c>
      <c r="I56" s="80" t="s">
        <v>19</v>
      </c>
      <c r="J56" s="85" t="s">
        <v>15</v>
      </c>
      <c r="K56" s="80" t="s">
        <v>16</v>
      </c>
      <c r="L56" s="104">
        <f t="shared" si="21"/>
        <v>435635.56618000008</v>
      </c>
      <c r="M56" s="105">
        <f>SUM($M$20:M20)</f>
        <v>6994.8818899999997</v>
      </c>
      <c r="N56" s="105">
        <f>SUM($M$20:N20)</f>
        <v>143159.49911</v>
      </c>
      <c r="O56" s="105">
        <f>SUM($M$20:O20)</f>
        <v>189379.80997</v>
      </c>
      <c r="P56" s="105">
        <f>SUM($M$20:P20)</f>
        <v>205259.04771000001</v>
      </c>
      <c r="Q56" s="105">
        <f>SUM($M$20:Q20)</f>
        <v>322106.27146000002</v>
      </c>
      <c r="R56" s="105">
        <f>SUM($M$20:R20)</f>
        <v>344913.06853000005</v>
      </c>
      <c r="S56" s="105">
        <f>SUM($M$20:S20)</f>
        <v>363101.16564000008</v>
      </c>
      <c r="T56" s="105">
        <f>SUM($M$20:T20)</f>
        <v>389763.03446000011</v>
      </c>
      <c r="U56" s="105">
        <f>SUM($M$20:U20)</f>
        <v>435635.56618000008</v>
      </c>
      <c r="V56" s="105">
        <f>SUM($M$20:V20)</f>
        <v>435635.56618000008</v>
      </c>
      <c r="W56" s="105">
        <f>SUM($M$20:W20)</f>
        <v>435635.56618000008</v>
      </c>
      <c r="X56" s="105">
        <f>SUM($M$20:X20)</f>
        <v>435635.56618000008</v>
      </c>
    </row>
    <row r="57" spans="1:28" ht="21" x14ac:dyDescent="0.3">
      <c r="A57" s="91"/>
      <c r="B57" s="91"/>
      <c r="C57" s="91"/>
      <c r="D57" s="93"/>
      <c r="E57" s="91"/>
      <c r="F57" s="61"/>
      <c r="G57" s="86" t="s">
        <v>13</v>
      </c>
      <c r="H57" s="87" t="s">
        <v>4</v>
      </c>
      <c r="I57" s="88" t="s">
        <v>19</v>
      </c>
      <c r="J57" s="89" t="s">
        <v>20</v>
      </c>
      <c r="K57" s="88" t="s">
        <v>16</v>
      </c>
      <c r="L57" s="60">
        <f t="shared" si="21"/>
        <v>389211.33311000001</v>
      </c>
      <c r="M57" s="106">
        <f>SUM($M$21:M21)</f>
        <v>7667.2600999999995</v>
      </c>
      <c r="N57" s="106">
        <f>SUM($M$21:N21)</f>
        <v>140846.53078999999</v>
      </c>
      <c r="O57" s="106">
        <f>SUM($M$21:O21)</f>
        <v>182653.28967999999</v>
      </c>
      <c r="P57" s="106">
        <f>SUM($M$21:P21)</f>
        <v>193346.59534</v>
      </c>
      <c r="Q57" s="106">
        <f>SUM($M$21:Q21)</f>
        <v>304664.74066000001</v>
      </c>
      <c r="R57" s="106">
        <f>SUM($M$21:R21)</f>
        <v>322513.58789999998</v>
      </c>
      <c r="S57" s="106">
        <f>SUM($M$21:S21)</f>
        <v>331175.68395999999</v>
      </c>
      <c r="T57" s="106">
        <f>SUM($M$21:T21)</f>
        <v>351355.78489000001</v>
      </c>
      <c r="U57" s="106">
        <f>SUM($M$21:U21)</f>
        <v>389211.33311000001</v>
      </c>
      <c r="V57" s="106">
        <f>SUM($M$21:V21)</f>
        <v>389211.33311000001</v>
      </c>
      <c r="W57" s="106">
        <f>SUM($M$21:W21)</f>
        <v>389211.33311000001</v>
      </c>
      <c r="X57" s="106">
        <f>SUM($M$21:X21)</f>
        <v>389211.33311000001</v>
      </c>
    </row>
    <row r="58" spans="1:28" ht="21" x14ac:dyDescent="0.35">
      <c r="A58" s="91"/>
      <c r="B58" s="91"/>
      <c r="C58" s="91"/>
      <c r="D58" s="93"/>
      <c r="E58" s="91"/>
      <c r="F58" s="61"/>
      <c r="G58" s="81" t="s">
        <v>13</v>
      </c>
      <c r="H58" s="82" t="s">
        <v>4</v>
      </c>
      <c r="I58" s="83" t="s">
        <v>19</v>
      </c>
      <c r="J58" s="84" t="s">
        <v>21</v>
      </c>
      <c r="K58" s="83" t="s">
        <v>16</v>
      </c>
      <c r="L58" s="60">
        <f t="shared" si="21"/>
        <v>46424.233070000002</v>
      </c>
      <c r="M58" s="106">
        <f>SUM($M$22:M22)</f>
        <v>-672.37820999999974</v>
      </c>
      <c r="N58" s="106">
        <f>SUM($M$22:N22)</f>
        <v>2312.9683199999999</v>
      </c>
      <c r="O58" s="106">
        <f>SUM($M$22:O22)</f>
        <v>6726.5202900000013</v>
      </c>
      <c r="P58" s="106">
        <f>SUM($M$22:P22)</f>
        <v>11912.452370000001</v>
      </c>
      <c r="Q58" s="106">
        <f>SUM($M$22:Q22)</f>
        <v>17441.5308</v>
      </c>
      <c r="R58" s="106">
        <f>SUM($M$22:R22)</f>
        <v>22399.480629999998</v>
      </c>
      <c r="S58" s="106">
        <f>SUM($M$22:S22)</f>
        <v>31925.481679999997</v>
      </c>
      <c r="T58" s="106">
        <f>SUM($M$22:T22)</f>
        <v>38407.24957</v>
      </c>
      <c r="U58" s="106">
        <f>SUM($M$22:U22)</f>
        <v>46424.233070000002</v>
      </c>
      <c r="V58" s="106">
        <f>SUM($M$22:V22)</f>
        <v>46424.233070000002</v>
      </c>
      <c r="W58" s="106">
        <f>SUM($M$22:W22)</f>
        <v>46424.233070000002</v>
      </c>
      <c r="X58" s="106">
        <f>SUM($M$22:X22)</f>
        <v>46424.233070000002</v>
      </c>
    </row>
    <row r="59" spans="1:28" ht="21" x14ac:dyDescent="0.35">
      <c r="A59" s="91"/>
      <c r="B59" s="91"/>
      <c r="C59" s="91"/>
      <c r="D59" s="93"/>
      <c r="E59" s="91"/>
      <c r="F59" s="61"/>
      <c r="G59" s="81" t="s">
        <v>13</v>
      </c>
      <c r="H59" s="82" t="s">
        <v>4</v>
      </c>
      <c r="I59" s="83" t="s">
        <v>19</v>
      </c>
      <c r="J59" s="84" t="s">
        <v>68</v>
      </c>
      <c r="K59" s="83" t="s">
        <v>16</v>
      </c>
      <c r="L59" s="60">
        <f t="shared" si="21"/>
        <v>7609.4211199999991</v>
      </c>
      <c r="M59" s="106">
        <f>SUM($M$23:M23)</f>
        <v>3885.6673700000001</v>
      </c>
      <c r="N59" s="106">
        <f>SUM($M$23:N23)</f>
        <v>753.80072000000018</v>
      </c>
      <c r="O59" s="106">
        <f>SUM($M$23:O23)</f>
        <v>892.89995000000022</v>
      </c>
      <c r="P59" s="106">
        <f>SUM($M$23:P23)</f>
        <v>1820.5336600000001</v>
      </c>
      <c r="Q59" s="106">
        <f>SUM($M$23:Q23)</f>
        <v>3305.5058799999997</v>
      </c>
      <c r="R59" s="106">
        <f>SUM($M$23:R23)</f>
        <v>3409.9026499999995</v>
      </c>
      <c r="S59" s="106">
        <f>SUM($M$23:S23)</f>
        <v>5576.6040599999997</v>
      </c>
      <c r="T59" s="106">
        <f>SUM($M$23:T23)</f>
        <v>5993.0559399999993</v>
      </c>
      <c r="U59" s="106">
        <f>SUM($M$23:U23)</f>
        <v>7609.4211199999991</v>
      </c>
      <c r="V59" s="106">
        <f>SUM($M$23:V23)</f>
        <v>7609.4211199999991</v>
      </c>
      <c r="W59" s="106">
        <f>SUM($M$23:W23)</f>
        <v>7609.4211199999991</v>
      </c>
      <c r="X59" s="106">
        <f>SUM($M$23:X23)</f>
        <v>7609.4211199999991</v>
      </c>
    </row>
    <row r="60" spans="1:28" ht="21.75" thickBot="1" x14ac:dyDescent="0.4">
      <c r="A60" s="91"/>
      <c r="B60" s="91"/>
      <c r="C60" s="91"/>
      <c r="D60" s="93"/>
      <c r="E60" s="91"/>
      <c r="F60" s="61"/>
      <c r="G60" s="78" t="s">
        <v>13</v>
      </c>
      <c r="H60" s="79" t="s">
        <v>4</v>
      </c>
      <c r="I60" s="80" t="s">
        <v>67</v>
      </c>
      <c r="J60" s="85"/>
      <c r="K60" s="80" t="s">
        <v>16</v>
      </c>
      <c r="L60" s="137">
        <f t="shared" ref="L60" si="22">+X60</f>
        <v>170997.37213</v>
      </c>
      <c r="M60" s="138">
        <f>+M24</f>
        <v>14562.23594</v>
      </c>
      <c r="N60" s="138">
        <f>+N24+M60</f>
        <v>29308.580820000003</v>
      </c>
      <c r="O60" s="138">
        <f t="shared" ref="O60:X60" si="23">+O24+N60</f>
        <v>45630.140560000007</v>
      </c>
      <c r="P60" s="138">
        <f t="shared" si="23"/>
        <v>65618.74066000001</v>
      </c>
      <c r="Q60" s="138">
        <f t="shared" si="23"/>
        <v>84592.899630000014</v>
      </c>
      <c r="R60" s="138">
        <f>+R24+Q60</f>
        <v>103834.25803000001</v>
      </c>
      <c r="S60" s="138">
        <f t="shared" si="23"/>
        <v>128342.64882</v>
      </c>
      <c r="T60" s="138">
        <f t="shared" si="23"/>
        <v>146883.67905999999</v>
      </c>
      <c r="U60" s="138">
        <f t="shared" si="23"/>
        <v>170997.37213</v>
      </c>
      <c r="V60" s="138">
        <f t="shared" si="23"/>
        <v>170997.37213</v>
      </c>
      <c r="W60" s="138">
        <f t="shared" si="23"/>
        <v>170997.37213</v>
      </c>
      <c r="X60" s="138">
        <f t="shared" si="23"/>
        <v>170997.37213</v>
      </c>
      <c r="Y60" s="21"/>
      <c r="Z60" s="21"/>
    </row>
    <row r="61" spans="1:28" x14ac:dyDescent="0.3">
      <c r="A61" s="91"/>
      <c r="B61" s="91"/>
      <c r="C61" s="91"/>
      <c r="D61" s="93"/>
      <c r="E61" s="91"/>
      <c r="F61" s="6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8" ht="19.5" thickBot="1" x14ac:dyDescent="0.35">
      <c r="A62" s="91"/>
      <c r="B62" s="91"/>
      <c r="C62" s="91"/>
      <c r="D62" s="93"/>
      <c r="E62" s="91"/>
      <c r="F62" s="6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8" ht="21.75" thickBot="1" x14ac:dyDescent="0.4">
      <c r="A63" s="91"/>
      <c r="B63" s="91"/>
      <c r="C63" s="91"/>
      <c r="D63" s="93"/>
      <c r="E63" s="91"/>
      <c r="F63" s="74" t="s">
        <v>23</v>
      </c>
      <c r="G63" s="75" t="s">
        <v>8</v>
      </c>
      <c r="H63" s="75" t="s">
        <v>9</v>
      </c>
      <c r="I63" s="76" t="s">
        <v>10</v>
      </c>
      <c r="J63" s="76" t="s">
        <v>11</v>
      </c>
      <c r="K63" s="76" t="s">
        <v>12</v>
      </c>
      <c r="L63" s="118" t="s">
        <v>63</v>
      </c>
      <c r="M63" s="122">
        <v>45839</v>
      </c>
      <c r="N63" s="120">
        <v>45870</v>
      </c>
      <c r="O63" s="120">
        <v>45901</v>
      </c>
      <c r="P63" s="120">
        <v>45931</v>
      </c>
      <c r="Q63" s="120">
        <v>45962</v>
      </c>
      <c r="R63" s="120">
        <v>45992</v>
      </c>
      <c r="S63" s="120">
        <v>46023</v>
      </c>
      <c r="T63" s="120">
        <v>46054</v>
      </c>
      <c r="U63" s="120">
        <v>46082</v>
      </c>
      <c r="V63" s="120">
        <v>46113</v>
      </c>
      <c r="W63" s="120">
        <v>46143</v>
      </c>
      <c r="X63" s="121">
        <v>46174</v>
      </c>
    </row>
    <row r="64" spans="1:28" ht="21" x14ac:dyDescent="0.35">
      <c r="A64" s="91"/>
      <c r="B64" s="91"/>
      <c r="C64" s="91"/>
      <c r="D64" s="93"/>
      <c r="E64" s="91"/>
      <c r="F64" s="61"/>
      <c r="G64" s="81" t="s">
        <v>13</v>
      </c>
      <c r="H64" s="82" t="s">
        <v>4</v>
      </c>
      <c r="I64" s="83" t="s">
        <v>14</v>
      </c>
      <c r="J64" s="83" t="s">
        <v>15</v>
      </c>
      <c r="K64" s="83" t="s">
        <v>16</v>
      </c>
      <c r="L64" s="123">
        <f>+X64</f>
        <v>0.57523234270875878</v>
      </c>
      <c r="M64" s="124">
        <f>+M52/M40</f>
        <v>5.5814583859973566E-2</v>
      </c>
      <c r="N64" s="124">
        <f t="shared" ref="N64:X64" si="24">+N52/N40</f>
        <v>0.12905830229229892</v>
      </c>
      <c r="O64" s="124">
        <f t="shared" si="24"/>
        <v>0.18693827524307427</v>
      </c>
      <c r="P64" s="124">
        <f t="shared" si="24"/>
        <v>0.25517626076436206</v>
      </c>
      <c r="Q64" s="124">
        <f>+Q52/Q40</f>
        <v>0.31399656204354448</v>
      </c>
      <c r="R64" s="124">
        <f t="shared" si="24"/>
        <v>0.38372952127790388</v>
      </c>
      <c r="S64" s="124">
        <f t="shared" si="24"/>
        <v>0.44675759999606579</v>
      </c>
      <c r="T64" s="124">
        <f t="shared" si="24"/>
        <v>0.5040174174875699</v>
      </c>
      <c r="U64" s="124">
        <f t="shared" si="24"/>
        <v>0.57523234270875878</v>
      </c>
      <c r="V64" s="124">
        <f t="shared" si="24"/>
        <v>0.57523234270875878</v>
      </c>
      <c r="W64" s="124">
        <f t="shared" si="24"/>
        <v>0.57523234270875878</v>
      </c>
      <c r="X64" s="124">
        <f t="shared" si="24"/>
        <v>0.57523234270875878</v>
      </c>
    </row>
    <row r="65" spans="1:24" ht="21" x14ac:dyDescent="0.35">
      <c r="A65" s="91"/>
      <c r="B65" s="91"/>
      <c r="C65" s="91"/>
      <c r="D65" s="93"/>
      <c r="E65" s="91"/>
      <c r="F65" s="61"/>
      <c r="G65" s="81" t="s">
        <v>13</v>
      </c>
      <c r="H65" s="82" t="s">
        <v>4</v>
      </c>
      <c r="I65" s="83" t="s">
        <v>14</v>
      </c>
      <c r="J65" s="84" t="s">
        <v>17</v>
      </c>
      <c r="K65" s="83" t="s">
        <v>16</v>
      </c>
      <c r="L65" s="115">
        <f t="shared" ref="L65:L71" si="25">+X65</f>
        <v>0.6776506112407843</v>
      </c>
      <c r="M65" s="113">
        <f t="shared" ref="M65:X65" si="26">+M53/M41</f>
        <v>5.4670115908970439E-2</v>
      </c>
      <c r="N65" s="113">
        <f t="shared" si="26"/>
        <v>0.15714322343642273</v>
      </c>
      <c r="O65" s="113">
        <f t="shared" si="26"/>
        <v>0.2254188540395739</v>
      </c>
      <c r="P65" s="113">
        <f t="shared" si="26"/>
        <v>0.30514694631584588</v>
      </c>
      <c r="Q65" s="113">
        <f t="shared" si="26"/>
        <v>0.37010713702190934</v>
      </c>
      <c r="R65" s="113">
        <f t="shared" si="26"/>
        <v>0.44109503341997852</v>
      </c>
      <c r="S65" s="113">
        <f t="shared" si="26"/>
        <v>0.51863257068590629</v>
      </c>
      <c r="T65" s="113">
        <f t="shared" si="26"/>
        <v>0.57853311946315955</v>
      </c>
      <c r="U65" s="113">
        <f t="shared" si="26"/>
        <v>0.6776506112407843</v>
      </c>
      <c r="V65" s="113">
        <f t="shared" si="26"/>
        <v>0.6776506112407843</v>
      </c>
      <c r="W65" s="113">
        <f t="shared" si="26"/>
        <v>0.6776506112407843</v>
      </c>
      <c r="X65" s="113">
        <f t="shared" si="26"/>
        <v>0.6776506112407843</v>
      </c>
    </row>
    <row r="66" spans="1:24" ht="21" x14ac:dyDescent="0.35">
      <c r="A66" s="91"/>
      <c r="B66" s="91"/>
      <c r="C66" s="91"/>
      <c r="D66" s="93"/>
      <c r="E66" s="91"/>
      <c r="F66" s="61"/>
      <c r="G66" s="81" t="s">
        <v>13</v>
      </c>
      <c r="H66" s="82" t="s">
        <v>4</v>
      </c>
      <c r="I66" s="83" t="s">
        <v>14</v>
      </c>
      <c r="J66" s="84" t="s">
        <v>18</v>
      </c>
      <c r="K66" s="83" t="s">
        <v>16</v>
      </c>
      <c r="L66" s="115">
        <f t="shared" si="25"/>
        <v>0.51486489576249317</v>
      </c>
      <c r="M66" s="113">
        <f>+M54/M42</f>
        <v>5.6489156954248047E-2</v>
      </c>
      <c r="N66" s="113">
        <f t="shared" ref="N66:X66" si="27">+N54/N42</f>
        <v>0.11250446857241125</v>
      </c>
      <c r="O66" s="113">
        <f t="shared" si="27"/>
        <v>0.16425702577210793</v>
      </c>
      <c r="P66" s="113">
        <f t="shared" si="27"/>
        <v>0.22572250459239104</v>
      </c>
      <c r="Q66" s="113">
        <f t="shared" si="27"/>
        <v>0.2809238279827091</v>
      </c>
      <c r="R66" s="113">
        <f t="shared" si="27"/>
        <v>0.34991710128274273</v>
      </c>
      <c r="S66" s="113">
        <f t="shared" si="27"/>
        <v>0.40439300486988872</v>
      </c>
      <c r="T66" s="113">
        <f t="shared" si="27"/>
        <v>0.46009632069350959</v>
      </c>
      <c r="U66" s="113">
        <f t="shared" si="27"/>
        <v>0.51486489576249317</v>
      </c>
      <c r="V66" s="113">
        <f t="shared" si="27"/>
        <v>0.51486489576249317</v>
      </c>
      <c r="W66" s="113">
        <f t="shared" si="27"/>
        <v>0.51486489576249317</v>
      </c>
      <c r="X66" s="113">
        <f t="shared" si="27"/>
        <v>0.51486489576249317</v>
      </c>
    </row>
    <row r="67" spans="1:24" ht="21" x14ac:dyDescent="0.35">
      <c r="A67" s="91"/>
      <c r="B67" s="91"/>
      <c r="C67" s="91"/>
      <c r="D67" s="93"/>
      <c r="E67" s="91"/>
      <c r="F67" s="61"/>
      <c r="G67" s="81" t="s">
        <v>13</v>
      </c>
      <c r="H67" s="82" t="s">
        <v>4</v>
      </c>
      <c r="I67" s="83" t="s">
        <v>19</v>
      </c>
      <c r="J67" s="84" t="s">
        <v>5</v>
      </c>
      <c r="K67" s="83" t="s">
        <v>16</v>
      </c>
      <c r="L67" s="115">
        <f t="shared" si="25"/>
        <v>0.35623807202381869</v>
      </c>
      <c r="M67" s="113">
        <f>+M55/M43</f>
        <v>-5.1595190994336909E-3</v>
      </c>
      <c r="N67" s="113">
        <f t="shared" ref="N67:X67" si="28">+N55/N43</f>
        <v>1.7748648076244263E-2</v>
      </c>
      <c r="O67" s="113">
        <f t="shared" si="28"/>
        <v>5.1616202596724947E-2</v>
      </c>
      <c r="P67" s="113">
        <f t="shared" si="28"/>
        <v>9.1410644500376004E-2</v>
      </c>
      <c r="Q67" s="113">
        <f t="shared" si="28"/>
        <v>0.13383823263094891</v>
      </c>
      <c r="R67" s="113">
        <f t="shared" si="28"/>
        <v>0.17188324429472521</v>
      </c>
      <c r="S67" s="113">
        <f t="shared" si="28"/>
        <v>0.2449813661965346</v>
      </c>
      <c r="T67" s="113">
        <f t="shared" si="28"/>
        <v>0.29471945218619072</v>
      </c>
      <c r="U67" s="113">
        <f t="shared" si="28"/>
        <v>0.35623807202381869</v>
      </c>
      <c r="V67" s="113">
        <f t="shared" si="28"/>
        <v>0.35623807202381869</v>
      </c>
      <c r="W67" s="113">
        <f t="shared" si="28"/>
        <v>0.35623807202381869</v>
      </c>
      <c r="X67" s="113">
        <f t="shared" si="28"/>
        <v>0.35623807202381869</v>
      </c>
    </row>
    <row r="68" spans="1:24" ht="21" x14ac:dyDescent="0.35">
      <c r="A68" s="91"/>
      <c r="B68" s="91"/>
      <c r="C68" s="91"/>
      <c r="D68" s="93"/>
      <c r="E68" s="91"/>
      <c r="F68" s="61"/>
      <c r="G68" s="81" t="s">
        <v>13</v>
      </c>
      <c r="H68" s="82" t="s">
        <v>4</v>
      </c>
      <c r="I68" s="83" t="s">
        <v>19</v>
      </c>
      <c r="J68" s="84" t="s">
        <v>15</v>
      </c>
      <c r="K68" s="83" t="s">
        <v>16</v>
      </c>
      <c r="L68" s="115">
        <f t="shared" si="25"/>
        <v>0</v>
      </c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</row>
    <row r="69" spans="1:24" ht="21" x14ac:dyDescent="0.3">
      <c r="A69" s="91"/>
      <c r="B69" s="91"/>
      <c r="C69" s="91"/>
      <c r="D69" s="93"/>
      <c r="E69" s="91"/>
      <c r="F69" s="61"/>
      <c r="G69" s="86" t="s">
        <v>13</v>
      </c>
      <c r="H69" s="87" t="s">
        <v>4</v>
      </c>
      <c r="I69" s="88" t="s">
        <v>19</v>
      </c>
      <c r="J69" s="89" t="s">
        <v>20</v>
      </c>
      <c r="K69" s="88" t="s">
        <v>16</v>
      </c>
      <c r="L69" s="115">
        <f t="shared" si="25"/>
        <v>0.61896448443942764</v>
      </c>
      <c r="M69" s="113">
        <f>M57/M45</f>
        <v>1.2193277253615412E-2</v>
      </c>
      <c r="N69" s="113">
        <f t="shared" ref="N69:X69" si="29">N57/N45</f>
        <v>0.22398885361047682</v>
      </c>
      <c r="O69" s="113">
        <f t="shared" si="29"/>
        <v>0.29047432502689857</v>
      </c>
      <c r="P69" s="113">
        <f t="shared" si="29"/>
        <v>0.30747993576260779</v>
      </c>
      <c r="Q69" s="113">
        <f t="shared" si="29"/>
        <v>0.48450966888004976</v>
      </c>
      <c r="R69" s="113">
        <f t="shared" si="29"/>
        <v>0.51289476867009709</v>
      </c>
      <c r="S69" s="113">
        <f t="shared" si="29"/>
        <v>0.52667013789971662</v>
      </c>
      <c r="T69" s="113">
        <f t="shared" si="29"/>
        <v>0.55876264062379044</v>
      </c>
      <c r="U69" s="113">
        <f t="shared" si="29"/>
        <v>0.61896448443942764</v>
      </c>
      <c r="V69" s="113">
        <f t="shared" si="29"/>
        <v>0.61896448443942764</v>
      </c>
      <c r="W69" s="113">
        <f t="shared" si="29"/>
        <v>0.61896448443942764</v>
      </c>
      <c r="X69" s="113">
        <f t="shared" si="29"/>
        <v>0.61896448443942764</v>
      </c>
    </row>
    <row r="70" spans="1:24" ht="21" x14ac:dyDescent="0.35">
      <c r="A70" s="91"/>
      <c r="B70" s="91"/>
      <c r="C70" s="91"/>
      <c r="D70" s="93"/>
      <c r="E70" s="91"/>
      <c r="F70" s="61"/>
      <c r="G70" s="81" t="s">
        <v>13</v>
      </c>
      <c r="H70" s="82" t="s">
        <v>4</v>
      </c>
      <c r="I70" s="83" t="s">
        <v>19</v>
      </c>
      <c r="J70" s="84" t="s">
        <v>21</v>
      </c>
      <c r="K70" s="83" t="s">
        <v>16</v>
      </c>
      <c r="L70" s="115">
        <f t="shared" si="25"/>
        <v>0.35623807202381869</v>
      </c>
      <c r="M70" s="113">
        <f>+M58/M46</f>
        <v>-5.1595190994336909E-3</v>
      </c>
      <c r="N70" s="113">
        <f t="shared" ref="N70:X71" si="30">+N58/N46</f>
        <v>1.7748648076244263E-2</v>
      </c>
      <c r="O70" s="113">
        <f t="shared" si="30"/>
        <v>5.1616202596724947E-2</v>
      </c>
      <c r="P70" s="113">
        <f t="shared" si="30"/>
        <v>9.1410644500376004E-2</v>
      </c>
      <c r="Q70" s="113">
        <f t="shared" si="30"/>
        <v>0.13383823263094891</v>
      </c>
      <c r="R70" s="113">
        <f t="shared" si="30"/>
        <v>0.17188324429472521</v>
      </c>
      <c r="S70" s="113">
        <f t="shared" si="30"/>
        <v>0.2449813661965346</v>
      </c>
      <c r="T70" s="113">
        <f t="shared" si="30"/>
        <v>0.29471945218619072</v>
      </c>
      <c r="U70" s="113">
        <f t="shared" si="30"/>
        <v>0.35623807202381869</v>
      </c>
      <c r="V70" s="113">
        <f t="shared" si="30"/>
        <v>0.35623807202381869</v>
      </c>
      <c r="W70" s="113">
        <f t="shared" si="30"/>
        <v>0.35623807202381869</v>
      </c>
      <c r="X70" s="113">
        <f t="shared" si="30"/>
        <v>0.35623807202381869</v>
      </c>
    </row>
    <row r="71" spans="1:24" ht="21" x14ac:dyDescent="0.35">
      <c r="A71" s="91"/>
      <c r="B71" s="91"/>
      <c r="C71" s="91"/>
      <c r="D71" s="93"/>
      <c r="E71" s="91"/>
      <c r="F71" s="61"/>
      <c r="G71" s="81" t="s">
        <v>13</v>
      </c>
      <c r="H71" s="82" t="s">
        <v>4</v>
      </c>
      <c r="I71" s="83" t="s">
        <v>19</v>
      </c>
      <c r="J71" s="84" t="s">
        <v>68</v>
      </c>
      <c r="K71" s="83" t="s">
        <v>16</v>
      </c>
      <c r="L71" s="115">
        <f t="shared" si="25"/>
        <v>0.65199392682717838</v>
      </c>
      <c r="M71" s="113">
        <f>+M59/M47</f>
        <v>0.33293354211292947</v>
      </c>
      <c r="N71" s="113">
        <f t="shared" si="30"/>
        <v>6.4587500642618478E-2</v>
      </c>
      <c r="O71" s="113">
        <f t="shared" si="30"/>
        <v>7.6505864964441797E-2</v>
      </c>
      <c r="P71" s="113">
        <f t="shared" si="30"/>
        <v>0.15598780395852968</v>
      </c>
      <c r="Q71" s="113">
        <f t="shared" si="30"/>
        <v>0.28322387798817578</v>
      </c>
      <c r="R71" s="113">
        <f t="shared" si="30"/>
        <v>0.292168850141376</v>
      </c>
      <c r="S71" s="113">
        <f t="shared" si="30"/>
        <v>0.47781715876959985</v>
      </c>
      <c r="T71" s="113">
        <f t="shared" si="30"/>
        <v>0.51349978065290025</v>
      </c>
      <c r="U71" s="113">
        <f t="shared" si="30"/>
        <v>0.65199392682717838</v>
      </c>
      <c r="V71" s="113">
        <f t="shared" si="30"/>
        <v>0.65199392682717838</v>
      </c>
      <c r="W71" s="113">
        <f t="shared" si="30"/>
        <v>0.65199392682717838</v>
      </c>
      <c r="X71" s="113">
        <f t="shared" si="30"/>
        <v>0.65199392682717838</v>
      </c>
    </row>
    <row r="72" spans="1:24" ht="21.75" thickBot="1" x14ac:dyDescent="0.4">
      <c r="A72" s="91"/>
      <c r="B72" s="91"/>
      <c r="C72" s="91"/>
      <c r="D72" s="93"/>
      <c r="E72" s="91"/>
      <c r="F72" s="61"/>
      <c r="G72" s="78" t="s">
        <v>13</v>
      </c>
      <c r="H72" s="79" t="s">
        <v>4</v>
      </c>
      <c r="I72" s="80" t="s">
        <v>67</v>
      </c>
      <c r="J72" s="66"/>
      <c r="K72" s="80" t="s">
        <v>16</v>
      </c>
      <c r="L72" s="139">
        <f t="shared" ref="L72" si="31">X72</f>
        <v>0.49518238667099113</v>
      </c>
      <c r="M72" s="140">
        <f t="shared" ref="M72:X72" si="32">M60/M48</f>
        <v>4.2170020850105121E-2</v>
      </c>
      <c r="N72" s="140">
        <f t="shared" si="32"/>
        <v>8.4873193193599025E-2</v>
      </c>
      <c r="O72" s="140">
        <f t="shared" si="32"/>
        <v>0.13213794823382236</v>
      </c>
      <c r="P72" s="140">
        <f t="shared" si="32"/>
        <v>0.1900218945216349</v>
      </c>
      <c r="Q72" s="140">
        <f t="shared" si="32"/>
        <v>0.24496817355975006</v>
      </c>
      <c r="R72" s="140">
        <f t="shared" si="32"/>
        <v>0.30068822151499186</v>
      </c>
      <c r="S72" s="140">
        <f t="shared" si="32"/>
        <v>0.37166079433108812</v>
      </c>
      <c r="T72" s="140">
        <f t="shared" si="32"/>
        <v>0.42535279843160873</v>
      </c>
      <c r="U72" s="140">
        <f t="shared" si="32"/>
        <v>0.49518238667099113</v>
      </c>
      <c r="V72" s="140">
        <f t="shared" si="32"/>
        <v>0.49518238667099113</v>
      </c>
      <c r="W72" s="140">
        <f t="shared" si="32"/>
        <v>0.49518238667099113</v>
      </c>
      <c r="X72" s="140">
        <f t="shared" si="32"/>
        <v>0.49518238667099113</v>
      </c>
    </row>
  </sheetData>
  <conditionalFormatting sqref="G4:H12 J4:K12">
    <cfRule type="expression" dxfId="16" priority="14">
      <formula>$BX4=1</formula>
    </cfRule>
  </conditionalFormatting>
  <conditionalFormatting sqref="G16:H24">
    <cfRule type="expression" dxfId="15" priority="11">
      <formula>$BX16=1</formula>
    </cfRule>
  </conditionalFormatting>
  <conditionalFormatting sqref="G28:H34">
    <cfRule type="expression" dxfId="14" priority="16">
      <formula>$BX28=1</formula>
    </cfRule>
  </conditionalFormatting>
  <conditionalFormatting sqref="G40:H48">
    <cfRule type="expression" dxfId="13" priority="8">
      <formula>$BX40=1</formula>
    </cfRule>
  </conditionalFormatting>
  <conditionalFormatting sqref="G52:H60">
    <cfRule type="expression" dxfId="12" priority="5">
      <formula>$BX52=1</formula>
    </cfRule>
  </conditionalFormatting>
  <conditionalFormatting sqref="G64:H72">
    <cfRule type="expression" dxfId="11" priority="2">
      <formula>$BX64=1</formula>
    </cfRule>
  </conditionalFormatting>
  <conditionalFormatting sqref="I4:I12">
    <cfRule type="expression" dxfId="10" priority="13">
      <formula>$BY4=1</formula>
    </cfRule>
  </conditionalFormatting>
  <conditionalFormatting sqref="I16:I24">
    <cfRule type="expression" dxfId="9" priority="10">
      <formula>$BY16=1</formula>
    </cfRule>
  </conditionalFormatting>
  <conditionalFormatting sqref="I28:I34">
    <cfRule type="expression" dxfId="8" priority="15">
      <formula>$BY28=1</formula>
    </cfRule>
  </conditionalFormatting>
  <conditionalFormatting sqref="I40:I48">
    <cfRule type="expression" dxfId="7" priority="7">
      <formula>$BY40=1</formula>
    </cfRule>
  </conditionalFormatting>
  <conditionalFormatting sqref="I52:I60">
    <cfRule type="expression" dxfId="6" priority="4">
      <formula>$BY52=1</formula>
    </cfRule>
  </conditionalFormatting>
  <conditionalFormatting sqref="I64:I72">
    <cfRule type="expression" dxfId="5" priority="1">
      <formula>$BY64=1</formula>
    </cfRule>
  </conditionalFormatting>
  <conditionalFormatting sqref="J16:K24">
    <cfRule type="expression" dxfId="4" priority="12">
      <formula>$BX16=1</formula>
    </cfRule>
  </conditionalFormatting>
  <conditionalFormatting sqref="J28:K34 J64:K71">
    <cfRule type="expression" dxfId="3" priority="36">
      <formula>$BX28=1</formula>
    </cfRule>
  </conditionalFormatting>
  <conditionalFormatting sqref="J40:K48">
    <cfRule type="expression" dxfId="2" priority="9">
      <formula>$BX40=1</formula>
    </cfRule>
  </conditionalFormatting>
  <conditionalFormatting sqref="J52:K60">
    <cfRule type="expression" dxfId="1" priority="6">
      <formula>$BX52=1</formula>
    </cfRule>
  </conditionalFormatting>
  <conditionalFormatting sqref="K72">
    <cfRule type="expression" dxfId="0" priority="3">
      <formula>$BX72=1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C0E4B-9A2C-4F98-B395-41407F55700D}">
  <sheetPr codeName="Sheet2"/>
  <dimension ref="A1:X44"/>
  <sheetViews>
    <sheetView showGridLines="0" zoomScale="74" workbookViewId="0">
      <selection activeCell="D41" sqref="D41:L41"/>
    </sheetView>
  </sheetViews>
  <sheetFormatPr defaultRowHeight="15" x14ac:dyDescent="0.25"/>
  <cols>
    <col min="1" max="1" width="3.85546875" customWidth="1"/>
    <col min="2" max="2" width="9.85546875" customWidth="1"/>
    <col min="3" max="3" width="46.85546875" customWidth="1"/>
    <col min="4" max="4" width="19.5703125" style="19" bestFit="1" customWidth="1"/>
    <col min="5" max="5" width="20" style="19" bestFit="1" customWidth="1"/>
    <col min="6" max="6" width="19.5703125" style="19" bestFit="1" customWidth="1"/>
    <col min="7" max="7" width="20" style="19" bestFit="1" customWidth="1"/>
    <col min="8" max="8" width="18.85546875" style="19" bestFit="1" customWidth="1"/>
    <col min="9" max="9" width="19.5703125" style="19" bestFit="1" customWidth="1"/>
    <col min="10" max="10" width="20" style="19" bestFit="1" customWidth="1"/>
    <col min="11" max="11" width="19.5703125" style="19" bestFit="1" customWidth="1"/>
    <col min="12" max="12" width="20" style="19" bestFit="1" customWidth="1"/>
    <col min="13" max="13" width="18.85546875" style="19" bestFit="1" customWidth="1"/>
    <col min="14" max="14" width="21.42578125" style="19" customWidth="1"/>
    <col min="15" max="15" width="23.28515625" style="19" customWidth="1"/>
    <col min="16" max="16" width="1.85546875" style="19" customWidth="1"/>
    <col min="17" max="17" width="21.5703125" style="19" bestFit="1" customWidth="1"/>
    <col min="18" max="18" width="2" customWidth="1"/>
    <col min="19" max="19" width="16.7109375" bestFit="1" customWidth="1"/>
    <col min="20" max="20" width="16" bestFit="1" customWidth="1"/>
    <col min="21" max="21" width="16.7109375" style="14" bestFit="1" customWidth="1"/>
    <col min="22" max="22" width="19.140625" style="14" customWidth="1"/>
    <col min="23" max="23" width="17.7109375" bestFit="1" customWidth="1"/>
    <col min="24" max="24" width="6" bestFit="1" customWidth="1"/>
  </cols>
  <sheetData>
    <row r="1" spans="1:24" ht="15.75" thickBot="1" x14ac:dyDescent="0.3">
      <c r="A1" s="13"/>
      <c r="B1" s="13"/>
      <c r="C1" s="13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3"/>
      <c r="S1" s="31"/>
      <c r="T1" s="13"/>
      <c r="U1" s="9"/>
      <c r="V1" s="9"/>
      <c r="W1" s="13"/>
    </row>
    <row r="2" spans="1:24" ht="19.5" thickBot="1" x14ac:dyDescent="0.35">
      <c r="A2" s="13"/>
      <c r="B2" s="12" t="s">
        <v>25</v>
      </c>
      <c r="C2" s="13"/>
      <c r="D2" s="143" t="s">
        <v>62</v>
      </c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5"/>
      <c r="P2" s="16"/>
      <c r="Q2" s="16"/>
      <c r="R2" s="13"/>
      <c r="S2" s="13"/>
      <c r="T2" s="13"/>
      <c r="U2" s="9"/>
      <c r="V2" s="9"/>
      <c r="W2" s="13"/>
    </row>
    <row r="3" spans="1:24" x14ac:dyDescent="0.25">
      <c r="A3" s="13"/>
      <c r="B3" s="45" t="s">
        <v>0</v>
      </c>
      <c r="C3" s="45" t="s">
        <v>26</v>
      </c>
      <c r="D3" s="65" t="s">
        <v>27</v>
      </c>
      <c r="E3" s="65" t="s">
        <v>28</v>
      </c>
      <c r="F3" s="65" t="s">
        <v>29</v>
      </c>
      <c r="G3" s="65" t="s">
        <v>30</v>
      </c>
      <c r="H3" s="65" t="s">
        <v>31</v>
      </c>
      <c r="I3" s="65" t="s">
        <v>32</v>
      </c>
      <c r="J3" s="65" t="s">
        <v>33</v>
      </c>
      <c r="K3" s="65" t="s">
        <v>34</v>
      </c>
      <c r="L3" s="65" t="s">
        <v>35</v>
      </c>
      <c r="M3" s="65" t="s">
        <v>36</v>
      </c>
      <c r="N3" s="65" t="s">
        <v>37</v>
      </c>
      <c r="O3" s="65" t="s">
        <v>38</v>
      </c>
      <c r="P3" s="16"/>
      <c r="Q3" s="46" t="s">
        <v>1</v>
      </c>
      <c r="R3" s="13"/>
      <c r="S3" s="32" t="s">
        <v>39</v>
      </c>
      <c r="T3" s="32" t="s">
        <v>40</v>
      </c>
      <c r="U3" s="33" t="s">
        <v>41</v>
      </c>
      <c r="V3" s="33" t="s">
        <v>42</v>
      </c>
      <c r="W3" s="47" t="s">
        <v>24</v>
      </c>
    </row>
    <row r="4" spans="1:24" ht="15.95" customHeight="1" x14ac:dyDescent="0.25">
      <c r="A4" s="13"/>
      <c r="B4" s="1"/>
      <c r="C4" s="2"/>
      <c r="D4" s="27"/>
      <c r="E4" s="27"/>
      <c r="F4" s="59"/>
      <c r="G4" s="59"/>
      <c r="H4" s="27"/>
      <c r="I4" s="27"/>
      <c r="J4" s="27"/>
      <c r="K4" s="27"/>
      <c r="L4" s="27"/>
      <c r="M4" s="27"/>
      <c r="N4" s="27"/>
      <c r="O4" s="27"/>
      <c r="P4" s="16"/>
      <c r="Q4" s="27"/>
      <c r="R4" s="13"/>
      <c r="S4" s="13"/>
      <c r="T4" s="13"/>
      <c r="U4" s="9"/>
      <c r="V4" s="9"/>
      <c r="W4" s="13"/>
    </row>
    <row r="5" spans="1:24" x14ac:dyDescent="0.25">
      <c r="A5" s="13"/>
      <c r="B5" s="4">
        <v>110</v>
      </c>
      <c r="C5" s="3" t="s">
        <v>43</v>
      </c>
      <c r="D5" s="38">
        <v>2293165.23</v>
      </c>
      <c r="E5" s="38">
        <v>5763699.4500000002</v>
      </c>
      <c r="F5" s="38">
        <v>3655624.4100000006</v>
      </c>
      <c r="G5" s="38">
        <v>4533153.08</v>
      </c>
      <c r="H5" s="38">
        <v>3547987.2699999996</v>
      </c>
      <c r="I5" s="38">
        <v>3713611.2700000005</v>
      </c>
      <c r="J5" s="38">
        <v>3977610.4999999995</v>
      </c>
      <c r="K5" s="38">
        <v>3672426.5999999996</v>
      </c>
      <c r="L5" s="38">
        <v>5864167.7999999989</v>
      </c>
      <c r="M5" s="38"/>
      <c r="N5" s="38"/>
      <c r="O5" s="38"/>
      <c r="P5" s="38"/>
      <c r="Q5" s="38">
        <f>SUM(D5:O5)</f>
        <v>37021445.609999992</v>
      </c>
      <c r="R5" s="13"/>
      <c r="S5" s="9">
        <f t="shared" ref="S5:S27" si="0">SUM(D5:F5)</f>
        <v>11712489.09</v>
      </c>
      <c r="T5" s="9">
        <f t="shared" ref="T5:T27" si="1">SUM(G5:I5)</f>
        <v>11794751.620000001</v>
      </c>
      <c r="U5" s="9">
        <f>SUM(J5:L5)</f>
        <v>13514204.899999999</v>
      </c>
      <c r="V5" s="9">
        <f>SUM(M5:O5)</f>
        <v>0</v>
      </c>
      <c r="W5" s="9">
        <f>SUM(S5:V5)</f>
        <v>37021445.609999999</v>
      </c>
      <c r="X5" s="19">
        <f>+Q5-W5</f>
        <v>0</v>
      </c>
    </row>
    <row r="6" spans="1:24" x14ac:dyDescent="0.25">
      <c r="A6" s="13"/>
      <c r="B6" s="4">
        <v>115</v>
      </c>
      <c r="C6" s="3" t="s">
        <v>2</v>
      </c>
      <c r="D6" s="38">
        <v>363016.17</v>
      </c>
      <c r="E6" s="38">
        <v>372052.78</v>
      </c>
      <c r="F6" s="38">
        <v>321845.32</v>
      </c>
      <c r="G6" s="38">
        <v>304178.07</v>
      </c>
      <c r="H6" s="38">
        <v>293120.57000000007</v>
      </c>
      <c r="I6" s="38">
        <v>340875.37999999995</v>
      </c>
      <c r="J6" s="38">
        <v>278056.12</v>
      </c>
      <c r="K6" s="38">
        <v>285883.72000000003</v>
      </c>
      <c r="L6" s="38">
        <v>304474.90000000002</v>
      </c>
      <c r="M6" s="38"/>
      <c r="N6" s="38"/>
      <c r="O6" s="38"/>
      <c r="P6" s="38"/>
      <c r="Q6" s="38">
        <f t="shared" ref="Q6:Q27" si="2">SUM(D6:O6)</f>
        <v>2863503.0300000003</v>
      </c>
      <c r="R6" s="13"/>
      <c r="S6" s="9">
        <f t="shared" si="0"/>
        <v>1056914.27</v>
      </c>
      <c r="T6" s="9">
        <f t="shared" si="1"/>
        <v>938174.02</v>
      </c>
      <c r="U6" s="9">
        <f>SUM(J6:L6)</f>
        <v>868414.74000000011</v>
      </c>
      <c r="V6" s="9">
        <f t="shared" ref="V6:V27" si="3">SUM(M6:O6)</f>
        <v>0</v>
      </c>
      <c r="W6" s="9">
        <f t="shared" ref="W6:W27" si="4">SUM(S6:V6)</f>
        <v>2863503.0300000003</v>
      </c>
      <c r="X6" s="19">
        <f t="shared" ref="X6:X27" si="5">+Q6-W6</f>
        <v>0</v>
      </c>
    </row>
    <row r="7" spans="1:24" x14ac:dyDescent="0.25">
      <c r="A7" s="13"/>
      <c r="B7" s="4">
        <v>125</v>
      </c>
      <c r="C7" s="3" t="s">
        <v>3</v>
      </c>
      <c r="D7" s="38">
        <v>1466164.02</v>
      </c>
      <c r="E7" s="38">
        <v>1591129.97</v>
      </c>
      <c r="F7" s="38">
        <v>1170785.9199999997</v>
      </c>
      <c r="G7" s="38">
        <v>1174485.9199999997</v>
      </c>
      <c r="H7" s="38">
        <v>1057150.3800000001</v>
      </c>
      <c r="I7" s="38">
        <v>1298284.6900000002</v>
      </c>
      <c r="J7" s="38">
        <v>1590973.8399999999</v>
      </c>
      <c r="K7" s="38">
        <v>558430.65999999957</v>
      </c>
      <c r="L7" s="38">
        <v>1305212.6499999999</v>
      </c>
      <c r="M7" s="38"/>
      <c r="N7" s="38"/>
      <c r="O7" s="38"/>
      <c r="P7" s="38"/>
      <c r="Q7" s="38">
        <f t="shared" si="2"/>
        <v>11212618.050000001</v>
      </c>
      <c r="R7" s="13"/>
      <c r="S7" s="9">
        <f t="shared" si="0"/>
        <v>4228079.91</v>
      </c>
      <c r="T7" s="9">
        <f t="shared" si="1"/>
        <v>3529920.99</v>
      </c>
      <c r="U7" s="9">
        <f>SUM(J7:L7)</f>
        <v>3454617.1499999994</v>
      </c>
      <c r="V7" s="9">
        <f t="shared" si="3"/>
        <v>0</v>
      </c>
      <c r="W7" s="9">
        <f t="shared" si="4"/>
        <v>11212618.050000001</v>
      </c>
      <c r="X7" s="19">
        <f t="shared" si="5"/>
        <v>0</v>
      </c>
    </row>
    <row r="8" spans="1:24" x14ac:dyDescent="0.25">
      <c r="A8" s="13"/>
      <c r="B8" s="4"/>
      <c r="C8" s="5" t="s">
        <v>44</v>
      </c>
      <c r="D8" s="29">
        <f>SUM(D5:D7)</f>
        <v>4122345.42</v>
      </c>
      <c r="E8" s="29">
        <f>SUM(E5:E7)</f>
        <v>7726882.2000000002</v>
      </c>
      <c r="F8" s="29">
        <f t="shared" ref="F8:O8" si="6">SUM(F5:F7)</f>
        <v>5148255.6500000004</v>
      </c>
      <c r="G8" s="29">
        <f t="shared" si="6"/>
        <v>6011817.0700000003</v>
      </c>
      <c r="H8" s="29">
        <f t="shared" si="6"/>
        <v>4898258.22</v>
      </c>
      <c r="I8" s="29">
        <f t="shared" si="6"/>
        <v>5352771.3400000008</v>
      </c>
      <c r="J8" s="29">
        <f t="shared" si="6"/>
        <v>5846640.459999999</v>
      </c>
      <c r="K8" s="29">
        <f t="shared" si="6"/>
        <v>4516740.9799999995</v>
      </c>
      <c r="L8" s="29">
        <f t="shared" si="6"/>
        <v>7473855.3499999996</v>
      </c>
      <c r="M8" s="29">
        <f t="shared" si="6"/>
        <v>0</v>
      </c>
      <c r="N8" s="29">
        <f t="shared" si="6"/>
        <v>0</v>
      </c>
      <c r="O8" s="29">
        <f t="shared" si="6"/>
        <v>0</v>
      </c>
      <c r="P8" s="38"/>
      <c r="Q8" s="29">
        <f t="shared" si="2"/>
        <v>51097566.689999998</v>
      </c>
      <c r="R8" s="13"/>
      <c r="S8" s="10">
        <f t="shared" si="0"/>
        <v>16997483.270000003</v>
      </c>
      <c r="T8" s="10">
        <f t="shared" si="1"/>
        <v>16262846.629999999</v>
      </c>
      <c r="U8" s="26">
        <f>SUM(J8:L8)</f>
        <v>17837236.789999999</v>
      </c>
      <c r="V8" s="26">
        <f t="shared" si="3"/>
        <v>0</v>
      </c>
      <c r="W8" s="10">
        <f t="shared" si="4"/>
        <v>51097566.689999998</v>
      </c>
      <c r="X8" s="19">
        <f t="shared" si="5"/>
        <v>0</v>
      </c>
    </row>
    <row r="9" spans="1:24" x14ac:dyDescent="0.25">
      <c r="A9" s="13"/>
      <c r="B9" s="4"/>
      <c r="C9" s="3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>
        <f t="shared" si="2"/>
        <v>0</v>
      </c>
      <c r="R9" s="13"/>
      <c r="S9" s="9">
        <f t="shared" si="0"/>
        <v>0</v>
      </c>
      <c r="T9" s="9">
        <f t="shared" si="1"/>
        <v>0</v>
      </c>
      <c r="U9" s="9"/>
      <c r="V9" s="9">
        <f t="shared" si="3"/>
        <v>0</v>
      </c>
      <c r="W9" s="9">
        <f t="shared" si="4"/>
        <v>0</v>
      </c>
      <c r="X9" s="19">
        <f t="shared" si="5"/>
        <v>0</v>
      </c>
    </row>
    <row r="10" spans="1:24" x14ac:dyDescent="0.25">
      <c r="A10" s="13"/>
      <c r="B10" s="4">
        <v>200</v>
      </c>
      <c r="C10" s="3" t="s">
        <v>45</v>
      </c>
      <c r="D10" s="38">
        <v>1908922.89</v>
      </c>
      <c r="E10" s="38">
        <v>1485969.78</v>
      </c>
      <c r="F10" s="38">
        <v>1286188.76</v>
      </c>
      <c r="G10" s="38">
        <v>1898094.96</v>
      </c>
      <c r="H10" s="38">
        <v>1658347.6600000004</v>
      </c>
      <c r="I10" s="38">
        <v>1950893.0499999993</v>
      </c>
      <c r="J10" s="38">
        <v>1263223.1000000001</v>
      </c>
      <c r="K10" s="38">
        <v>1249474.9000000001</v>
      </c>
      <c r="L10" s="38">
        <v>1145715.7200000002</v>
      </c>
      <c r="M10" s="38"/>
      <c r="N10" s="38"/>
      <c r="O10" s="38"/>
      <c r="P10" s="38"/>
      <c r="Q10" s="38">
        <f t="shared" si="2"/>
        <v>13846830.82</v>
      </c>
      <c r="R10" s="13"/>
      <c r="S10" s="9">
        <f t="shared" si="0"/>
        <v>4681081.43</v>
      </c>
      <c r="T10" s="9">
        <f t="shared" si="1"/>
        <v>5507335.6699999999</v>
      </c>
      <c r="U10" s="9">
        <f t="shared" ref="U10:U11" si="7">SUM(J10:L10)</f>
        <v>3658413.72</v>
      </c>
      <c r="V10" s="9">
        <f t="shared" si="3"/>
        <v>0</v>
      </c>
      <c r="W10" s="9">
        <f t="shared" si="4"/>
        <v>13846830.82</v>
      </c>
      <c r="X10" s="19">
        <f t="shared" si="5"/>
        <v>0</v>
      </c>
    </row>
    <row r="11" spans="1:24" x14ac:dyDescent="0.25">
      <c r="A11" s="13"/>
      <c r="B11" s="4"/>
      <c r="C11" s="5" t="s">
        <v>46</v>
      </c>
      <c r="D11" s="29">
        <f>SUM(D10)</f>
        <v>1908922.89</v>
      </c>
      <c r="E11" s="29">
        <f t="shared" ref="E11:O11" si="8">SUM(E10)</f>
        <v>1485969.78</v>
      </c>
      <c r="F11" s="29">
        <f t="shared" si="8"/>
        <v>1286188.76</v>
      </c>
      <c r="G11" s="29">
        <f t="shared" si="8"/>
        <v>1898094.96</v>
      </c>
      <c r="H11" s="29">
        <f t="shared" si="8"/>
        <v>1658347.6600000004</v>
      </c>
      <c r="I11" s="29">
        <f t="shared" si="8"/>
        <v>1950893.0499999993</v>
      </c>
      <c r="J11" s="29">
        <f t="shared" si="8"/>
        <v>1263223.1000000001</v>
      </c>
      <c r="K11" s="29">
        <f t="shared" si="8"/>
        <v>1249474.9000000001</v>
      </c>
      <c r="L11" s="29">
        <f t="shared" si="8"/>
        <v>1145715.7200000002</v>
      </c>
      <c r="M11" s="29">
        <f t="shared" si="8"/>
        <v>0</v>
      </c>
      <c r="N11" s="29">
        <f t="shared" si="8"/>
        <v>0</v>
      </c>
      <c r="O11" s="29">
        <f t="shared" si="8"/>
        <v>0</v>
      </c>
      <c r="P11" s="38"/>
      <c r="Q11" s="29">
        <f t="shared" si="2"/>
        <v>13846830.82</v>
      </c>
      <c r="R11" s="13"/>
      <c r="S11" s="10">
        <f t="shared" si="0"/>
        <v>4681081.43</v>
      </c>
      <c r="T11" s="10">
        <f t="shared" si="1"/>
        <v>5507335.6699999999</v>
      </c>
      <c r="U11" s="10">
        <f t="shared" si="7"/>
        <v>3658413.72</v>
      </c>
      <c r="V11" s="10">
        <f t="shared" si="3"/>
        <v>0</v>
      </c>
      <c r="W11" s="10">
        <f t="shared" si="4"/>
        <v>13846830.82</v>
      </c>
      <c r="X11" s="19">
        <f t="shared" si="5"/>
        <v>0</v>
      </c>
    </row>
    <row r="12" spans="1:24" x14ac:dyDescent="0.25">
      <c r="A12" s="13"/>
      <c r="B12" s="4"/>
      <c r="C12" s="3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>
        <f t="shared" si="2"/>
        <v>0</v>
      </c>
      <c r="R12" s="13"/>
      <c r="S12" s="9">
        <f t="shared" si="0"/>
        <v>0</v>
      </c>
      <c r="T12" s="9">
        <f t="shared" si="1"/>
        <v>0</v>
      </c>
      <c r="U12" s="9"/>
      <c r="V12" s="9">
        <f t="shared" si="3"/>
        <v>0</v>
      </c>
      <c r="W12" s="9">
        <f t="shared" si="4"/>
        <v>0</v>
      </c>
      <c r="X12" s="19">
        <f t="shared" si="5"/>
        <v>0</v>
      </c>
    </row>
    <row r="13" spans="1:24" x14ac:dyDescent="0.25">
      <c r="A13" s="13"/>
      <c r="B13" s="4">
        <v>600</v>
      </c>
      <c r="C13" s="3" t="s">
        <v>47</v>
      </c>
      <c r="D13" s="38">
        <v>546064.37000000011</v>
      </c>
      <c r="E13" s="38">
        <v>546425.04</v>
      </c>
      <c r="F13" s="38">
        <v>544795.97</v>
      </c>
      <c r="G13" s="38">
        <v>542216.81000000006</v>
      </c>
      <c r="H13" s="38">
        <v>580000</v>
      </c>
      <c r="I13" s="38">
        <v>636908.81000000006</v>
      </c>
      <c r="J13" s="38">
        <v>401426.98000000074</v>
      </c>
      <c r="K13" s="38">
        <v>563538.73000000021</v>
      </c>
      <c r="L13" s="38">
        <v>585800.00000000012</v>
      </c>
      <c r="M13" s="38"/>
      <c r="N13" s="38"/>
      <c r="O13" s="38"/>
      <c r="P13" s="38"/>
      <c r="Q13" s="38">
        <f t="shared" si="2"/>
        <v>4947176.7100000018</v>
      </c>
      <c r="R13" s="13"/>
      <c r="S13" s="9">
        <f t="shared" si="0"/>
        <v>1637285.3800000001</v>
      </c>
      <c r="T13" s="9">
        <f t="shared" si="1"/>
        <v>1759125.62</v>
      </c>
      <c r="U13" s="9">
        <f t="shared" ref="U13:U14" si="9">SUM(J13:L13)</f>
        <v>1550765.7100000009</v>
      </c>
      <c r="V13" s="9">
        <f t="shared" si="3"/>
        <v>0</v>
      </c>
      <c r="W13" s="9">
        <f t="shared" si="4"/>
        <v>4947176.7100000009</v>
      </c>
      <c r="X13" s="19">
        <f t="shared" si="5"/>
        <v>0</v>
      </c>
    </row>
    <row r="14" spans="1:24" x14ac:dyDescent="0.25">
      <c r="A14" s="13"/>
      <c r="B14" s="4"/>
      <c r="C14" s="5" t="s">
        <v>48</v>
      </c>
      <c r="D14" s="142">
        <f>+D13</f>
        <v>546064.37000000011</v>
      </c>
      <c r="E14" s="142">
        <f>+E13</f>
        <v>546425.04</v>
      </c>
      <c r="F14" s="142">
        <f t="shared" ref="F14:P14" si="10">+F13</f>
        <v>544795.97</v>
      </c>
      <c r="G14" s="142">
        <f t="shared" si="10"/>
        <v>542216.81000000006</v>
      </c>
      <c r="H14" s="142">
        <f t="shared" si="10"/>
        <v>580000</v>
      </c>
      <c r="I14" s="142">
        <f t="shared" si="10"/>
        <v>636908.81000000006</v>
      </c>
      <c r="J14" s="29">
        <f t="shared" si="10"/>
        <v>401426.98000000074</v>
      </c>
      <c r="K14" s="29">
        <f t="shared" si="10"/>
        <v>563538.73000000021</v>
      </c>
      <c r="L14" s="29">
        <f t="shared" si="10"/>
        <v>585800.00000000012</v>
      </c>
      <c r="M14" s="29">
        <f t="shared" si="10"/>
        <v>0</v>
      </c>
      <c r="N14" s="29">
        <f t="shared" si="10"/>
        <v>0</v>
      </c>
      <c r="O14" s="29">
        <f t="shared" si="10"/>
        <v>0</v>
      </c>
      <c r="P14" s="29">
        <f t="shared" si="10"/>
        <v>0</v>
      </c>
      <c r="Q14" s="29">
        <f t="shared" si="2"/>
        <v>4947176.7100000018</v>
      </c>
      <c r="R14" s="13"/>
      <c r="S14" s="10">
        <f t="shared" si="0"/>
        <v>1637285.3800000001</v>
      </c>
      <c r="T14" s="10">
        <f t="shared" si="1"/>
        <v>1759125.62</v>
      </c>
      <c r="U14" s="10">
        <f t="shared" si="9"/>
        <v>1550765.7100000009</v>
      </c>
      <c r="V14" s="10">
        <f t="shared" si="3"/>
        <v>0</v>
      </c>
      <c r="W14" s="10">
        <f t="shared" si="4"/>
        <v>4947176.7100000009</v>
      </c>
      <c r="X14" s="19">
        <f t="shared" si="5"/>
        <v>0</v>
      </c>
    </row>
    <row r="15" spans="1:24" x14ac:dyDescent="0.25">
      <c r="A15" s="13"/>
      <c r="B15" s="4"/>
      <c r="C15" s="3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>
        <f t="shared" si="2"/>
        <v>0</v>
      </c>
      <c r="R15" s="13"/>
      <c r="S15" s="9">
        <f t="shared" si="0"/>
        <v>0</v>
      </c>
      <c r="T15" s="9">
        <f t="shared" si="1"/>
        <v>0</v>
      </c>
      <c r="U15" s="9"/>
      <c r="V15" s="9">
        <f t="shared" si="3"/>
        <v>0</v>
      </c>
      <c r="W15" s="9">
        <f t="shared" si="4"/>
        <v>0</v>
      </c>
      <c r="X15" s="19">
        <f t="shared" si="5"/>
        <v>0</v>
      </c>
    </row>
    <row r="16" spans="1:24" x14ac:dyDescent="0.25">
      <c r="A16" s="13"/>
      <c r="B16" s="127" t="s">
        <v>64</v>
      </c>
      <c r="C16" s="3" t="s">
        <v>65</v>
      </c>
      <c r="D16" s="38">
        <v>12845.33</v>
      </c>
      <c r="E16" s="38">
        <v>75826.67</v>
      </c>
      <c r="F16" s="38">
        <v>-1084.3400000000001</v>
      </c>
      <c r="G16" s="38">
        <v>12212.129999999996</v>
      </c>
      <c r="H16" s="38">
        <v>99247.12000000001</v>
      </c>
      <c r="I16" s="38">
        <v>6941.7</v>
      </c>
      <c r="J16" s="38">
        <v>65733.41</v>
      </c>
      <c r="K16" s="38">
        <v>165735.43999999997</v>
      </c>
      <c r="L16" s="38">
        <v>55952.340000000018</v>
      </c>
      <c r="M16" s="38"/>
      <c r="N16" s="38"/>
      <c r="O16" s="38"/>
      <c r="P16" s="38"/>
      <c r="Q16" s="38">
        <f t="shared" si="2"/>
        <v>493409.8</v>
      </c>
      <c r="R16" s="13"/>
      <c r="S16" s="9">
        <f t="shared" si="0"/>
        <v>87587.66</v>
      </c>
      <c r="T16" s="9">
        <f t="shared" si="1"/>
        <v>118400.95</v>
      </c>
      <c r="U16" s="9">
        <f t="shared" ref="U16:U17" si="11">SUM(J16:L16)</f>
        <v>287421.19</v>
      </c>
      <c r="V16" s="9">
        <f t="shared" si="3"/>
        <v>0</v>
      </c>
      <c r="W16" s="9">
        <f t="shared" si="4"/>
        <v>493409.8</v>
      </c>
      <c r="X16" s="19">
        <f t="shared" si="5"/>
        <v>0</v>
      </c>
    </row>
    <row r="17" spans="1:24" x14ac:dyDescent="0.25">
      <c r="A17" s="13"/>
      <c r="B17" s="4"/>
      <c r="C17" s="5" t="s">
        <v>49</v>
      </c>
      <c r="D17" s="29">
        <f>+D16</f>
        <v>12845.33</v>
      </c>
      <c r="E17" s="29">
        <f>+E16</f>
        <v>75826.67</v>
      </c>
      <c r="F17" s="29">
        <f t="shared" ref="F17:O17" si="12">+F16</f>
        <v>-1084.3400000000001</v>
      </c>
      <c r="G17" s="29">
        <f t="shared" si="12"/>
        <v>12212.129999999996</v>
      </c>
      <c r="H17" s="29">
        <f t="shared" si="12"/>
        <v>99247.12000000001</v>
      </c>
      <c r="I17" s="29">
        <f t="shared" si="12"/>
        <v>6941.7</v>
      </c>
      <c r="J17" s="29">
        <f t="shared" si="12"/>
        <v>65733.41</v>
      </c>
      <c r="K17" s="29">
        <f t="shared" si="12"/>
        <v>165735.43999999997</v>
      </c>
      <c r="L17" s="29">
        <f t="shared" si="12"/>
        <v>55952.340000000018</v>
      </c>
      <c r="M17" s="29">
        <f t="shared" si="12"/>
        <v>0</v>
      </c>
      <c r="N17" s="29">
        <f t="shared" si="12"/>
        <v>0</v>
      </c>
      <c r="O17" s="29">
        <f t="shared" si="12"/>
        <v>0</v>
      </c>
      <c r="P17" s="38"/>
      <c r="Q17" s="29">
        <f t="shared" si="2"/>
        <v>493409.8</v>
      </c>
      <c r="R17" s="13"/>
      <c r="S17" s="10">
        <f t="shared" si="0"/>
        <v>87587.66</v>
      </c>
      <c r="T17" s="10">
        <f t="shared" si="1"/>
        <v>118400.95</v>
      </c>
      <c r="U17" s="10">
        <f t="shared" si="11"/>
        <v>287421.19</v>
      </c>
      <c r="V17" s="10">
        <f t="shared" si="3"/>
        <v>0</v>
      </c>
      <c r="W17" s="10">
        <f t="shared" si="4"/>
        <v>493409.8</v>
      </c>
      <c r="X17" s="19">
        <f t="shared" si="5"/>
        <v>0</v>
      </c>
    </row>
    <row r="18" spans="1:24" x14ac:dyDescent="0.25">
      <c r="A18" s="13"/>
      <c r="B18" s="4"/>
      <c r="C18" s="3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>
        <f t="shared" si="2"/>
        <v>0</v>
      </c>
      <c r="R18" s="13"/>
      <c r="S18" s="9">
        <f t="shared" si="0"/>
        <v>0</v>
      </c>
      <c r="T18" s="9">
        <f t="shared" si="1"/>
        <v>0</v>
      </c>
      <c r="U18" s="9"/>
      <c r="V18" s="9">
        <f t="shared" si="3"/>
        <v>0</v>
      </c>
      <c r="W18" s="9">
        <f t="shared" si="4"/>
        <v>0</v>
      </c>
      <c r="X18" s="19">
        <f t="shared" si="5"/>
        <v>0</v>
      </c>
    </row>
    <row r="19" spans="1:24" x14ac:dyDescent="0.25">
      <c r="A19" s="13"/>
      <c r="B19" s="4">
        <v>556</v>
      </c>
      <c r="C19" s="3" t="s">
        <v>50</v>
      </c>
      <c r="D19" s="58">
        <v>3389900.4899999998</v>
      </c>
      <c r="E19" s="58">
        <v>3356211</v>
      </c>
      <c r="F19" s="58">
        <v>3600484.54</v>
      </c>
      <c r="G19" s="58">
        <v>3356047.4699999988</v>
      </c>
      <c r="H19" s="58">
        <v>3356178.9</v>
      </c>
      <c r="I19" s="58">
        <v>3361017.53</v>
      </c>
      <c r="J19" s="58">
        <v>3358370.26</v>
      </c>
      <c r="K19" s="58">
        <v>3455423.0899999971</v>
      </c>
      <c r="L19" s="58">
        <v>3361378.3000000007</v>
      </c>
      <c r="M19" s="58"/>
      <c r="N19" s="58"/>
      <c r="O19" s="58"/>
      <c r="P19" s="38"/>
      <c r="Q19" s="58">
        <f t="shared" si="2"/>
        <v>30595011.579999994</v>
      </c>
      <c r="R19" s="13"/>
      <c r="S19" s="15">
        <f t="shared" si="0"/>
        <v>10346596.030000001</v>
      </c>
      <c r="T19" s="15">
        <f t="shared" si="1"/>
        <v>10073243.899999999</v>
      </c>
      <c r="U19" s="15">
        <f t="shared" ref="U19:U20" si="13">SUM(J19:L19)</f>
        <v>10175171.649999999</v>
      </c>
      <c r="V19" s="15">
        <f t="shared" si="3"/>
        <v>0</v>
      </c>
      <c r="W19" s="15">
        <f t="shared" si="4"/>
        <v>30595011.579999998</v>
      </c>
      <c r="X19" s="19">
        <f t="shared" si="5"/>
        <v>0</v>
      </c>
    </row>
    <row r="20" spans="1:24" x14ac:dyDescent="0.25">
      <c r="A20" s="13"/>
      <c r="B20" s="4"/>
      <c r="C20" s="5" t="s">
        <v>51</v>
      </c>
      <c r="D20" s="29">
        <f>+D19</f>
        <v>3389900.4899999998</v>
      </c>
      <c r="E20" s="29">
        <f>+E19</f>
        <v>3356211</v>
      </c>
      <c r="F20" s="29">
        <f t="shared" ref="F20:O20" si="14">+F19</f>
        <v>3600484.54</v>
      </c>
      <c r="G20" s="29">
        <f t="shared" si="14"/>
        <v>3356047.4699999988</v>
      </c>
      <c r="H20" s="29">
        <f t="shared" si="14"/>
        <v>3356178.9</v>
      </c>
      <c r="I20" s="29">
        <f t="shared" si="14"/>
        <v>3361017.53</v>
      </c>
      <c r="J20" s="29">
        <f t="shared" si="14"/>
        <v>3358370.26</v>
      </c>
      <c r="K20" s="29">
        <f t="shared" si="14"/>
        <v>3455423.0899999971</v>
      </c>
      <c r="L20" s="29">
        <f t="shared" si="14"/>
        <v>3361378.3000000007</v>
      </c>
      <c r="M20" s="29">
        <f t="shared" si="14"/>
        <v>0</v>
      </c>
      <c r="N20" s="29">
        <f t="shared" si="14"/>
        <v>0</v>
      </c>
      <c r="O20" s="29">
        <f t="shared" si="14"/>
        <v>0</v>
      </c>
      <c r="P20" s="38"/>
      <c r="Q20" s="29">
        <f t="shared" si="2"/>
        <v>30595011.579999994</v>
      </c>
      <c r="R20" s="13"/>
      <c r="S20" s="10">
        <f t="shared" si="0"/>
        <v>10346596.030000001</v>
      </c>
      <c r="T20" s="10">
        <f t="shared" si="1"/>
        <v>10073243.899999999</v>
      </c>
      <c r="U20" s="10">
        <f t="shared" si="13"/>
        <v>10175171.649999999</v>
      </c>
      <c r="V20" s="10">
        <f t="shared" si="3"/>
        <v>0</v>
      </c>
      <c r="W20" s="10">
        <f t="shared" si="4"/>
        <v>30595011.579999998</v>
      </c>
      <c r="X20" s="19">
        <f t="shared" si="5"/>
        <v>0</v>
      </c>
    </row>
    <row r="21" spans="1:24" x14ac:dyDescent="0.25">
      <c r="A21" s="13"/>
      <c r="B21" s="4"/>
      <c r="C21" s="3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>
        <f t="shared" si="2"/>
        <v>0</v>
      </c>
      <c r="R21" s="13"/>
      <c r="S21" s="9">
        <f t="shared" si="0"/>
        <v>0</v>
      </c>
      <c r="T21" s="9">
        <f t="shared" si="1"/>
        <v>0</v>
      </c>
      <c r="U21" s="9"/>
      <c r="V21" s="9">
        <f t="shared" si="3"/>
        <v>0</v>
      </c>
      <c r="W21" s="9">
        <f t="shared" si="4"/>
        <v>0</v>
      </c>
      <c r="X21" s="19">
        <f t="shared" si="5"/>
        <v>0</v>
      </c>
    </row>
    <row r="22" spans="1:24" x14ac:dyDescent="0.25">
      <c r="A22" s="13"/>
      <c r="B22" s="4" t="s">
        <v>66</v>
      </c>
      <c r="C22" s="3" t="s">
        <v>52</v>
      </c>
      <c r="D22" s="38">
        <v>936529.41</v>
      </c>
      <c r="E22" s="38">
        <v>1016143.49</v>
      </c>
      <c r="F22" s="38">
        <v>692718.16</v>
      </c>
      <c r="G22" s="38">
        <v>1016487.0299999998</v>
      </c>
      <c r="H22" s="38">
        <v>984295.4800000001</v>
      </c>
      <c r="I22" s="38">
        <v>876463.25</v>
      </c>
      <c r="J22" s="38">
        <v>631502.21</v>
      </c>
      <c r="K22" s="38">
        <v>576471.88000000012</v>
      </c>
      <c r="L22" s="38">
        <v>517329.91999999987</v>
      </c>
      <c r="M22" s="38"/>
      <c r="N22" s="38"/>
      <c r="O22" s="38"/>
      <c r="P22" s="38"/>
      <c r="Q22" s="38">
        <f t="shared" si="2"/>
        <v>7247940.8300000001</v>
      </c>
      <c r="R22" s="13"/>
      <c r="S22" s="9">
        <f t="shared" si="0"/>
        <v>2645391.06</v>
      </c>
      <c r="T22" s="9">
        <f t="shared" si="1"/>
        <v>2877245.76</v>
      </c>
      <c r="U22" s="9">
        <f t="shared" ref="U22:U24" si="15">SUM(J22:L22)</f>
        <v>1725304.01</v>
      </c>
      <c r="V22" s="9">
        <f t="shared" si="3"/>
        <v>0</v>
      </c>
      <c r="W22" s="9">
        <f t="shared" si="4"/>
        <v>7247940.8300000001</v>
      </c>
      <c r="X22" s="19">
        <f t="shared" si="5"/>
        <v>0</v>
      </c>
    </row>
    <row r="23" spans="1:24" x14ac:dyDescent="0.25">
      <c r="A23" s="13"/>
      <c r="B23" s="4">
        <v>550</v>
      </c>
      <c r="C23" s="3" t="s">
        <v>53</v>
      </c>
      <c r="D23" s="38">
        <v>151173.9</v>
      </c>
      <c r="E23" s="38">
        <v>368862.9</v>
      </c>
      <c r="F23" s="38">
        <v>597112.79999999981</v>
      </c>
      <c r="G23" s="38">
        <v>913350.74</v>
      </c>
      <c r="H23" s="38">
        <v>542322.51000000013</v>
      </c>
      <c r="I23" s="38">
        <v>1063315.8900000001</v>
      </c>
      <c r="J23" s="38">
        <v>685047.53</v>
      </c>
      <c r="K23" s="38">
        <v>457572.57000000007</v>
      </c>
      <c r="L23" s="38">
        <v>1466818.5899999999</v>
      </c>
      <c r="M23" s="38"/>
      <c r="N23" s="38"/>
      <c r="O23" s="38"/>
      <c r="P23" s="38"/>
      <c r="Q23" s="38">
        <f t="shared" si="2"/>
        <v>6245577.4300000006</v>
      </c>
      <c r="R23" s="13"/>
      <c r="S23" s="9">
        <f t="shared" si="0"/>
        <v>1117149.5999999999</v>
      </c>
      <c r="T23" s="9">
        <f t="shared" si="1"/>
        <v>2518989.14</v>
      </c>
      <c r="U23" s="9">
        <f t="shared" si="15"/>
        <v>2609438.69</v>
      </c>
      <c r="V23" s="9">
        <f t="shared" si="3"/>
        <v>0</v>
      </c>
      <c r="W23" s="9">
        <f t="shared" si="4"/>
        <v>6245577.4299999997</v>
      </c>
      <c r="X23" s="19">
        <f t="shared" si="5"/>
        <v>0</v>
      </c>
    </row>
    <row r="24" spans="1:24" x14ac:dyDescent="0.25">
      <c r="A24" s="13"/>
      <c r="B24" s="4">
        <v>555</v>
      </c>
      <c r="C24" s="3" t="s">
        <v>54</v>
      </c>
      <c r="D24" s="38">
        <v>281164.97000000003</v>
      </c>
      <c r="E24" s="38">
        <v>316543.92</v>
      </c>
      <c r="F24" s="38">
        <v>-99563</v>
      </c>
      <c r="G24" s="38">
        <v>124808.09999999999</v>
      </c>
      <c r="H24" s="38">
        <v>-158541.56999999995</v>
      </c>
      <c r="I24" s="38">
        <v>930700.23</v>
      </c>
      <c r="J24" s="38">
        <v>563744.38</v>
      </c>
      <c r="K24" s="38">
        <v>657852.88000000012</v>
      </c>
      <c r="L24" s="38">
        <v>-126505.83000000012</v>
      </c>
      <c r="M24" s="38"/>
      <c r="N24" s="38"/>
      <c r="O24" s="38"/>
      <c r="P24" s="38"/>
      <c r="Q24" s="38">
        <f t="shared" si="2"/>
        <v>2490204.08</v>
      </c>
      <c r="R24" s="13"/>
      <c r="S24" s="9">
        <f t="shared" si="0"/>
        <v>498145.89</v>
      </c>
      <c r="T24" s="9">
        <f t="shared" si="1"/>
        <v>896966.76</v>
      </c>
      <c r="U24" s="9">
        <f t="shared" si="15"/>
        <v>1095091.4300000002</v>
      </c>
      <c r="V24" s="9">
        <f t="shared" si="3"/>
        <v>0</v>
      </c>
      <c r="W24" s="9">
        <f t="shared" si="4"/>
        <v>2490204.08</v>
      </c>
      <c r="X24" s="19">
        <f t="shared" si="5"/>
        <v>0</v>
      </c>
    </row>
    <row r="25" spans="1:24" x14ac:dyDescent="0.25">
      <c r="A25" s="13"/>
      <c r="B25" s="4"/>
      <c r="C25" s="5" t="s">
        <v>55</v>
      </c>
      <c r="D25" s="29">
        <f t="shared" ref="D25:P25" si="16">SUM(D22:D24)</f>
        <v>1368868.28</v>
      </c>
      <c r="E25" s="29">
        <f t="shared" si="16"/>
        <v>1701550.31</v>
      </c>
      <c r="F25" s="29">
        <f t="shared" si="16"/>
        <v>1190267.96</v>
      </c>
      <c r="G25" s="29">
        <f t="shared" si="16"/>
        <v>2054645.8699999999</v>
      </c>
      <c r="H25" s="29">
        <f t="shared" si="16"/>
        <v>1368076.4200000004</v>
      </c>
      <c r="I25" s="29">
        <f t="shared" si="16"/>
        <v>2870479.37</v>
      </c>
      <c r="J25" s="29">
        <f t="shared" si="16"/>
        <v>1880294.12</v>
      </c>
      <c r="K25" s="29">
        <f t="shared" si="16"/>
        <v>1691897.3300000003</v>
      </c>
      <c r="L25" s="29">
        <f t="shared" si="16"/>
        <v>1857642.6799999997</v>
      </c>
      <c r="M25" s="29">
        <f t="shared" si="16"/>
        <v>0</v>
      </c>
      <c r="N25" s="29">
        <f t="shared" si="16"/>
        <v>0</v>
      </c>
      <c r="O25" s="29">
        <f t="shared" si="16"/>
        <v>0</v>
      </c>
      <c r="P25" s="29">
        <f t="shared" si="16"/>
        <v>0</v>
      </c>
      <c r="Q25" s="29">
        <f>SUM(D25:O25)</f>
        <v>15983722.340000002</v>
      </c>
      <c r="R25" s="13"/>
      <c r="S25" s="10">
        <f t="shared" si="0"/>
        <v>4260686.55</v>
      </c>
      <c r="T25" s="10">
        <f t="shared" si="1"/>
        <v>6293201.6600000001</v>
      </c>
      <c r="U25" s="10">
        <f>SUM(J25:L25)</f>
        <v>5429834.1299999999</v>
      </c>
      <c r="V25" s="10">
        <f t="shared" si="3"/>
        <v>0</v>
      </c>
      <c r="W25" s="10">
        <f t="shared" si="4"/>
        <v>15983722.34</v>
      </c>
      <c r="X25" s="19">
        <f t="shared" si="5"/>
        <v>0</v>
      </c>
    </row>
    <row r="26" spans="1:24" x14ac:dyDescent="0.25">
      <c r="A26" s="13"/>
      <c r="B26" s="6"/>
      <c r="C26" s="5"/>
      <c r="D26" s="17"/>
      <c r="E26" s="17"/>
      <c r="F26" s="29"/>
      <c r="G26" s="29"/>
      <c r="H26" s="29"/>
      <c r="I26" s="17"/>
      <c r="J26" s="17"/>
      <c r="K26" s="17"/>
      <c r="L26" s="17"/>
      <c r="M26" s="17"/>
      <c r="N26" s="17"/>
      <c r="O26" s="17"/>
      <c r="P26" s="16"/>
      <c r="Q26" s="17">
        <f t="shared" si="2"/>
        <v>0</v>
      </c>
      <c r="R26" s="13"/>
      <c r="S26" s="10">
        <f t="shared" si="0"/>
        <v>0</v>
      </c>
      <c r="T26" s="10">
        <f t="shared" si="1"/>
        <v>0</v>
      </c>
      <c r="U26" s="10"/>
      <c r="V26" s="10">
        <f t="shared" si="3"/>
        <v>0</v>
      </c>
      <c r="W26" s="10">
        <f t="shared" si="4"/>
        <v>0</v>
      </c>
      <c r="X26" s="19">
        <f t="shared" si="5"/>
        <v>0</v>
      </c>
    </row>
    <row r="27" spans="1:24" ht="19.5" customHeight="1" thickBot="1" x14ac:dyDescent="0.3">
      <c r="A27" s="13"/>
      <c r="B27" s="7"/>
      <c r="C27" s="8" t="s">
        <v>1</v>
      </c>
      <c r="D27" s="18">
        <f t="shared" ref="D27:O27" si="17">SUM(D8,D11,D14,D17,D20,D25)</f>
        <v>11348946.779999999</v>
      </c>
      <c r="E27" s="18">
        <f t="shared" si="17"/>
        <v>14892865</v>
      </c>
      <c r="F27" s="18">
        <f t="shared" si="17"/>
        <v>11768908.539999999</v>
      </c>
      <c r="G27" s="18">
        <f t="shared" si="17"/>
        <v>13875034.309999999</v>
      </c>
      <c r="H27" s="18">
        <f t="shared" si="17"/>
        <v>11960108.32</v>
      </c>
      <c r="I27" s="18">
        <f t="shared" si="17"/>
        <v>14179011.800000001</v>
      </c>
      <c r="J27" s="18">
        <f t="shared" si="17"/>
        <v>12815688.329999998</v>
      </c>
      <c r="K27" s="18">
        <f t="shared" si="17"/>
        <v>11642810.469999997</v>
      </c>
      <c r="L27" s="18">
        <f t="shared" si="17"/>
        <v>14480344.390000001</v>
      </c>
      <c r="M27" s="18">
        <f t="shared" si="17"/>
        <v>0</v>
      </c>
      <c r="N27" s="18">
        <f t="shared" si="17"/>
        <v>0</v>
      </c>
      <c r="O27" s="18">
        <f t="shared" si="17"/>
        <v>0</v>
      </c>
      <c r="P27" s="16"/>
      <c r="Q27" s="18">
        <f t="shared" si="2"/>
        <v>116963717.94</v>
      </c>
      <c r="R27" s="9"/>
      <c r="S27" s="11">
        <f t="shared" si="0"/>
        <v>38010720.32</v>
      </c>
      <c r="T27" s="11">
        <f t="shared" si="1"/>
        <v>40014154.43</v>
      </c>
      <c r="U27" s="11">
        <f>SUM(J27:L27)</f>
        <v>38938843.189999998</v>
      </c>
      <c r="V27" s="11">
        <f t="shared" si="3"/>
        <v>0</v>
      </c>
      <c r="W27" s="11">
        <f t="shared" si="4"/>
        <v>116963717.94</v>
      </c>
      <c r="X27" s="19">
        <f t="shared" si="5"/>
        <v>0</v>
      </c>
    </row>
    <row r="28" spans="1:24" ht="19.5" customHeight="1" thickTop="1" x14ac:dyDescent="0.25">
      <c r="A28" s="13"/>
      <c r="B28" s="7"/>
      <c r="C28" s="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16"/>
      <c r="Q28" s="29"/>
      <c r="R28" s="9"/>
      <c r="S28" s="30"/>
      <c r="T28" s="30"/>
      <c r="U28" s="30"/>
      <c r="V28" s="30"/>
      <c r="W28" s="30"/>
    </row>
    <row r="29" spans="1:24" ht="19.5" customHeight="1" x14ac:dyDescent="0.25">
      <c r="A29" s="13"/>
      <c r="B29" s="7"/>
      <c r="C29" s="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6"/>
      <c r="Q29" s="29"/>
      <c r="R29" s="9"/>
      <c r="S29" s="30"/>
      <c r="T29" s="30"/>
      <c r="U29" s="30"/>
      <c r="V29" s="30"/>
      <c r="W29" s="30"/>
    </row>
    <row r="30" spans="1:24" x14ac:dyDescent="0.25">
      <c r="A30" s="13"/>
      <c r="B30" s="13"/>
      <c r="C30" s="13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3"/>
      <c r="S30" s="13"/>
      <c r="T30" s="13"/>
      <c r="U30" s="9"/>
      <c r="V30" s="9"/>
      <c r="W30" s="13"/>
    </row>
    <row r="31" spans="1:24" x14ac:dyDescent="0.25">
      <c r="A31" s="13"/>
      <c r="B31" s="13"/>
      <c r="C31" s="34" t="s">
        <v>56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3"/>
      <c r="S31" s="32" t="s">
        <v>39</v>
      </c>
      <c r="T31" s="32" t="s">
        <v>40</v>
      </c>
      <c r="U31" s="33" t="s">
        <v>41</v>
      </c>
      <c r="V31" s="33" t="s">
        <v>42</v>
      </c>
      <c r="W31" s="48" t="s">
        <v>24</v>
      </c>
    </row>
    <row r="32" spans="1:24" x14ac:dyDescent="0.25">
      <c r="A32" s="13"/>
      <c r="B32" s="13"/>
      <c r="C32" s="35" t="s">
        <v>17</v>
      </c>
      <c r="D32" s="128">
        <f t="shared" ref="D32:Q32" si="18">+D8</f>
        <v>4122345.42</v>
      </c>
      <c r="E32" s="128">
        <f t="shared" si="18"/>
        <v>7726882.2000000002</v>
      </c>
      <c r="F32" s="128">
        <f t="shared" si="18"/>
        <v>5148255.6500000004</v>
      </c>
      <c r="G32" s="128">
        <f t="shared" si="18"/>
        <v>6011817.0700000003</v>
      </c>
      <c r="H32" s="128">
        <f t="shared" si="18"/>
        <v>4898258.22</v>
      </c>
      <c r="I32" s="128">
        <f t="shared" si="18"/>
        <v>5352771.3400000008</v>
      </c>
      <c r="J32" s="128">
        <f t="shared" si="18"/>
        <v>5846640.459999999</v>
      </c>
      <c r="K32" s="128">
        <f t="shared" si="18"/>
        <v>4516740.9799999995</v>
      </c>
      <c r="L32" s="128">
        <f t="shared" si="18"/>
        <v>7473855.3499999996</v>
      </c>
      <c r="M32" s="128">
        <f t="shared" si="18"/>
        <v>0</v>
      </c>
      <c r="N32" s="128">
        <f t="shared" si="18"/>
        <v>0</v>
      </c>
      <c r="O32" s="129">
        <f t="shared" si="18"/>
        <v>0</v>
      </c>
      <c r="P32" s="36">
        <f t="shared" si="18"/>
        <v>0</v>
      </c>
      <c r="Q32" s="36">
        <f t="shared" si="18"/>
        <v>51097566.689999998</v>
      </c>
      <c r="R32" s="13"/>
      <c r="S32" s="31">
        <f>+S8</f>
        <v>16997483.270000003</v>
      </c>
      <c r="T32" s="31">
        <f>+T8</f>
        <v>16262846.629999999</v>
      </c>
      <c r="U32" s="9">
        <f>+U8</f>
        <v>17837236.789999999</v>
      </c>
      <c r="V32" s="9">
        <f>+V8</f>
        <v>0</v>
      </c>
      <c r="W32" s="9">
        <f>+W8</f>
        <v>51097566.689999998</v>
      </c>
    </row>
    <row r="33" spans="1:23" x14ac:dyDescent="0.25">
      <c r="A33" s="13"/>
      <c r="B33" s="13"/>
      <c r="C33" s="37" t="s">
        <v>57</v>
      </c>
      <c r="D33" s="130">
        <f t="shared" ref="D33:O33" si="19">+D11+D14+D17+D25</f>
        <v>3836700.87</v>
      </c>
      <c r="E33" s="130">
        <f t="shared" si="19"/>
        <v>3809771.8000000003</v>
      </c>
      <c r="F33" s="130">
        <f t="shared" si="19"/>
        <v>3020168.3499999996</v>
      </c>
      <c r="G33" s="130">
        <f t="shared" si="19"/>
        <v>4507169.7699999996</v>
      </c>
      <c r="H33" s="130">
        <f t="shared" si="19"/>
        <v>3705671.2000000007</v>
      </c>
      <c r="I33" s="130">
        <f t="shared" si="19"/>
        <v>5465222.9299999997</v>
      </c>
      <c r="J33" s="130">
        <f t="shared" si="19"/>
        <v>3610677.6100000008</v>
      </c>
      <c r="K33" s="130">
        <f t="shared" si="19"/>
        <v>3670646.4000000004</v>
      </c>
      <c r="L33" s="130">
        <f t="shared" si="19"/>
        <v>3645110.74</v>
      </c>
      <c r="M33" s="130">
        <f t="shared" si="19"/>
        <v>0</v>
      </c>
      <c r="N33" s="130">
        <f t="shared" si="19"/>
        <v>0</v>
      </c>
      <c r="O33" s="130">
        <f t="shared" si="19"/>
        <v>0</v>
      </c>
      <c r="P33" s="39"/>
      <c r="Q33" s="39">
        <f>+Q11+Q14+Q17+Q25</f>
        <v>35271139.670000002</v>
      </c>
      <c r="R33" s="13"/>
      <c r="S33" s="31">
        <f>+S11+S25+S14+S17</f>
        <v>10666641.020000001</v>
      </c>
      <c r="T33" s="31">
        <f>+T11+T25+T14+T17</f>
        <v>13678063.899999999</v>
      </c>
      <c r="U33" s="40">
        <f>+U11+U25+U14+U17</f>
        <v>10926434.75</v>
      </c>
      <c r="V33" s="40">
        <f>+V11+V25+V14+V17</f>
        <v>0</v>
      </c>
      <c r="W33" s="40">
        <f>+W11+W25+W14+W17</f>
        <v>35271139.670000002</v>
      </c>
    </row>
    <row r="34" spans="1:23" x14ac:dyDescent="0.25">
      <c r="A34" s="13"/>
      <c r="B34" s="13"/>
      <c r="C34" s="41" t="s">
        <v>58</v>
      </c>
      <c r="D34" s="131">
        <f t="shared" ref="D34:Q34" si="20">+D20</f>
        <v>3389900.4899999998</v>
      </c>
      <c r="E34" s="131">
        <f t="shared" si="20"/>
        <v>3356211</v>
      </c>
      <c r="F34" s="131">
        <f t="shared" si="20"/>
        <v>3600484.54</v>
      </c>
      <c r="G34" s="131">
        <f>+G20</f>
        <v>3356047.4699999988</v>
      </c>
      <c r="H34" s="131">
        <f t="shared" si="20"/>
        <v>3356178.9</v>
      </c>
      <c r="I34" s="131">
        <f t="shared" si="20"/>
        <v>3361017.53</v>
      </c>
      <c r="J34" s="131">
        <f t="shared" si="20"/>
        <v>3358370.26</v>
      </c>
      <c r="K34" s="131">
        <f t="shared" si="20"/>
        <v>3455423.0899999971</v>
      </c>
      <c r="L34" s="131">
        <f t="shared" si="20"/>
        <v>3361378.3000000007</v>
      </c>
      <c r="M34" s="131">
        <f t="shared" si="20"/>
        <v>0</v>
      </c>
      <c r="N34" s="131">
        <f t="shared" si="20"/>
        <v>0</v>
      </c>
      <c r="O34" s="132">
        <f t="shared" si="20"/>
        <v>0</v>
      </c>
      <c r="P34" s="42">
        <f t="shared" si="20"/>
        <v>0</v>
      </c>
      <c r="Q34" s="42">
        <f t="shared" si="20"/>
        <v>30595011.579999994</v>
      </c>
      <c r="R34" s="13"/>
      <c r="S34" s="31">
        <f>+S20</f>
        <v>10346596.030000001</v>
      </c>
      <c r="T34" s="31">
        <f>+T20</f>
        <v>10073243.899999999</v>
      </c>
      <c r="U34" s="9">
        <f>+U20</f>
        <v>10175171.649999999</v>
      </c>
      <c r="V34" s="9">
        <f>+V20</f>
        <v>0</v>
      </c>
      <c r="W34" s="9">
        <f>+W20</f>
        <v>30595011.579999998</v>
      </c>
    </row>
    <row r="35" spans="1:23" x14ac:dyDescent="0.25">
      <c r="A35" s="13"/>
      <c r="B35" s="13"/>
      <c r="C35" s="34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43"/>
      <c r="Q35" s="43"/>
      <c r="R35" s="13"/>
      <c r="S35" s="44"/>
      <c r="T35" s="44"/>
      <c r="U35" s="26"/>
      <c r="V35" s="26"/>
      <c r="W35" s="26"/>
    </row>
    <row r="36" spans="1:23" x14ac:dyDescent="0.25">
      <c r="D36" s="130"/>
      <c r="E36" s="130"/>
      <c r="F36" s="130"/>
      <c r="G36" s="130"/>
      <c r="H36" s="130"/>
      <c r="I36" s="134"/>
      <c r="J36" s="134"/>
      <c r="K36" s="134"/>
      <c r="L36" s="134"/>
      <c r="M36" s="130"/>
      <c r="N36" s="130"/>
      <c r="O36" s="130"/>
    </row>
    <row r="37" spans="1:23" x14ac:dyDescent="0.25">
      <c r="C37" s="49" t="s">
        <v>59</v>
      </c>
      <c r="D37" s="135">
        <f>'[1]B2A YTD mgt'!$E$45</f>
        <v>-672378.20999999973</v>
      </c>
      <c r="E37" s="135">
        <f>'[1]B2A YTD mgt'!$F$45</f>
        <v>2985346.53</v>
      </c>
      <c r="F37" s="135">
        <v>4413551.9700000016</v>
      </c>
      <c r="G37" s="135">
        <v>5185932.0799999991</v>
      </c>
      <c r="H37" s="135">
        <v>5529078.4299999997</v>
      </c>
      <c r="I37" s="135">
        <v>4957949.8299999991</v>
      </c>
      <c r="J37" s="135">
        <f>9526001.05</f>
        <v>9526001.0500000007</v>
      </c>
      <c r="K37" s="135">
        <f>5156323.89+4310791-2985347</f>
        <v>6481767.8900000006</v>
      </c>
      <c r="L37" s="135">
        <v>8016983.5</v>
      </c>
      <c r="M37" s="135"/>
      <c r="N37" s="135"/>
      <c r="O37" s="135"/>
      <c r="P37" s="53"/>
      <c r="Q37" s="54">
        <f>SUM(D37:O37)</f>
        <v>46424233.07</v>
      </c>
    </row>
    <row r="38" spans="1:23" x14ac:dyDescent="0.25">
      <c r="C38" s="50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28"/>
      <c r="Q38" s="51"/>
    </row>
    <row r="39" spans="1:23" x14ac:dyDescent="0.25">
      <c r="C39" s="50" t="s">
        <v>60</v>
      </c>
      <c r="D39" s="136">
        <f>'[1]B2A YTD mgt'!$E$47</f>
        <v>3885667.37</v>
      </c>
      <c r="E39" s="136">
        <f>'[1]B2A YTD mgt'!$F$47</f>
        <v>-3131866.65</v>
      </c>
      <c r="F39" s="136">
        <v>139099.23000000001</v>
      </c>
      <c r="G39" s="136">
        <v>927633.71</v>
      </c>
      <c r="H39" s="136">
        <v>1484972.22</v>
      </c>
      <c r="I39" s="136">
        <v>104396.77</v>
      </c>
      <c r="J39" s="136">
        <v>2166701.41</v>
      </c>
      <c r="K39" s="136">
        <v>416451.87999999989</v>
      </c>
      <c r="L39" s="136">
        <v>1616365.18</v>
      </c>
      <c r="M39" s="136"/>
      <c r="N39" s="136"/>
      <c r="O39" s="136"/>
      <c r="P39" s="28"/>
      <c r="Q39" s="55">
        <f>SUM(D39:O39)</f>
        <v>7609421.1200000001</v>
      </c>
    </row>
    <row r="40" spans="1:23" x14ac:dyDescent="0.25">
      <c r="C40" s="50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28"/>
      <c r="Q40" s="55"/>
    </row>
    <row r="41" spans="1:23" x14ac:dyDescent="0.25">
      <c r="C41" s="50" t="s">
        <v>61</v>
      </c>
      <c r="D41" s="136">
        <v>7667260.0999999996</v>
      </c>
      <c r="E41" s="136">
        <v>133179270.69</v>
      </c>
      <c r="F41" s="136">
        <v>41806758.890000001</v>
      </c>
      <c r="G41" s="136">
        <v>10693305.66</v>
      </c>
      <c r="H41" s="136">
        <v>111318145.32000001</v>
      </c>
      <c r="I41" s="136">
        <v>17848847.239999998</v>
      </c>
      <c r="J41" s="136">
        <v>8662096.060000008</v>
      </c>
      <c r="K41" s="136">
        <v>20180100.93</v>
      </c>
      <c r="L41" s="136">
        <v>37855548.219999999</v>
      </c>
      <c r="M41" s="136"/>
      <c r="N41" s="136"/>
      <c r="O41" s="136"/>
      <c r="P41" s="28"/>
      <c r="Q41" s="55">
        <f>SUM(D41:O41)</f>
        <v>389211333.11000001</v>
      </c>
    </row>
    <row r="42" spans="1:23" x14ac:dyDescent="0.25">
      <c r="C42" s="5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2"/>
    </row>
    <row r="43" spans="1:23" x14ac:dyDescent="0.25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23" x14ac:dyDescent="0.25"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</sheetData>
  <mergeCells count="1">
    <mergeCell ref="D2:O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202C57E8A91488ECE962D63A71F10" ma:contentTypeVersion="28" ma:contentTypeDescription="Create a new document." ma:contentTypeScope="" ma:versionID="654b7b56a2fe923677a210f40454c90d">
  <xsd:schema xmlns:xsd="http://www.w3.org/2001/XMLSchema" xmlns:xs="http://www.w3.org/2001/XMLSchema" xmlns:p="http://schemas.microsoft.com/office/2006/metadata/properties" xmlns:ns1="http://schemas.microsoft.com/sharepoint/v3" xmlns:ns2="6bd9865d-c7d0-4288-ab0a-9d4dee1c94e8" xmlns:ns3="80985e37-4d14-49b1-85af-18f353798ba1" targetNamespace="http://schemas.microsoft.com/office/2006/metadata/properties" ma:root="true" ma:fieldsID="edcb1f821f7d503522bc666ddf0654bb" ns1:_="" ns2:_="" ns3:_="">
    <xsd:import namespace="http://schemas.microsoft.com/sharepoint/v3"/>
    <xsd:import namespace="6bd9865d-c7d0-4288-ab0a-9d4dee1c94e8"/>
    <xsd:import namespace="80985e37-4d14-49b1-85af-18f353798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9865d-c7d0-4288-ab0a-9d4dee1c9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76c244-545e-4324-b4dc-13be35ff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85e37-4d14-49b1-85af-18f353798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fa6364-4a4c-4116-acd5-17595be27265}" ma:internalName="TaxCatchAll" ma:showField="CatchAllData" ma:web="80985e37-4d14-49b1-85af-18f35379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9865d-c7d0-4288-ab0a-9d4dee1c94e8">
      <Terms xmlns="http://schemas.microsoft.com/office/infopath/2007/PartnerControls"/>
    </lcf76f155ced4ddcb4097134ff3c332f>
    <TaxCatchAll xmlns="80985e37-4d14-49b1-85af-18f353798ba1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665FF34-DBC8-467C-B72B-096758F43F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556073-4C9A-4BF8-AE02-E7A1D2F2B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9865d-c7d0-4288-ab0a-9d4dee1c94e8"/>
    <ds:schemaRef ds:uri="80985e37-4d14-49b1-85af-18f353798b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D6C9E5-9B35-47C7-B415-FFFBBE518100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80985e37-4d14-49b1-85af-18f353798ba1"/>
    <ds:schemaRef ds:uri="http://schemas.microsoft.com/office/infopath/2007/PartnerControls"/>
    <ds:schemaRef ds:uri="6bd9865d-c7d0-4288-ab0a-9d4dee1c94e8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defa4170-0d19-0005-0004-bc88714345d2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KPIs 2026</vt:lpstr>
      <vt:lpstr>FY2026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Peña</dc:creator>
  <cp:keywords/>
  <dc:description/>
  <cp:lastModifiedBy>Juan C. Díaz Cuadrado</cp:lastModifiedBy>
  <cp:revision/>
  <dcterms:created xsi:type="dcterms:W3CDTF">2024-02-15T22:30:26Z</dcterms:created>
  <dcterms:modified xsi:type="dcterms:W3CDTF">2026-04-21T14:52:40Z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2024-09-09T14:37:57Z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31289701-2511-4b48-b59d-bfc969d3a983</vt:lpwstr>
  </property>
  <property fmtid="{D5CDD505-2E9C-101B-9397-08002B2CF9AE}" pid="7" name="MSIP_Label_defa4170-0d19-0005-0004-bc88714345d2_ActionId">
    <vt:lpwstr>ff1f58b6-a10c-4c3e-8183-d8ba02d37b87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0x010100356202C57E8A91488ECE962D63A71F10</vt:lpwstr>
  </property>
  <property fmtid="{D5CDD505-2E9C-101B-9397-08002B2CF9AE}" pid="10" name="MediaServiceImageTags">
    <vt:lpwstr/>
  </property>
</Properties>
</file>