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enerapr1.sharepoint.com/sites/RegulatoryTeam/Shared Documents/NEPR-MI-2019-0007 - Performance Metrics/Quarterly Reports/FY2026_Q4/2026.09.22_Motion submitting workpapers of Heat Rate and Emissions in Compliance with the September 8 Resolution and Order/Exhibits/"/>
    </mc:Choice>
  </mc:AlternateContent>
  <xr:revisionPtr revIDLastSave="2" documentId="13_ncr:1_{1210C439-6FFD-4C70-977D-DC156E71F4AF}" xr6:coauthVersionLast="47" xr6:coauthVersionMax="47" xr10:uidLastSave="{560F9304-1739-406A-8DF0-340105523E71}"/>
  <bookViews>
    <workbookView xWindow="28680" yWindow="-120" windowWidth="29040" windowHeight="15720" tabRatio="500" xr2:uid="{00000000-000D-0000-FFFF-FFFF00000000}"/>
  </bookViews>
  <sheets>
    <sheet name="2024-Formato 2M" sheetId="1" r:id="rId1"/>
    <sheet name="Costa Sur" sheetId="2" state="hidden" r:id="rId2"/>
    <sheet name="Turbinas CS" sheetId="3" state="hidden" r:id="rId3"/>
    <sheet name="CS 5" sheetId="4" state="hidden" r:id="rId4"/>
    <sheet name="CS6" sheetId="5" state="hidden" r:id="rId5"/>
    <sheet name="San Juan" sheetId="6" state="hidden" r:id="rId6"/>
    <sheet name="Cálculos SJ" sheetId="7" state="hidden" r:id="rId7"/>
    <sheet name="Cálculos SJ5" sheetId="8" state="hidden" r:id="rId8"/>
    <sheet name="Cálculos SJ6" sheetId="9" state="hidden" r:id="rId9"/>
    <sheet name="Aguirre" sheetId="10" state="hidden" r:id="rId10"/>
    <sheet name="Cálculos AG" sheetId="11" state="hidden" r:id="rId11"/>
    <sheet name="Palo Seco" sheetId="12" state="hidden" r:id="rId12"/>
    <sheet name="Cálculos PS" sheetId="13" state="hidden" r:id="rId13"/>
    <sheet name="MPs PS" sheetId="14" state="hidden" r:id="rId14"/>
    <sheet name="Turbinas" sheetId="15" state="hidden" r:id="rId15"/>
    <sheet name="Cálculos Cambalache (60%)" sheetId="16" state="hidden" r:id="rId16"/>
    <sheet name="CEMS Cambalache" sheetId="17" state="hidden" r:id="rId17"/>
    <sheet name="Cálculos Daguao" sheetId="18" state="hidden" r:id="rId18"/>
    <sheet name="Cálculos Yabucoa" sheetId="19" state="hidden" r:id="rId19"/>
    <sheet name="Cálculos Vega Baja" sheetId="20" state="hidden" r:id="rId20"/>
    <sheet name="Cálculos Jobos" sheetId="21" state="hidden" r:id="rId21"/>
    <sheet name="Cálculos Mayagüez" sheetId="22" state="hidden" r:id="rId22"/>
    <sheet name="Mensual 2024" sheetId="23" state="hidden" r:id="rId23"/>
    <sheet name="Tasas 2024" sheetId="24" state="hidden" r:id="rId24"/>
  </sheets>
  <definedNames>
    <definedName name="\A">#N/A</definedName>
    <definedName name="\B">#N/A</definedName>
    <definedName name="_xlnm.Print_Titles" localSheetId="0">'2024-Formato 2M'!$1:$2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N107" i="24" l="1"/>
  <c r="M107" i="24"/>
  <c r="L107" i="24"/>
  <c r="K107" i="24"/>
  <c r="J107" i="24"/>
  <c r="I107" i="24"/>
  <c r="H107" i="24"/>
  <c r="G107" i="24"/>
  <c r="F107" i="24"/>
  <c r="E107" i="24"/>
  <c r="D107" i="24"/>
  <c r="C107" i="24"/>
  <c r="N106" i="24"/>
  <c r="M106" i="24"/>
  <c r="L106" i="24"/>
  <c r="K106" i="24"/>
  <c r="J106" i="24"/>
  <c r="I106" i="24"/>
  <c r="H106" i="24"/>
  <c r="G106" i="24"/>
  <c r="F106" i="24"/>
  <c r="E106" i="24"/>
  <c r="D106" i="24"/>
  <c r="C106" i="24"/>
  <c r="N105" i="24"/>
  <c r="M105" i="24"/>
  <c r="L105" i="24"/>
  <c r="K105" i="24"/>
  <c r="J105" i="24"/>
  <c r="I105" i="24"/>
  <c r="H105" i="24"/>
  <c r="G105" i="24"/>
  <c r="F105" i="24"/>
  <c r="E105" i="24"/>
  <c r="D105" i="24"/>
  <c r="C105" i="24"/>
  <c r="N104" i="24"/>
  <c r="M104" i="24"/>
  <c r="L104" i="24"/>
  <c r="K104" i="24"/>
  <c r="J104" i="24"/>
  <c r="I104" i="24"/>
  <c r="H104" i="24"/>
  <c r="G104" i="24"/>
  <c r="F104" i="24"/>
  <c r="E104" i="24"/>
  <c r="D104" i="24"/>
  <c r="C104" i="24"/>
  <c r="N103" i="24"/>
  <c r="M103" i="24"/>
  <c r="L103" i="24"/>
  <c r="K103" i="24"/>
  <c r="J103" i="24"/>
  <c r="I103" i="24"/>
  <c r="H103" i="24"/>
  <c r="G103" i="24"/>
  <c r="F103" i="24"/>
  <c r="E103" i="24"/>
  <c r="D103" i="24"/>
  <c r="C103" i="24"/>
  <c r="N101" i="24"/>
  <c r="M101" i="24"/>
  <c r="L101" i="24"/>
  <c r="K101" i="24"/>
  <c r="J101" i="24"/>
  <c r="I101" i="24"/>
  <c r="H101" i="24"/>
  <c r="G101" i="24"/>
  <c r="F101" i="24"/>
  <c r="E101" i="24"/>
  <c r="D101" i="24"/>
  <c r="C101" i="24"/>
  <c r="N100" i="24"/>
  <c r="M100" i="24"/>
  <c r="L100" i="24"/>
  <c r="K100" i="24"/>
  <c r="J100" i="24"/>
  <c r="I100" i="24"/>
  <c r="H100" i="24"/>
  <c r="G100" i="24"/>
  <c r="F100" i="24"/>
  <c r="E100" i="24"/>
  <c r="D100" i="24"/>
  <c r="C100" i="24"/>
  <c r="N99" i="24"/>
  <c r="M99" i="24"/>
  <c r="L99" i="24"/>
  <c r="K99" i="24"/>
  <c r="J99" i="24"/>
  <c r="I99" i="24"/>
  <c r="H99" i="24"/>
  <c r="G99" i="24"/>
  <c r="F99" i="24"/>
  <c r="E99" i="24"/>
  <c r="D99" i="24"/>
  <c r="C99" i="24"/>
  <c r="N98" i="24"/>
  <c r="M98" i="24"/>
  <c r="L98" i="24"/>
  <c r="K98" i="24"/>
  <c r="J98" i="24"/>
  <c r="I98" i="24"/>
  <c r="H98" i="24"/>
  <c r="G98" i="24"/>
  <c r="F98" i="24"/>
  <c r="E98" i="24"/>
  <c r="D98" i="24"/>
  <c r="C98" i="24"/>
  <c r="N97" i="24"/>
  <c r="M97" i="24"/>
  <c r="L97" i="24"/>
  <c r="K97" i="24"/>
  <c r="J97" i="24"/>
  <c r="I97" i="24"/>
  <c r="H97" i="24"/>
  <c r="G97" i="24"/>
  <c r="F97" i="24"/>
  <c r="E97" i="24"/>
  <c r="D97" i="24"/>
  <c r="C97" i="24"/>
  <c r="N96" i="24"/>
  <c r="M96" i="24"/>
  <c r="L96" i="24"/>
  <c r="K96" i="24"/>
  <c r="J96" i="24"/>
  <c r="I96" i="24"/>
  <c r="H96" i="24"/>
  <c r="G96" i="24"/>
  <c r="F96" i="24"/>
  <c r="E96" i="24"/>
  <c r="D96" i="24"/>
  <c r="C96" i="24"/>
  <c r="N95" i="24"/>
  <c r="M95" i="24"/>
  <c r="L95" i="24"/>
  <c r="K95" i="24"/>
  <c r="J95" i="24"/>
  <c r="I95" i="24"/>
  <c r="H95" i="24"/>
  <c r="G95" i="24"/>
  <c r="F95" i="24"/>
  <c r="E95" i="24"/>
  <c r="D95" i="24"/>
  <c r="C95" i="24"/>
  <c r="N94" i="24"/>
  <c r="M94" i="24"/>
  <c r="L94" i="24"/>
  <c r="K94" i="24"/>
  <c r="J94" i="24"/>
  <c r="I94" i="24"/>
  <c r="H94" i="24"/>
  <c r="G94" i="24"/>
  <c r="F94" i="24"/>
  <c r="E94" i="24"/>
  <c r="D94" i="24"/>
  <c r="C94" i="24"/>
  <c r="N93" i="24"/>
  <c r="M93" i="24"/>
  <c r="L93" i="24"/>
  <c r="K93" i="24"/>
  <c r="J93" i="24"/>
  <c r="I93" i="24"/>
  <c r="H93" i="24"/>
  <c r="G93" i="24"/>
  <c r="F93" i="24"/>
  <c r="E93" i="24"/>
  <c r="D93" i="24"/>
  <c r="C93" i="24"/>
  <c r="N92" i="24"/>
  <c r="M92" i="24"/>
  <c r="L92" i="24"/>
  <c r="K92" i="24"/>
  <c r="J92" i="24"/>
  <c r="I92" i="24"/>
  <c r="H92" i="24"/>
  <c r="G92" i="24"/>
  <c r="F92" i="24"/>
  <c r="E92" i="24"/>
  <c r="D92" i="24"/>
  <c r="C92" i="24"/>
  <c r="N91" i="24"/>
  <c r="M91" i="24"/>
  <c r="L91" i="24"/>
  <c r="K91" i="24"/>
  <c r="J91" i="24"/>
  <c r="I91" i="24"/>
  <c r="H91" i="24"/>
  <c r="G91" i="24"/>
  <c r="F91" i="24"/>
  <c r="E91" i="24"/>
  <c r="D91" i="24"/>
  <c r="C91" i="24"/>
  <c r="N90" i="24"/>
  <c r="M90" i="24"/>
  <c r="L90" i="24"/>
  <c r="K90" i="24"/>
  <c r="J90" i="24"/>
  <c r="I90" i="24"/>
  <c r="H90" i="24"/>
  <c r="G90" i="24"/>
  <c r="F90" i="24"/>
  <c r="E90" i="24"/>
  <c r="D90" i="24"/>
  <c r="C90" i="24"/>
  <c r="N89" i="24"/>
  <c r="M89" i="24"/>
  <c r="L89" i="24"/>
  <c r="K89" i="24"/>
  <c r="J89" i="24"/>
  <c r="I89" i="24"/>
  <c r="H89" i="24"/>
  <c r="G89" i="24"/>
  <c r="F89" i="24"/>
  <c r="E89" i="24"/>
  <c r="D89" i="24"/>
  <c r="C89" i="24"/>
  <c r="N88" i="24"/>
  <c r="M88" i="24"/>
  <c r="L88" i="24"/>
  <c r="K88" i="24"/>
  <c r="J88" i="24"/>
  <c r="I88" i="24"/>
  <c r="H88" i="24"/>
  <c r="G88" i="24"/>
  <c r="F88" i="24"/>
  <c r="E88" i="24"/>
  <c r="D88" i="24"/>
  <c r="C88" i="24"/>
  <c r="N87" i="24"/>
  <c r="M87" i="24"/>
  <c r="L87" i="24"/>
  <c r="K87" i="24"/>
  <c r="J87" i="24"/>
  <c r="I87" i="24"/>
  <c r="H87" i="24"/>
  <c r="G87" i="24"/>
  <c r="F87" i="24"/>
  <c r="E87" i="24"/>
  <c r="D87" i="24"/>
  <c r="C87" i="24"/>
  <c r="N86" i="24"/>
  <c r="M86" i="24"/>
  <c r="L86" i="24"/>
  <c r="K86" i="24"/>
  <c r="J86" i="24"/>
  <c r="I86" i="24"/>
  <c r="H86" i="24"/>
  <c r="G86" i="24"/>
  <c r="F86" i="24"/>
  <c r="E86" i="24"/>
  <c r="D86" i="24"/>
  <c r="C86" i="24"/>
  <c r="M81" i="24"/>
  <c r="M129" i="24" s="1"/>
  <c r="M80" i="24"/>
  <c r="M128" i="24" s="1"/>
  <c r="L80" i="24"/>
  <c r="L128" i="24" s="1"/>
  <c r="J80" i="24"/>
  <c r="J128" i="24" s="1"/>
  <c r="J78" i="24"/>
  <c r="J126" i="24" s="1"/>
  <c r="F78" i="24"/>
  <c r="F126" i="24" s="1"/>
  <c r="N73" i="24"/>
  <c r="N121" i="24" s="1"/>
  <c r="M73" i="24"/>
  <c r="M121" i="24" s="1"/>
  <c r="M71" i="24"/>
  <c r="M119" i="24" s="1"/>
  <c r="F71" i="24"/>
  <c r="F119" i="24" s="1"/>
  <c r="L70" i="24"/>
  <c r="L118" i="24" s="1"/>
  <c r="J70" i="24"/>
  <c r="J118" i="24" s="1"/>
  <c r="G63" i="24"/>
  <c r="N51" i="24"/>
  <c r="K167" i="23"/>
  <c r="E167" i="23"/>
  <c r="C167" i="23"/>
  <c r="C166" i="23"/>
  <c r="G165" i="23"/>
  <c r="H164" i="23"/>
  <c r="H162" i="23"/>
  <c r="G162" i="23"/>
  <c r="C162" i="23"/>
  <c r="N161" i="23"/>
  <c r="M161" i="23"/>
  <c r="L161" i="23"/>
  <c r="K161" i="23"/>
  <c r="J161" i="23"/>
  <c r="I161" i="23"/>
  <c r="H161" i="23"/>
  <c r="G161" i="23"/>
  <c r="F161" i="23"/>
  <c r="E161" i="23"/>
  <c r="D161" i="23"/>
  <c r="C161" i="23"/>
  <c r="N160" i="23"/>
  <c r="M160" i="23"/>
  <c r="L160" i="23"/>
  <c r="K160" i="23"/>
  <c r="J160" i="23"/>
  <c r="I160" i="23"/>
  <c r="H160" i="23"/>
  <c r="G160" i="23"/>
  <c r="F160" i="23"/>
  <c r="E160" i="23"/>
  <c r="E165" i="23" s="1"/>
  <c r="D160" i="23"/>
  <c r="D162" i="23" s="1"/>
  <c r="C160" i="23"/>
  <c r="N159" i="23"/>
  <c r="M159" i="23"/>
  <c r="L159" i="23"/>
  <c r="K159" i="23"/>
  <c r="J159" i="23"/>
  <c r="I159" i="23"/>
  <c r="H159" i="23"/>
  <c r="G159" i="23"/>
  <c r="F159" i="23"/>
  <c r="E159" i="23"/>
  <c r="D159" i="23"/>
  <c r="C159" i="23"/>
  <c r="N158" i="23"/>
  <c r="M158" i="23"/>
  <c r="L158" i="23"/>
  <c r="K158" i="23"/>
  <c r="J158" i="23"/>
  <c r="I158" i="23"/>
  <c r="H158" i="23"/>
  <c r="G158" i="23"/>
  <c r="F158" i="23"/>
  <c r="F83" i="24" s="1"/>
  <c r="F131" i="24" s="1"/>
  <c r="E158" i="23"/>
  <c r="D158" i="23"/>
  <c r="C158" i="23"/>
  <c r="N157" i="23"/>
  <c r="M157" i="23"/>
  <c r="L157" i="23"/>
  <c r="K157" i="23"/>
  <c r="J157" i="23"/>
  <c r="I157" i="23"/>
  <c r="H157" i="23"/>
  <c r="G157" i="23"/>
  <c r="G163" i="23" s="1"/>
  <c r="F157" i="23"/>
  <c r="E157" i="23"/>
  <c r="D157" i="23"/>
  <c r="C157" i="23"/>
  <c r="N156" i="23"/>
  <c r="M156" i="23"/>
  <c r="M162" i="23" s="1"/>
  <c r="L156" i="23"/>
  <c r="K156" i="23"/>
  <c r="J156" i="23"/>
  <c r="I156" i="23"/>
  <c r="I167" i="23" s="1"/>
  <c r="H156" i="23"/>
  <c r="G156" i="23"/>
  <c r="F156" i="23"/>
  <c r="E156" i="23"/>
  <c r="D156" i="23"/>
  <c r="C156" i="23"/>
  <c r="N155" i="23"/>
  <c r="M155" i="23"/>
  <c r="M163" i="23" s="1"/>
  <c r="L155" i="23"/>
  <c r="K155" i="23"/>
  <c r="J155" i="23"/>
  <c r="I155" i="23"/>
  <c r="I163" i="23" s="1"/>
  <c r="H155" i="23"/>
  <c r="H163" i="23" s="1"/>
  <c r="G155" i="23"/>
  <c r="F155" i="23"/>
  <c r="E155" i="23"/>
  <c r="E163" i="23" s="1"/>
  <c r="D155" i="23"/>
  <c r="C155" i="23"/>
  <c r="N154" i="23"/>
  <c r="M154" i="23"/>
  <c r="M166" i="23" s="1"/>
  <c r="L154" i="23"/>
  <c r="K154" i="23"/>
  <c r="J154" i="23"/>
  <c r="I154" i="23"/>
  <c r="I165" i="23" s="1"/>
  <c r="H154" i="23"/>
  <c r="G154" i="23"/>
  <c r="F154" i="23"/>
  <c r="F163" i="23" s="1"/>
  <c r="E154" i="23"/>
  <c r="D154" i="23"/>
  <c r="C154" i="23"/>
  <c r="C83" i="24" s="1"/>
  <c r="C131" i="24" s="1"/>
  <c r="M152" i="23"/>
  <c r="L100" i="1" s="1"/>
  <c r="K152" i="23"/>
  <c r="D151" i="23"/>
  <c r="N150" i="23"/>
  <c r="M150" i="23"/>
  <c r="G150" i="23"/>
  <c r="N149" i="23"/>
  <c r="J149" i="23"/>
  <c r="G149" i="23"/>
  <c r="F149" i="23"/>
  <c r="D149" i="23"/>
  <c r="G148" i="23"/>
  <c r="D148" i="23"/>
  <c r="L147" i="23"/>
  <c r="J146" i="23"/>
  <c r="I146" i="23"/>
  <c r="F146" i="23"/>
  <c r="E146" i="23"/>
  <c r="D146" i="23"/>
  <c r="N145" i="23"/>
  <c r="M145" i="23"/>
  <c r="L145" i="23"/>
  <c r="K145" i="23"/>
  <c r="J145" i="23"/>
  <c r="I145" i="23"/>
  <c r="H145" i="23"/>
  <c r="G145" i="23"/>
  <c r="F145" i="23"/>
  <c r="E145" i="23"/>
  <c r="D145" i="23"/>
  <c r="C145" i="23"/>
  <c r="N144" i="23"/>
  <c r="M144" i="23"/>
  <c r="L144" i="23"/>
  <c r="L151" i="23" s="1"/>
  <c r="K144" i="23"/>
  <c r="J144" i="23"/>
  <c r="I144" i="23"/>
  <c r="H144" i="23"/>
  <c r="H151" i="23" s="1"/>
  <c r="G144" i="23"/>
  <c r="G146" i="23" s="1"/>
  <c r="F144" i="23"/>
  <c r="E144" i="23"/>
  <c r="D144" i="23"/>
  <c r="C144" i="23"/>
  <c r="N143" i="23"/>
  <c r="N147" i="23" s="1"/>
  <c r="M143" i="23"/>
  <c r="L143" i="23"/>
  <c r="K143" i="23"/>
  <c r="J143" i="23"/>
  <c r="I143" i="23"/>
  <c r="I147" i="23" s="1"/>
  <c r="H143" i="23"/>
  <c r="H147" i="23" s="1"/>
  <c r="G143" i="23"/>
  <c r="F143" i="23"/>
  <c r="E143" i="23"/>
  <c r="D143" i="23"/>
  <c r="D147" i="23" s="1"/>
  <c r="C143" i="23"/>
  <c r="N142" i="23"/>
  <c r="M142" i="23"/>
  <c r="M146" i="23" s="1"/>
  <c r="L142" i="23"/>
  <c r="K142" i="23"/>
  <c r="J142" i="23"/>
  <c r="J147" i="23" s="1"/>
  <c r="I142" i="23"/>
  <c r="H142" i="23"/>
  <c r="G142" i="23"/>
  <c r="G151" i="23" s="1"/>
  <c r="F142" i="23"/>
  <c r="F148" i="23" s="1"/>
  <c r="E142" i="23"/>
  <c r="D142" i="23"/>
  <c r="D150" i="23" s="1"/>
  <c r="C142" i="23"/>
  <c r="C150" i="23" s="1"/>
  <c r="J140" i="23"/>
  <c r="M138" i="23"/>
  <c r="L138" i="23"/>
  <c r="K138" i="23"/>
  <c r="F138" i="23"/>
  <c r="M137" i="23"/>
  <c r="L137" i="23"/>
  <c r="G137" i="23"/>
  <c r="F137" i="23"/>
  <c r="E137" i="23"/>
  <c r="G136" i="23"/>
  <c r="F136" i="23"/>
  <c r="N135" i="23"/>
  <c r="D135" i="23"/>
  <c r="C135" i="23"/>
  <c r="M134" i="23"/>
  <c r="L134" i="23"/>
  <c r="N133" i="23"/>
  <c r="M133" i="23"/>
  <c r="L133" i="23"/>
  <c r="K133" i="23"/>
  <c r="J133" i="23"/>
  <c r="I133" i="23"/>
  <c r="H133" i="23"/>
  <c r="G133" i="23"/>
  <c r="F133" i="23"/>
  <c r="E133" i="23"/>
  <c r="D133" i="23"/>
  <c r="C133" i="23"/>
  <c r="N132" i="23"/>
  <c r="N137" i="23" s="1"/>
  <c r="M132" i="23"/>
  <c r="L132" i="23"/>
  <c r="K132" i="23"/>
  <c r="J132" i="23"/>
  <c r="J134" i="23" s="1"/>
  <c r="I132" i="23"/>
  <c r="H132" i="23"/>
  <c r="H138" i="23" s="1"/>
  <c r="G132" i="23"/>
  <c r="F132" i="23"/>
  <c r="F134" i="23" s="1"/>
  <c r="E132" i="23"/>
  <c r="D132" i="23"/>
  <c r="C132" i="23"/>
  <c r="C139" i="23" s="1"/>
  <c r="N131" i="23"/>
  <c r="M131" i="23"/>
  <c r="L131" i="23"/>
  <c r="K131" i="23"/>
  <c r="K135" i="23" s="1"/>
  <c r="J131" i="23"/>
  <c r="I131" i="23"/>
  <c r="I135" i="23" s="1"/>
  <c r="H131" i="23"/>
  <c r="G131" i="23"/>
  <c r="G135" i="23" s="1"/>
  <c r="F131" i="23"/>
  <c r="E131" i="23"/>
  <c r="D131" i="23"/>
  <c r="C131" i="23"/>
  <c r="N130" i="23"/>
  <c r="M130" i="23"/>
  <c r="L130" i="23"/>
  <c r="K130" i="23"/>
  <c r="J130" i="23"/>
  <c r="J139" i="23" s="1"/>
  <c r="I130" i="23"/>
  <c r="I137" i="23" s="1"/>
  <c r="H130" i="23"/>
  <c r="G130" i="23"/>
  <c r="G139" i="23" s="1"/>
  <c r="F130" i="23"/>
  <c r="E130" i="23"/>
  <c r="D130" i="23"/>
  <c r="D139" i="23" s="1"/>
  <c r="C130" i="23"/>
  <c r="N127" i="23"/>
  <c r="K127" i="23"/>
  <c r="J127" i="23"/>
  <c r="I127" i="23"/>
  <c r="L126" i="23"/>
  <c r="K126" i="23"/>
  <c r="H126" i="23"/>
  <c r="G126" i="23"/>
  <c r="I125" i="23"/>
  <c r="H125" i="23"/>
  <c r="D125" i="23"/>
  <c r="N124" i="23"/>
  <c r="N122" i="23"/>
  <c r="L122" i="23"/>
  <c r="K122" i="23"/>
  <c r="H122" i="23"/>
  <c r="C122" i="23"/>
  <c r="N121" i="23"/>
  <c r="M121" i="23"/>
  <c r="L121" i="23"/>
  <c r="K121" i="23"/>
  <c r="J121" i="23"/>
  <c r="I121" i="23"/>
  <c r="H121" i="23"/>
  <c r="G121" i="23"/>
  <c r="F121" i="23"/>
  <c r="E121" i="23"/>
  <c r="D121" i="23"/>
  <c r="C121" i="23"/>
  <c r="N120" i="23"/>
  <c r="N126" i="23" s="1"/>
  <c r="M120" i="23"/>
  <c r="L120" i="23"/>
  <c r="K120" i="23"/>
  <c r="J120" i="23"/>
  <c r="J124" i="23" s="1"/>
  <c r="I120" i="23"/>
  <c r="I122" i="23" s="1"/>
  <c r="H120" i="23"/>
  <c r="G120" i="23"/>
  <c r="F120" i="23"/>
  <c r="E120" i="23"/>
  <c r="D120" i="23"/>
  <c r="C120" i="23"/>
  <c r="N119" i="23"/>
  <c r="N123" i="23" s="1"/>
  <c r="M119" i="23"/>
  <c r="L119" i="23"/>
  <c r="L123" i="23" s="1"/>
  <c r="K119" i="23"/>
  <c r="K123" i="23" s="1"/>
  <c r="J119" i="23"/>
  <c r="J123" i="23" s="1"/>
  <c r="I119" i="23"/>
  <c r="H119" i="23"/>
  <c r="H123" i="23" s="1"/>
  <c r="G119" i="23"/>
  <c r="F119" i="23"/>
  <c r="E119" i="23"/>
  <c r="D119" i="23"/>
  <c r="D123" i="23" s="1"/>
  <c r="C119" i="23"/>
  <c r="N118" i="23"/>
  <c r="N80" i="24" s="1"/>
  <c r="N128" i="24" s="1"/>
  <c r="M118" i="23"/>
  <c r="M123" i="23" s="1"/>
  <c r="L118" i="23"/>
  <c r="L124" i="23" s="1"/>
  <c r="K118" i="23"/>
  <c r="K125" i="23" s="1"/>
  <c r="J118" i="23"/>
  <c r="I118" i="23"/>
  <c r="I124" i="23" s="1"/>
  <c r="H118" i="23"/>
  <c r="G118" i="23"/>
  <c r="F118" i="23"/>
  <c r="E118" i="23"/>
  <c r="D118" i="23"/>
  <c r="C118" i="23"/>
  <c r="M115" i="23"/>
  <c r="E115" i="23"/>
  <c r="N114" i="23"/>
  <c r="M114" i="23"/>
  <c r="M113" i="23"/>
  <c r="D113" i="23"/>
  <c r="N112" i="23"/>
  <c r="M112" i="23"/>
  <c r="E112" i="23"/>
  <c r="D112" i="23"/>
  <c r="M111" i="23"/>
  <c r="N110" i="23"/>
  <c r="M110" i="23"/>
  <c r="L110" i="23"/>
  <c r="G110" i="23"/>
  <c r="D110" i="23"/>
  <c r="C110" i="23"/>
  <c r="N109" i="23"/>
  <c r="M109" i="23"/>
  <c r="L109" i="23"/>
  <c r="K109" i="23"/>
  <c r="J109" i="23"/>
  <c r="I109" i="23"/>
  <c r="H109" i="23"/>
  <c r="G109" i="23"/>
  <c r="F109" i="23"/>
  <c r="E109" i="23"/>
  <c r="D109" i="23"/>
  <c r="C109" i="23"/>
  <c r="N108" i="23"/>
  <c r="N111" i="23" s="1"/>
  <c r="M108" i="23"/>
  <c r="L108" i="23"/>
  <c r="K108" i="23"/>
  <c r="J108" i="23"/>
  <c r="I108" i="23"/>
  <c r="H108" i="23"/>
  <c r="G108" i="23"/>
  <c r="F108" i="23"/>
  <c r="E108" i="23"/>
  <c r="E113" i="23" s="1"/>
  <c r="D108" i="23"/>
  <c r="C108" i="23"/>
  <c r="N107" i="23"/>
  <c r="M107" i="23"/>
  <c r="L107" i="23"/>
  <c r="K107" i="23"/>
  <c r="J107" i="23"/>
  <c r="I107" i="23"/>
  <c r="I111" i="23" s="1"/>
  <c r="H107" i="23"/>
  <c r="G107" i="23"/>
  <c r="F107" i="23"/>
  <c r="E107" i="23"/>
  <c r="E111" i="23" s="1"/>
  <c r="D107" i="23"/>
  <c r="C107" i="23"/>
  <c r="C111" i="23" s="1"/>
  <c r="N106" i="23"/>
  <c r="M106" i="23"/>
  <c r="M79" i="24" s="1"/>
  <c r="M127" i="24" s="1"/>
  <c r="L106" i="23"/>
  <c r="L79" i="24" s="1"/>
  <c r="L127" i="24" s="1"/>
  <c r="K106" i="23"/>
  <c r="J106" i="23"/>
  <c r="I106" i="23"/>
  <c r="H106" i="23"/>
  <c r="G106" i="23"/>
  <c r="F106" i="23"/>
  <c r="E106" i="23"/>
  <c r="D106" i="23"/>
  <c r="C106" i="23"/>
  <c r="G104" i="23"/>
  <c r="E104" i="23"/>
  <c r="N102" i="23"/>
  <c r="K102" i="23"/>
  <c r="J70" i="1" s="1"/>
  <c r="J102" i="23"/>
  <c r="I102" i="23"/>
  <c r="G102" i="23"/>
  <c r="I101" i="23"/>
  <c r="H101" i="23"/>
  <c r="D101" i="23"/>
  <c r="C69" i="1" s="1"/>
  <c r="M100" i="23"/>
  <c r="I100" i="23"/>
  <c r="N99" i="23"/>
  <c r="M99" i="23"/>
  <c r="L99" i="23"/>
  <c r="K99" i="23"/>
  <c r="J99" i="23"/>
  <c r="L98" i="23"/>
  <c r="K98" i="23"/>
  <c r="G98" i="23"/>
  <c r="F98" i="23"/>
  <c r="E98" i="23"/>
  <c r="M96" i="23"/>
  <c r="M103" i="23" s="1"/>
  <c r="N95" i="23"/>
  <c r="M95" i="23"/>
  <c r="L95" i="23"/>
  <c r="K95" i="23"/>
  <c r="J95" i="23"/>
  <c r="I95" i="23"/>
  <c r="H95" i="23"/>
  <c r="G95" i="23"/>
  <c r="F95" i="23"/>
  <c r="F99" i="23" s="1"/>
  <c r="E95" i="23"/>
  <c r="D95" i="23"/>
  <c r="C95" i="23"/>
  <c r="O95" i="23" s="1"/>
  <c r="N94" i="23"/>
  <c r="M94" i="23"/>
  <c r="L94" i="23"/>
  <c r="K94" i="23"/>
  <c r="J94" i="23"/>
  <c r="I94" i="23"/>
  <c r="H94" i="23"/>
  <c r="G94" i="23"/>
  <c r="F94" i="23"/>
  <c r="E94" i="23"/>
  <c r="D94" i="23"/>
  <c r="C94" i="23"/>
  <c r="N93" i="23"/>
  <c r="M93" i="23"/>
  <c r="L93" i="23"/>
  <c r="K93" i="23"/>
  <c r="J93" i="23"/>
  <c r="I93" i="23"/>
  <c r="H93" i="23"/>
  <c r="G93" i="23"/>
  <c r="F93" i="23"/>
  <c r="E93" i="23"/>
  <c r="D93" i="23"/>
  <c r="C93" i="23"/>
  <c r="O93" i="23" s="1"/>
  <c r="N92" i="23"/>
  <c r="M92" i="23"/>
  <c r="L92" i="23"/>
  <c r="K92" i="23"/>
  <c r="J92" i="23"/>
  <c r="I92" i="23"/>
  <c r="H92" i="23"/>
  <c r="G92" i="23"/>
  <c r="F92" i="23"/>
  <c r="E92" i="23"/>
  <c r="E99" i="23" s="1"/>
  <c r="D92" i="23"/>
  <c r="C92" i="23"/>
  <c r="O92" i="23" s="1"/>
  <c r="N91" i="23"/>
  <c r="M91" i="23"/>
  <c r="L91" i="23"/>
  <c r="K91" i="23"/>
  <c r="J91" i="23"/>
  <c r="I91" i="23"/>
  <c r="H91" i="23"/>
  <c r="G91" i="23"/>
  <c r="F91" i="23"/>
  <c r="E91" i="23"/>
  <c r="E101" i="23" s="1"/>
  <c r="D91" i="23"/>
  <c r="C91" i="23"/>
  <c r="O91" i="23" s="1"/>
  <c r="N90" i="23"/>
  <c r="N78" i="24" s="1"/>
  <c r="N126" i="24" s="1"/>
  <c r="M90" i="23"/>
  <c r="M78" i="24" s="1"/>
  <c r="M126" i="24" s="1"/>
  <c r="L90" i="23"/>
  <c r="L78" i="24" s="1"/>
  <c r="L126" i="24" s="1"/>
  <c r="K90" i="23"/>
  <c r="J90" i="23"/>
  <c r="I90" i="23"/>
  <c r="I78" i="24" s="1"/>
  <c r="I126" i="24" s="1"/>
  <c r="H90" i="23"/>
  <c r="G90" i="23"/>
  <c r="F90" i="23"/>
  <c r="F102" i="23" s="1"/>
  <c r="E90" i="23"/>
  <c r="D90" i="23"/>
  <c r="C90" i="23"/>
  <c r="K87" i="23"/>
  <c r="N84" i="23"/>
  <c r="D82" i="23"/>
  <c r="N79" i="23"/>
  <c r="N77" i="24" s="1"/>
  <c r="N125" i="24" s="1"/>
  <c r="M79" i="23"/>
  <c r="M77" i="24" s="1"/>
  <c r="M125" i="24" s="1"/>
  <c r="L79" i="23"/>
  <c r="L77" i="24" s="1"/>
  <c r="L125" i="24" s="1"/>
  <c r="K79" i="23"/>
  <c r="K77" i="24" s="1"/>
  <c r="K125" i="24" s="1"/>
  <c r="J79" i="23"/>
  <c r="J77" i="24" s="1"/>
  <c r="J125" i="24" s="1"/>
  <c r="I79" i="23"/>
  <c r="I77" i="24" s="1"/>
  <c r="I125" i="24" s="1"/>
  <c r="H79" i="23"/>
  <c r="H77" i="24" s="1"/>
  <c r="H125" i="24" s="1"/>
  <c r="G79" i="23"/>
  <c r="G77" i="24" s="1"/>
  <c r="G125" i="24" s="1"/>
  <c r="F79" i="23"/>
  <c r="F77" i="24" s="1"/>
  <c r="F125" i="24" s="1"/>
  <c r="E79" i="23"/>
  <c r="E77" i="24" s="1"/>
  <c r="E125" i="24" s="1"/>
  <c r="D79" i="23"/>
  <c r="D77" i="24" s="1"/>
  <c r="D125" i="24" s="1"/>
  <c r="C79" i="23"/>
  <c r="C77" i="24" s="1"/>
  <c r="C125" i="24" s="1"/>
  <c r="N78" i="23"/>
  <c r="M78" i="23"/>
  <c r="L78" i="23"/>
  <c r="K78" i="23"/>
  <c r="K76" i="24" s="1"/>
  <c r="K124" i="24" s="1"/>
  <c r="J78" i="23"/>
  <c r="I78" i="23"/>
  <c r="H78" i="23"/>
  <c r="G78" i="23"/>
  <c r="F78" i="23"/>
  <c r="E78" i="23"/>
  <c r="E76" i="24" s="1"/>
  <c r="E124" i="24" s="1"/>
  <c r="D78" i="23"/>
  <c r="D76" i="24" s="1"/>
  <c r="D124" i="24" s="1"/>
  <c r="C78" i="23"/>
  <c r="C76" i="24" s="1"/>
  <c r="C124" i="24" s="1"/>
  <c r="M77" i="23"/>
  <c r="K77" i="23"/>
  <c r="J77" i="23"/>
  <c r="G77" i="23"/>
  <c r="E77" i="23"/>
  <c r="N76" i="23"/>
  <c r="M76" i="23"/>
  <c r="M75" i="24" s="1"/>
  <c r="M123" i="24" s="1"/>
  <c r="L76" i="23"/>
  <c r="K76" i="23"/>
  <c r="K75" i="24" s="1"/>
  <c r="K123" i="24" s="1"/>
  <c r="J76" i="23"/>
  <c r="J75" i="24" s="1"/>
  <c r="J123" i="24" s="1"/>
  <c r="I76" i="23"/>
  <c r="H76" i="23"/>
  <c r="G76" i="23"/>
  <c r="G75" i="24" s="1"/>
  <c r="F76" i="23"/>
  <c r="E76" i="23"/>
  <c r="E75" i="24" s="1"/>
  <c r="E123" i="24" s="1"/>
  <c r="D76" i="23"/>
  <c r="C76" i="23"/>
  <c r="C75" i="24" s="1"/>
  <c r="C123" i="24" s="1"/>
  <c r="K75" i="23"/>
  <c r="J75" i="23"/>
  <c r="I75" i="23"/>
  <c r="G75" i="23"/>
  <c r="C75" i="23"/>
  <c r="N74" i="23"/>
  <c r="M74" i="23"/>
  <c r="M74" i="24" s="1"/>
  <c r="M122" i="24" s="1"/>
  <c r="L74" i="23"/>
  <c r="K74" i="23"/>
  <c r="J74" i="23"/>
  <c r="I74" i="23"/>
  <c r="I74" i="24" s="1"/>
  <c r="I122" i="24" s="1"/>
  <c r="H74" i="23"/>
  <c r="G74" i="23"/>
  <c r="G74" i="24" s="1"/>
  <c r="G122" i="24" s="1"/>
  <c r="F74" i="23"/>
  <c r="E74" i="23"/>
  <c r="D74" i="23"/>
  <c r="C74" i="23"/>
  <c r="C74" i="24" s="1"/>
  <c r="C122" i="24" s="1"/>
  <c r="F65" i="23"/>
  <c r="D65" i="23"/>
  <c r="N64" i="23"/>
  <c r="N65" i="23" s="1"/>
  <c r="M64" i="23"/>
  <c r="M65" i="23" s="1"/>
  <c r="L64" i="23"/>
  <c r="L73" i="24" s="1"/>
  <c r="L121" i="24" s="1"/>
  <c r="K64" i="23"/>
  <c r="J64" i="23"/>
  <c r="J73" i="24" s="1"/>
  <c r="J121" i="24" s="1"/>
  <c r="I64" i="23"/>
  <c r="I73" i="24" s="1"/>
  <c r="I121" i="24" s="1"/>
  <c r="H64" i="23"/>
  <c r="H73" i="24" s="1"/>
  <c r="H121" i="24" s="1"/>
  <c r="G64" i="23"/>
  <c r="G73" i="24" s="1"/>
  <c r="F64" i="23"/>
  <c r="F73" i="24" s="1"/>
  <c r="F121" i="24" s="1"/>
  <c r="E64" i="23"/>
  <c r="E73" i="24" s="1"/>
  <c r="E121" i="24" s="1"/>
  <c r="D64" i="23"/>
  <c r="D73" i="24" s="1"/>
  <c r="D121" i="24" s="1"/>
  <c r="C64" i="23"/>
  <c r="N62" i="23"/>
  <c r="N72" i="24" s="1"/>
  <c r="N120" i="24" s="1"/>
  <c r="G51" i="23"/>
  <c r="F4" i="1" s="1"/>
  <c r="N50" i="23"/>
  <c r="M50" i="23"/>
  <c r="L50" i="23"/>
  <c r="K50" i="23"/>
  <c r="J50" i="23"/>
  <c r="I50" i="23"/>
  <c r="H50" i="23"/>
  <c r="G50" i="23"/>
  <c r="F50" i="23"/>
  <c r="E50" i="23"/>
  <c r="D50" i="23"/>
  <c r="C50" i="23"/>
  <c r="N49" i="23"/>
  <c r="N71" i="24" s="1"/>
  <c r="N119" i="24" s="1"/>
  <c r="M49" i="23"/>
  <c r="L49" i="23"/>
  <c r="L71" i="24" s="1"/>
  <c r="L119" i="24" s="1"/>
  <c r="K49" i="23"/>
  <c r="K71" i="24" s="1"/>
  <c r="K119" i="24" s="1"/>
  <c r="J49" i="23"/>
  <c r="J71" i="24" s="1"/>
  <c r="J119" i="24" s="1"/>
  <c r="I49" i="23"/>
  <c r="I71" i="24" s="1"/>
  <c r="I119" i="24" s="1"/>
  <c r="H49" i="23"/>
  <c r="H71" i="24" s="1"/>
  <c r="H119" i="24" s="1"/>
  <c r="G49" i="23"/>
  <c r="G71" i="24" s="1"/>
  <c r="G119" i="24" s="1"/>
  <c r="F49" i="23"/>
  <c r="E49" i="23"/>
  <c r="E71" i="24" s="1"/>
  <c r="E119" i="24" s="1"/>
  <c r="D49" i="23"/>
  <c r="D71" i="24" s="1"/>
  <c r="D119" i="24" s="1"/>
  <c r="C49" i="23"/>
  <c r="C71" i="24" s="1"/>
  <c r="C119" i="24" s="1"/>
  <c r="J48" i="23"/>
  <c r="D48" i="23"/>
  <c r="D70" i="24" s="1"/>
  <c r="D118" i="24" s="1"/>
  <c r="N47" i="23"/>
  <c r="M47" i="23"/>
  <c r="L47" i="23"/>
  <c r="K47" i="23"/>
  <c r="J47" i="23"/>
  <c r="I47" i="23"/>
  <c r="H47" i="23"/>
  <c r="G47" i="23"/>
  <c r="F47" i="23"/>
  <c r="E47" i="23"/>
  <c r="D47" i="23"/>
  <c r="C47" i="23"/>
  <c r="N46" i="23"/>
  <c r="N69" i="24" s="1"/>
  <c r="N117" i="24" s="1"/>
  <c r="M46" i="23"/>
  <c r="M69" i="24" s="1"/>
  <c r="M117" i="24" s="1"/>
  <c r="L46" i="23"/>
  <c r="L69" i="24" s="1"/>
  <c r="L117" i="24" s="1"/>
  <c r="K46" i="23"/>
  <c r="K69" i="24" s="1"/>
  <c r="K117" i="24" s="1"/>
  <c r="J46" i="23"/>
  <c r="J69" i="24" s="1"/>
  <c r="J117" i="24" s="1"/>
  <c r="I46" i="23"/>
  <c r="I69" i="24" s="1"/>
  <c r="I117" i="24" s="1"/>
  <c r="H46" i="23"/>
  <c r="H69" i="24" s="1"/>
  <c r="H117" i="24" s="1"/>
  <c r="G46" i="23"/>
  <c r="G69" i="24" s="1"/>
  <c r="F46" i="23"/>
  <c r="F69" i="24" s="1"/>
  <c r="F117" i="24" s="1"/>
  <c r="E46" i="23"/>
  <c r="E69" i="24" s="1"/>
  <c r="E117" i="24" s="1"/>
  <c r="D46" i="23"/>
  <c r="D69" i="24" s="1"/>
  <c r="D117" i="24" s="1"/>
  <c r="C46" i="23"/>
  <c r="C69" i="24" s="1"/>
  <c r="C117" i="24" s="1"/>
  <c r="G42" i="23"/>
  <c r="L39" i="23"/>
  <c r="K39" i="23"/>
  <c r="J39" i="23"/>
  <c r="H39" i="23"/>
  <c r="F39" i="23"/>
  <c r="K38" i="23"/>
  <c r="J38" i="23"/>
  <c r="H38" i="23"/>
  <c r="G38" i="23"/>
  <c r="J37" i="23"/>
  <c r="H37" i="23"/>
  <c r="G37" i="23"/>
  <c r="F37" i="23"/>
  <c r="D37" i="23"/>
  <c r="N36" i="23"/>
  <c r="L36" i="23"/>
  <c r="J36" i="23"/>
  <c r="G36" i="23"/>
  <c r="E36" i="23"/>
  <c r="D36" i="23"/>
  <c r="J35" i="23"/>
  <c r="L34" i="23"/>
  <c r="K34" i="23"/>
  <c r="J34" i="23"/>
  <c r="I34" i="23"/>
  <c r="F34" i="23"/>
  <c r="E34" i="23"/>
  <c r="D34" i="23"/>
  <c r="K33" i="23"/>
  <c r="K35" i="23" s="1"/>
  <c r="J33" i="23"/>
  <c r="H33" i="23"/>
  <c r="H35" i="23" s="1"/>
  <c r="F33" i="23"/>
  <c r="F35" i="23" s="1"/>
  <c r="E33" i="23"/>
  <c r="E35" i="23" s="1"/>
  <c r="D33" i="23"/>
  <c r="D35" i="23" s="1"/>
  <c r="N32" i="23"/>
  <c r="N66" i="24" s="1"/>
  <c r="N114" i="24" s="1"/>
  <c r="M32" i="23"/>
  <c r="M66" i="24" s="1"/>
  <c r="M114" i="24" s="1"/>
  <c r="L32" i="23"/>
  <c r="K32" i="23"/>
  <c r="K66" i="24" s="1"/>
  <c r="K114" i="24" s="1"/>
  <c r="J32" i="23"/>
  <c r="J66" i="24" s="1"/>
  <c r="J114" i="24" s="1"/>
  <c r="I32" i="23"/>
  <c r="I37" i="23" s="1"/>
  <c r="H32" i="23"/>
  <c r="G32" i="23"/>
  <c r="F32" i="23"/>
  <c r="E32" i="23"/>
  <c r="D32" i="23"/>
  <c r="C32" i="23"/>
  <c r="J25" i="23"/>
  <c r="H25" i="23"/>
  <c r="F25" i="23"/>
  <c r="N20" i="23"/>
  <c r="M20" i="23"/>
  <c r="L20" i="23"/>
  <c r="K20" i="23"/>
  <c r="J20" i="23"/>
  <c r="I20" i="23"/>
  <c r="H20" i="23"/>
  <c r="G20" i="23"/>
  <c r="F20" i="23"/>
  <c r="E20" i="23"/>
  <c r="D20" i="23"/>
  <c r="C20" i="23"/>
  <c r="N19" i="23"/>
  <c r="N65" i="24" s="1"/>
  <c r="N113" i="24" s="1"/>
  <c r="M19" i="23"/>
  <c r="M65" i="24" s="1"/>
  <c r="M113" i="24" s="1"/>
  <c r="L19" i="23"/>
  <c r="L65" i="24" s="1"/>
  <c r="L113" i="24" s="1"/>
  <c r="K19" i="23"/>
  <c r="K65" i="24" s="1"/>
  <c r="K113" i="24" s="1"/>
  <c r="J19" i="23"/>
  <c r="J65" i="24" s="1"/>
  <c r="J113" i="24" s="1"/>
  <c r="I19" i="23"/>
  <c r="I65" i="24" s="1"/>
  <c r="I113" i="24" s="1"/>
  <c r="H19" i="23"/>
  <c r="H65" i="24" s="1"/>
  <c r="H113" i="24" s="1"/>
  <c r="G19" i="23"/>
  <c r="G65" i="24" s="1"/>
  <c r="F19" i="23"/>
  <c r="F65" i="24" s="1"/>
  <c r="F113" i="24" s="1"/>
  <c r="E19" i="23"/>
  <c r="E65" i="24" s="1"/>
  <c r="E113" i="24" s="1"/>
  <c r="D19" i="23"/>
  <c r="D65" i="24" s="1"/>
  <c r="D113" i="24" s="1"/>
  <c r="C19" i="23"/>
  <c r="C65" i="24" s="1"/>
  <c r="C113" i="24" s="1"/>
  <c r="N17" i="23"/>
  <c r="M17" i="23"/>
  <c r="L17" i="23"/>
  <c r="K17" i="23"/>
  <c r="J17" i="23"/>
  <c r="I17" i="23"/>
  <c r="H17" i="23"/>
  <c r="G17" i="23"/>
  <c r="F17" i="23"/>
  <c r="E17" i="23"/>
  <c r="D17" i="23"/>
  <c r="C17" i="23"/>
  <c r="N16" i="23"/>
  <c r="N63" i="24" s="1"/>
  <c r="N111" i="24" s="1"/>
  <c r="M16" i="23"/>
  <c r="M63" i="24" s="1"/>
  <c r="M111" i="24" s="1"/>
  <c r="L16" i="23"/>
  <c r="L63" i="24" s="1"/>
  <c r="L111" i="24" s="1"/>
  <c r="K16" i="23"/>
  <c r="K63" i="24" s="1"/>
  <c r="K111" i="24" s="1"/>
  <c r="J16" i="23"/>
  <c r="J63" i="24" s="1"/>
  <c r="J111" i="24" s="1"/>
  <c r="I16" i="23"/>
  <c r="I63" i="24" s="1"/>
  <c r="I111" i="24" s="1"/>
  <c r="H16" i="23"/>
  <c r="H63" i="24" s="1"/>
  <c r="H111" i="24" s="1"/>
  <c r="G16" i="23"/>
  <c r="F16" i="23"/>
  <c r="F63" i="24" s="1"/>
  <c r="F111" i="24" s="1"/>
  <c r="E16" i="23"/>
  <c r="E63" i="24" s="1"/>
  <c r="E111" i="24" s="1"/>
  <c r="D16" i="23"/>
  <c r="D63" i="24" s="1"/>
  <c r="D111" i="24" s="1"/>
  <c r="C16" i="23"/>
  <c r="C63" i="24" s="1"/>
  <c r="C111" i="24" s="1"/>
  <c r="AF72" i="22"/>
  <c r="V72" i="22"/>
  <c r="L72" i="22"/>
  <c r="B72" i="22"/>
  <c r="N63" i="22"/>
  <c r="Z45" i="22"/>
  <c r="X42" i="22"/>
  <c r="V45" i="22" s="1"/>
  <c r="AF34" i="22"/>
  <c r="V34" i="22"/>
  <c r="N34" i="22"/>
  <c r="L34" i="22"/>
  <c r="L37" i="22" s="1"/>
  <c r="P37" i="22" s="1"/>
  <c r="B34" i="22"/>
  <c r="AF26" i="22"/>
  <c r="L26" i="22"/>
  <c r="AO13" i="22"/>
  <c r="AF13" i="22"/>
  <c r="V13" i="22"/>
  <c r="V26" i="22" s="1"/>
  <c r="L13" i="22"/>
  <c r="B13" i="22"/>
  <c r="B26" i="22" s="1"/>
  <c r="AF12" i="22"/>
  <c r="L79" i="21"/>
  <c r="L83" i="21" s="1"/>
  <c r="O83" i="21" s="1"/>
  <c r="B79" i="21"/>
  <c r="L73" i="21"/>
  <c r="O73" i="21" s="1"/>
  <c r="N69" i="21"/>
  <c r="N79" i="21" s="1"/>
  <c r="N59" i="21"/>
  <c r="L63" i="21" s="1"/>
  <c r="O63" i="21" s="1"/>
  <c r="L53" i="21"/>
  <c r="O53" i="21" s="1"/>
  <c r="N49" i="21"/>
  <c r="N19" i="21"/>
  <c r="L23" i="21" s="1"/>
  <c r="O23" i="21" s="1"/>
  <c r="V14" i="21"/>
  <c r="L14" i="21"/>
  <c r="L29" i="21" s="1"/>
  <c r="B14" i="21"/>
  <c r="B29" i="21" s="1"/>
  <c r="L79" i="20"/>
  <c r="B79" i="20"/>
  <c r="B73" i="20"/>
  <c r="F73" i="20" s="1"/>
  <c r="D69" i="20"/>
  <c r="D79" i="20" s="1"/>
  <c r="B83" i="20" s="1"/>
  <c r="E83" i="20" s="1"/>
  <c r="D59" i="20"/>
  <c r="B63" i="20" s="1"/>
  <c r="F63" i="20" s="1"/>
  <c r="N39" i="20"/>
  <c r="L43" i="20" s="1"/>
  <c r="P43" i="20" s="1"/>
  <c r="L29" i="20"/>
  <c r="B29" i="20"/>
  <c r="D19" i="20"/>
  <c r="B23" i="20" s="1"/>
  <c r="F23" i="20" s="1"/>
  <c r="V14" i="20"/>
  <c r="L14" i="20"/>
  <c r="B14" i="20"/>
  <c r="L13" i="20"/>
  <c r="B13" i="20"/>
  <c r="D39" i="20" s="1"/>
  <c r="B43" i="20" s="1"/>
  <c r="F43" i="20" s="1"/>
  <c r="L27" i="19"/>
  <c r="V14" i="19"/>
  <c r="L14" i="19"/>
  <c r="B14" i="19"/>
  <c r="B27" i="19" s="1"/>
  <c r="L13" i="19"/>
  <c r="B13" i="19"/>
  <c r="L28" i="18"/>
  <c r="V14" i="18"/>
  <c r="L14" i="18"/>
  <c r="B14" i="18"/>
  <c r="B28" i="18" s="1"/>
  <c r="O19" i="17"/>
  <c r="L19" i="17"/>
  <c r="O18" i="17"/>
  <c r="N18" i="17"/>
  <c r="N19" i="17" s="1"/>
  <c r="L18" i="17"/>
  <c r="K18" i="17"/>
  <c r="K19" i="17" s="1"/>
  <c r="K20" i="17" s="1"/>
  <c r="P17" i="17"/>
  <c r="D17" i="17" s="1"/>
  <c r="N97" i="23" s="1"/>
  <c r="N104" i="23" s="1"/>
  <c r="M17" i="17"/>
  <c r="C17" i="17"/>
  <c r="N96" i="23" s="1"/>
  <c r="N103" i="23" s="1"/>
  <c r="M66" i="1" s="1"/>
  <c r="P16" i="17"/>
  <c r="M16" i="17"/>
  <c r="C16" i="17" s="1"/>
  <c r="D16" i="17"/>
  <c r="M97" i="23" s="1"/>
  <c r="M104" i="23" s="1"/>
  <c r="L68" i="1" s="1"/>
  <c r="P15" i="17"/>
  <c r="D15" i="17" s="1"/>
  <c r="L97" i="23" s="1"/>
  <c r="L104" i="23" s="1"/>
  <c r="M15" i="17"/>
  <c r="C15" i="17"/>
  <c r="L96" i="23" s="1"/>
  <c r="L103" i="23" s="1"/>
  <c r="P14" i="17"/>
  <c r="M14" i="17"/>
  <c r="C14" i="17" s="1"/>
  <c r="K96" i="23" s="1"/>
  <c r="K103" i="23" s="1"/>
  <c r="D14" i="17"/>
  <c r="K97" i="23" s="1"/>
  <c r="K104" i="23" s="1"/>
  <c r="J68" i="1" s="1"/>
  <c r="P13" i="17"/>
  <c r="M13" i="17"/>
  <c r="C13" i="17" s="1"/>
  <c r="J96" i="23" s="1"/>
  <c r="J103" i="23" s="1"/>
  <c r="D13" i="17"/>
  <c r="J97" i="23" s="1"/>
  <c r="J104" i="23" s="1"/>
  <c r="I68" i="1" s="1"/>
  <c r="P12" i="17"/>
  <c r="D12" i="17" s="1"/>
  <c r="I97" i="23" s="1"/>
  <c r="I104" i="23" s="1"/>
  <c r="H68" i="1" s="1"/>
  <c r="M12" i="17"/>
  <c r="C12" i="17" s="1"/>
  <c r="I96" i="23" s="1"/>
  <c r="I103" i="23" s="1"/>
  <c r="P11" i="17"/>
  <c r="D11" i="17" s="1"/>
  <c r="H97" i="23" s="1"/>
  <c r="H104" i="23" s="1"/>
  <c r="M11" i="17"/>
  <c r="C11" i="17"/>
  <c r="H96" i="23" s="1"/>
  <c r="H103" i="23" s="1"/>
  <c r="P10" i="17"/>
  <c r="M10" i="17"/>
  <c r="C10" i="17" s="1"/>
  <c r="G96" i="23" s="1"/>
  <c r="G103" i="23" s="1"/>
  <c r="D10" i="17"/>
  <c r="G97" i="23" s="1"/>
  <c r="P9" i="17"/>
  <c r="M9" i="17"/>
  <c r="C9" i="17" s="1"/>
  <c r="F96" i="23" s="1"/>
  <c r="F103" i="23" s="1"/>
  <c r="E66" i="1" s="1"/>
  <c r="D9" i="17"/>
  <c r="F97" i="23" s="1"/>
  <c r="F104" i="23" s="1"/>
  <c r="P8" i="17"/>
  <c r="D8" i="17" s="1"/>
  <c r="E97" i="23" s="1"/>
  <c r="M8" i="17"/>
  <c r="C8" i="17" s="1"/>
  <c r="E96" i="23" s="1"/>
  <c r="E103" i="23" s="1"/>
  <c r="D66" i="1" s="1"/>
  <c r="P7" i="17"/>
  <c r="P18" i="17" s="1"/>
  <c r="P19" i="17" s="1"/>
  <c r="M7" i="17"/>
  <c r="C7" i="17" s="1"/>
  <c r="D96" i="23" s="1"/>
  <c r="D103" i="23" s="1"/>
  <c r="P6" i="17"/>
  <c r="M6" i="17"/>
  <c r="C6" i="17" s="1"/>
  <c r="D6" i="17"/>
  <c r="C97" i="23" s="1"/>
  <c r="O50" i="16"/>
  <c r="D50" i="16"/>
  <c r="O42" i="16"/>
  <c r="D42" i="16"/>
  <c r="AD34" i="16"/>
  <c r="AC34" i="16"/>
  <c r="B15" i="16" s="1"/>
  <c r="D29" i="16" s="1"/>
  <c r="AB34" i="16"/>
  <c r="O29" i="16"/>
  <c r="O21" i="16"/>
  <c r="H21" i="16"/>
  <c r="B24" i="16" s="1"/>
  <c r="F24" i="16" s="1"/>
  <c r="D21" i="16"/>
  <c r="AD16" i="16"/>
  <c r="M16" i="16" s="1"/>
  <c r="AC16" i="16"/>
  <c r="B16" i="16" s="1"/>
  <c r="AB16" i="16"/>
  <c r="M15" i="16"/>
  <c r="B13" i="16"/>
  <c r="J37" i="15"/>
  <c r="I37" i="15"/>
  <c r="H37" i="15"/>
  <c r="C37" i="15"/>
  <c r="L12" i="22" s="1"/>
  <c r="L36" i="15"/>
  <c r="M14" i="16" s="1"/>
  <c r="K36" i="15"/>
  <c r="B14" i="16" s="1"/>
  <c r="J36" i="15"/>
  <c r="I36" i="15"/>
  <c r="H36" i="15"/>
  <c r="E36" i="15"/>
  <c r="E37" i="15" s="1"/>
  <c r="D36" i="15"/>
  <c r="D37" i="15" s="1"/>
  <c r="V12" i="22" s="1"/>
  <c r="C36" i="15"/>
  <c r="B36" i="15"/>
  <c r="B37" i="15" s="1"/>
  <c r="J19" i="15"/>
  <c r="F19" i="15"/>
  <c r="C19" i="15"/>
  <c r="AF18" i="15"/>
  <c r="AE18" i="15"/>
  <c r="AD18" i="15"/>
  <c r="AC18" i="15"/>
  <c r="AB18" i="15"/>
  <c r="AA18" i="15"/>
  <c r="Z18" i="15"/>
  <c r="Y18" i="15"/>
  <c r="X18" i="15"/>
  <c r="W18" i="15"/>
  <c r="V18" i="15"/>
  <c r="U18" i="15"/>
  <c r="O18" i="15"/>
  <c r="O19" i="15" s="1"/>
  <c r="L13" i="21" s="1"/>
  <c r="N18" i="15"/>
  <c r="N19" i="15" s="1"/>
  <c r="B13" i="21" s="1"/>
  <c r="K18" i="15"/>
  <c r="K19" i="15" s="1"/>
  <c r="J18" i="15"/>
  <c r="G18" i="15"/>
  <c r="G19" i="15" s="1"/>
  <c r="L13" i="18" s="1"/>
  <c r="F18" i="15"/>
  <c r="C18" i="15"/>
  <c r="B18" i="15"/>
  <c r="B19" i="15" s="1"/>
  <c r="H74" i="14"/>
  <c r="R68" i="14"/>
  <c r="H68" i="14"/>
  <c r="H62" i="14"/>
  <c r="R56" i="14"/>
  <c r="H56" i="14"/>
  <c r="R50" i="14"/>
  <c r="H50" i="14"/>
  <c r="R44" i="14"/>
  <c r="H44" i="14"/>
  <c r="R38" i="14"/>
  <c r="M38" i="14"/>
  <c r="H38" i="14"/>
  <c r="R32" i="14"/>
  <c r="M32" i="14"/>
  <c r="H32" i="14"/>
  <c r="R26" i="14"/>
  <c r="H26" i="14"/>
  <c r="M84" i="23" s="1"/>
  <c r="R20" i="14"/>
  <c r="H20" i="14"/>
  <c r="B17" i="14"/>
  <c r="B13" i="14"/>
  <c r="R74" i="14" s="1"/>
  <c r="C11" i="14"/>
  <c r="B10" i="14"/>
  <c r="B11" i="14" s="1"/>
  <c r="R62" i="14" s="1"/>
  <c r="K78" i="13"/>
  <c r="L28" i="13"/>
  <c r="J32" i="13" s="1"/>
  <c r="M32" i="13" s="1"/>
  <c r="V14" i="13"/>
  <c r="V13" i="13"/>
  <c r="B78" i="13" s="1"/>
  <c r="D56" i="12"/>
  <c r="B16" i="14" s="1"/>
  <c r="C56" i="12"/>
  <c r="B56" i="12"/>
  <c r="H55" i="12"/>
  <c r="B18" i="14" s="1"/>
  <c r="G55" i="12"/>
  <c r="F55" i="12"/>
  <c r="D55" i="12"/>
  <c r="C55" i="12"/>
  <c r="B55" i="12"/>
  <c r="E54" i="12"/>
  <c r="E53" i="12"/>
  <c r="E52" i="12"/>
  <c r="E51" i="12"/>
  <c r="E50" i="12"/>
  <c r="E49" i="12"/>
  <c r="E48" i="12"/>
  <c r="E47" i="12"/>
  <c r="E46" i="12"/>
  <c r="E45" i="12"/>
  <c r="E44" i="12"/>
  <c r="E43" i="12"/>
  <c r="L38" i="12"/>
  <c r="K38" i="12"/>
  <c r="E38" i="12"/>
  <c r="D38" i="12"/>
  <c r="C38" i="12"/>
  <c r="B38" i="12"/>
  <c r="L37" i="12"/>
  <c r="C37" i="12"/>
  <c r="B37" i="12"/>
  <c r="H39" i="12" s="1"/>
  <c r="J12" i="13" s="1"/>
  <c r="M36" i="12"/>
  <c r="L36" i="12"/>
  <c r="K36" i="12"/>
  <c r="K37" i="12" s="1"/>
  <c r="H36" i="12"/>
  <c r="J13" i="13" s="1"/>
  <c r="J28" i="13" s="1"/>
  <c r="G36" i="12"/>
  <c r="K40" i="12" s="1"/>
  <c r="F36" i="12"/>
  <c r="E36" i="12"/>
  <c r="E37" i="12" s="1"/>
  <c r="D36" i="12"/>
  <c r="D37" i="12" s="1"/>
  <c r="C36" i="12"/>
  <c r="B36" i="12"/>
  <c r="I18" i="12"/>
  <c r="B13" i="13" s="1"/>
  <c r="B28" i="13" s="1"/>
  <c r="H18" i="12"/>
  <c r="E18" i="12"/>
  <c r="D18" i="12"/>
  <c r="C18" i="12"/>
  <c r="B18" i="12"/>
  <c r="I17" i="12"/>
  <c r="H17" i="12"/>
  <c r="E17" i="12"/>
  <c r="D17" i="12"/>
  <c r="C17" i="12"/>
  <c r="B17" i="12"/>
  <c r="K14" i="12"/>
  <c r="B12" i="13" s="1"/>
  <c r="K80" i="11"/>
  <c r="B80" i="11"/>
  <c r="B28" i="11"/>
  <c r="V13" i="11"/>
  <c r="K13" i="11"/>
  <c r="K28" i="11" s="1"/>
  <c r="V12" i="11"/>
  <c r="E53" i="10"/>
  <c r="D53" i="10"/>
  <c r="K55" i="10" s="1"/>
  <c r="C53" i="10"/>
  <c r="B53" i="10"/>
  <c r="B55" i="10" s="1"/>
  <c r="AB35" i="10"/>
  <c r="AA35" i="10"/>
  <c r="Z35" i="10"/>
  <c r="W35" i="10"/>
  <c r="V35" i="10"/>
  <c r="R35" i="10"/>
  <c r="Q35" i="10"/>
  <c r="O35" i="10"/>
  <c r="N35" i="10"/>
  <c r="M35" i="10"/>
  <c r="L35" i="10"/>
  <c r="J55" i="10" s="1"/>
  <c r="K56" i="10" s="1"/>
  <c r="K35" i="10"/>
  <c r="J35" i="10"/>
  <c r="I35" i="10"/>
  <c r="H35" i="10"/>
  <c r="F35" i="10"/>
  <c r="E35" i="10"/>
  <c r="D35" i="10"/>
  <c r="C35" i="10"/>
  <c r="B35" i="10"/>
  <c r="AC34" i="10"/>
  <c r="X34" i="10"/>
  <c r="Y32" i="10"/>
  <c r="I17" i="10"/>
  <c r="B13" i="11" s="1"/>
  <c r="B18" i="11" s="1"/>
  <c r="H17" i="10"/>
  <c r="D17" i="10"/>
  <c r="C17" i="10"/>
  <c r="B17" i="10"/>
  <c r="E16" i="10"/>
  <c r="D16" i="10"/>
  <c r="F15" i="10"/>
  <c r="M62" i="23" s="1"/>
  <c r="E15" i="10"/>
  <c r="D15" i="10"/>
  <c r="E14" i="10"/>
  <c r="D14" i="10"/>
  <c r="F14" i="10" s="1"/>
  <c r="L62" i="23" s="1"/>
  <c r="E13" i="10"/>
  <c r="E17" i="10" s="1"/>
  <c r="D13" i="10"/>
  <c r="E12" i="10"/>
  <c r="D12" i="10"/>
  <c r="F12" i="10" s="1"/>
  <c r="J62" i="23" s="1"/>
  <c r="E11" i="10"/>
  <c r="F11" i="10" s="1"/>
  <c r="I62" i="23" s="1"/>
  <c r="D11" i="10"/>
  <c r="E10" i="10"/>
  <c r="F10" i="10" s="1"/>
  <c r="H62" i="23" s="1"/>
  <c r="D10" i="10"/>
  <c r="E9" i="10"/>
  <c r="D9" i="10"/>
  <c r="F9" i="10" s="1"/>
  <c r="G62" i="23" s="1"/>
  <c r="F8" i="10"/>
  <c r="F62" i="23" s="1"/>
  <c r="E8" i="10"/>
  <c r="D8" i="10"/>
  <c r="E7" i="10"/>
  <c r="F7" i="10" s="1"/>
  <c r="E62" i="23" s="1"/>
  <c r="D7" i="10"/>
  <c r="F6" i="10"/>
  <c r="D62" i="23" s="1"/>
  <c r="E6" i="10"/>
  <c r="D6" i="10"/>
  <c r="E5" i="10"/>
  <c r="D5" i="10"/>
  <c r="F5" i="10" s="1"/>
  <c r="O74" i="9"/>
  <c r="E74" i="9"/>
  <c r="R68" i="9"/>
  <c r="M68" i="9"/>
  <c r="H68" i="9"/>
  <c r="R62" i="9"/>
  <c r="H62" i="9"/>
  <c r="R56" i="9"/>
  <c r="R50" i="9"/>
  <c r="H50" i="9"/>
  <c r="R44" i="9"/>
  <c r="M44" i="9"/>
  <c r="H44" i="9"/>
  <c r="R38" i="9"/>
  <c r="H38" i="9"/>
  <c r="R32" i="9"/>
  <c r="H32" i="9"/>
  <c r="R26" i="9"/>
  <c r="H26" i="9"/>
  <c r="R20" i="9"/>
  <c r="M20" i="9"/>
  <c r="H20" i="9"/>
  <c r="W12" i="9"/>
  <c r="W11" i="9"/>
  <c r="O74" i="8"/>
  <c r="E74" i="8"/>
  <c r="R68" i="8"/>
  <c r="H68" i="8"/>
  <c r="R62" i="8"/>
  <c r="H62" i="8"/>
  <c r="R56" i="8"/>
  <c r="R50" i="8"/>
  <c r="H50" i="8"/>
  <c r="R44" i="8"/>
  <c r="H44" i="8"/>
  <c r="R38" i="8"/>
  <c r="H38" i="8"/>
  <c r="R32" i="8"/>
  <c r="H32" i="8"/>
  <c r="B32" i="8"/>
  <c r="R26" i="8"/>
  <c r="H26" i="8"/>
  <c r="R20" i="8"/>
  <c r="H20" i="8"/>
  <c r="B18" i="8"/>
  <c r="H56" i="8" s="1"/>
  <c r="B17" i="8"/>
  <c r="M38" i="8" s="1"/>
  <c r="B16" i="8"/>
  <c r="B38" i="8" s="1"/>
  <c r="W12" i="8"/>
  <c r="W11" i="8"/>
  <c r="B100" i="7"/>
  <c r="R14" i="7"/>
  <c r="O35" i="6"/>
  <c r="B17" i="9" s="1"/>
  <c r="N35" i="6"/>
  <c r="I35" i="6"/>
  <c r="H35" i="6"/>
  <c r="G35" i="6"/>
  <c r="B18" i="9" s="1"/>
  <c r="H56" i="9" s="1"/>
  <c r="F35" i="6"/>
  <c r="D35" i="6"/>
  <c r="C35" i="6"/>
  <c r="B35" i="6"/>
  <c r="M34" i="6"/>
  <c r="E34" i="6"/>
  <c r="N48" i="23" s="1"/>
  <c r="N70" i="24" s="1"/>
  <c r="N118" i="24" s="1"/>
  <c r="D34" i="6"/>
  <c r="N45" i="23" s="1"/>
  <c r="A34" i="6"/>
  <c r="M33" i="6"/>
  <c r="E33" i="6"/>
  <c r="M48" i="23" s="1"/>
  <c r="M70" i="24" s="1"/>
  <c r="M118" i="24" s="1"/>
  <c r="D33" i="6"/>
  <c r="M45" i="23" s="1"/>
  <c r="A33" i="6"/>
  <c r="M32" i="6"/>
  <c r="E32" i="6"/>
  <c r="L48" i="23" s="1"/>
  <c r="D32" i="6"/>
  <c r="L45" i="23" s="1"/>
  <c r="A32" i="6"/>
  <c r="M31" i="6"/>
  <c r="E31" i="6"/>
  <c r="K48" i="23" s="1"/>
  <c r="K70" i="24" s="1"/>
  <c r="K118" i="24" s="1"/>
  <c r="D31" i="6"/>
  <c r="K45" i="23" s="1"/>
  <c r="A31" i="6"/>
  <c r="M30" i="6"/>
  <c r="E30" i="6"/>
  <c r="D30" i="6"/>
  <c r="J45" i="23" s="1"/>
  <c r="A30" i="6"/>
  <c r="M29" i="6"/>
  <c r="E29" i="6"/>
  <c r="I48" i="23" s="1"/>
  <c r="I70" i="24" s="1"/>
  <c r="I118" i="24" s="1"/>
  <c r="D29" i="6"/>
  <c r="I45" i="23" s="1"/>
  <c r="I68" i="24" s="1"/>
  <c r="I116" i="24" s="1"/>
  <c r="A29" i="6"/>
  <c r="M28" i="6"/>
  <c r="E28" i="6"/>
  <c r="H48" i="23" s="1"/>
  <c r="H70" i="24" s="1"/>
  <c r="H118" i="24" s="1"/>
  <c r="D28" i="6"/>
  <c r="H45" i="23" s="1"/>
  <c r="A28" i="6"/>
  <c r="M27" i="6"/>
  <c r="E27" i="6"/>
  <c r="G48" i="23" s="1"/>
  <c r="G70" i="24" s="1"/>
  <c r="G118" i="24" s="1"/>
  <c r="D27" i="6"/>
  <c r="G45" i="23" s="1"/>
  <c r="A27" i="6"/>
  <c r="M26" i="6"/>
  <c r="E26" i="6"/>
  <c r="F48" i="23" s="1"/>
  <c r="F70" i="24" s="1"/>
  <c r="F118" i="24" s="1"/>
  <c r="D26" i="6"/>
  <c r="F45" i="23" s="1"/>
  <c r="A26" i="6"/>
  <c r="M25" i="6"/>
  <c r="E25" i="6"/>
  <c r="E48" i="23" s="1"/>
  <c r="E70" i="24" s="1"/>
  <c r="E118" i="24" s="1"/>
  <c r="D25" i="6"/>
  <c r="E45" i="23" s="1"/>
  <c r="A25" i="6"/>
  <c r="M24" i="6"/>
  <c r="E24" i="6"/>
  <c r="D24" i="6"/>
  <c r="D45" i="23" s="1"/>
  <c r="A24" i="6"/>
  <c r="M23" i="6"/>
  <c r="E23" i="6"/>
  <c r="D23" i="6"/>
  <c r="C45" i="23" s="1"/>
  <c r="A23" i="6"/>
  <c r="L17" i="6"/>
  <c r="J17" i="6"/>
  <c r="B18" i="7" s="1"/>
  <c r="B48" i="7" s="1"/>
  <c r="H17" i="6"/>
  <c r="B17" i="7" s="1"/>
  <c r="D67" i="7" s="1"/>
  <c r="B70" i="7" s="1"/>
  <c r="E17" i="6"/>
  <c r="D17" i="6"/>
  <c r="C17" i="6"/>
  <c r="B17" i="6"/>
  <c r="I16" i="6"/>
  <c r="H16" i="6"/>
  <c r="G16" i="6"/>
  <c r="F16" i="6"/>
  <c r="I15" i="6"/>
  <c r="H15" i="6"/>
  <c r="M43" i="23" s="1"/>
  <c r="G15" i="6"/>
  <c r="F15" i="6"/>
  <c r="I14" i="6"/>
  <c r="H14" i="6"/>
  <c r="L43" i="23" s="1"/>
  <c r="G14" i="6"/>
  <c r="F14" i="6"/>
  <c r="I13" i="6"/>
  <c r="H13" i="6"/>
  <c r="K43" i="23" s="1"/>
  <c r="G13" i="6"/>
  <c r="F13" i="6"/>
  <c r="I12" i="6"/>
  <c r="H12" i="6"/>
  <c r="G12" i="6"/>
  <c r="J42" i="23" s="1"/>
  <c r="F12" i="6"/>
  <c r="I11" i="6"/>
  <c r="H11" i="6"/>
  <c r="I43" i="23" s="1"/>
  <c r="G11" i="6"/>
  <c r="F11" i="6"/>
  <c r="I10" i="6"/>
  <c r="H10" i="6"/>
  <c r="G10" i="6"/>
  <c r="H42" i="23" s="1"/>
  <c r="F10" i="6"/>
  <c r="I9" i="6"/>
  <c r="H9" i="6"/>
  <c r="G43" i="23" s="1"/>
  <c r="G9" i="6"/>
  <c r="F9" i="6"/>
  <c r="I8" i="6"/>
  <c r="H8" i="6"/>
  <c r="F43" i="23" s="1"/>
  <c r="G8" i="6"/>
  <c r="F8" i="6"/>
  <c r="I7" i="6"/>
  <c r="H7" i="6"/>
  <c r="G7" i="6"/>
  <c r="F7" i="6"/>
  <c r="I6" i="6"/>
  <c r="I17" i="6" s="1"/>
  <c r="H6" i="6"/>
  <c r="D43" i="23" s="1"/>
  <c r="G6" i="6"/>
  <c r="G17" i="6" s="1"/>
  <c r="F6" i="6"/>
  <c r="I5" i="6"/>
  <c r="H5" i="6"/>
  <c r="C43" i="23" s="1"/>
  <c r="F5" i="6"/>
  <c r="O74" i="5"/>
  <c r="M74" i="5"/>
  <c r="E74" i="5"/>
  <c r="B74" i="5"/>
  <c r="B77" i="5" s="1"/>
  <c r="R68" i="5"/>
  <c r="H68" i="5"/>
  <c r="R62" i="5"/>
  <c r="M62" i="5"/>
  <c r="H62" i="5"/>
  <c r="R56" i="5"/>
  <c r="R50" i="5"/>
  <c r="M50" i="5"/>
  <c r="H50" i="5"/>
  <c r="R44" i="5"/>
  <c r="H44" i="5"/>
  <c r="R38" i="5"/>
  <c r="M38" i="5"/>
  <c r="H38" i="5"/>
  <c r="R32" i="5"/>
  <c r="H32" i="5"/>
  <c r="R26" i="5"/>
  <c r="M26" i="5"/>
  <c r="H26" i="5"/>
  <c r="B26" i="5"/>
  <c r="B29" i="5" s="1"/>
  <c r="R20" i="5"/>
  <c r="H20" i="5"/>
  <c r="B17" i="5"/>
  <c r="W12" i="5"/>
  <c r="W11" i="5"/>
  <c r="R68" i="4"/>
  <c r="M68" i="4"/>
  <c r="H68" i="4"/>
  <c r="R62" i="4"/>
  <c r="H62" i="4"/>
  <c r="R56" i="4"/>
  <c r="R50" i="4"/>
  <c r="H50" i="4"/>
  <c r="R44" i="4"/>
  <c r="H44" i="4"/>
  <c r="R38" i="4"/>
  <c r="H38" i="4"/>
  <c r="D21" i="23" s="1"/>
  <c r="R32" i="4"/>
  <c r="H32" i="4"/>
  <c r="L26" i="23" s="1"/>
  <c r="R26" i="4"/>
  <c r="H26" i="4"/>
  <c r="R20" i="4"/>
  <c r="H20" i="4"/>
  <c r="B17" i="4"/>
  <c r="M74" i="4" s="1"/>
  <c r="W12" i="4"/>
  <c r="O74" i="4" s="1"/>
  <c r="W11" i="4"/>
  <c r="E74" i="4" s="1"/>
  <c r="C14" i="3"/>
  <c r="C28" i="3" s="1"/>
  <c r="R12" i="3"/>
  <c r="C73" i="3" s="1"/>
  <c r="E54" i="2"/>
  <c r="D54" i="2"/>
  <c r="C54" i="2"/>
  <c r="B54" i="2"/>
  <c r="A53" i="2"/>
  <c r="A52" i="2"/>
  <c r="A51" i="2"/>
  <c r="A50" i="2"/>
  <c r="A49" i="2"/>
  <c r="A48" i="2"/>
  <c r="A47" i="2"/>
  <c r="A46" i="2"/>
  <c r="A45" i="2"/>
  <c r="A44" i="2"/>
  <c r="A43" i="2"/>
  <c r="A42" i="2"/>
  <c r="E36" i="2"/>
  <c r="D36" i="2"/>
  <c r="C36" i="2"/>
  <c r="B36" i="2"/>
  <c r="A35" i="2"/>
  <c r="A34" i="2"/>
  <c r="A33" i="2"/>
  <c r="A32" i="2"/>
  <c r="A31" i="2"/>
  <c r="A30" i="2"/>
  <c r="A29" i="2"/>
  <c r="A28" i="2"/>
  <c r="A27" i="2"/>
  <c r="A26" i="2"/>
  <c r="A25" i="2"/>
  <c r="A24" i="2"/>
  <c r="I17" i="2"/>
  <c r="B18" i="5" s="1"/>
  <c r="H56" i="5" s="1"/>
  <c r="H17" i="2"/>
  <c r="B18" i="4" s="1"/>
  <c r="H56" i="4" s="1"/>
  <c r="G17" i="2"/>
  <c r="F17" i="2"/>
  <c r="E17" i="2"/>
  <c r="B16" i="5" s="1"/>
  <c r="C17" i="2"/>
  <c r="B17" i="2"/>
  <c r="E16" i="2"/>
  <c r="N18" i="23" s="1"/>
  <c r="N64" i="24" s="1"/>
  <c r="N112" i="24" s="1"/>
  <c r="D16" i="2"/>
  <c r="N15" i="23" s="1"/>
  <c r="E15" i="2"/>
  <c r="M18" i="23" s="1"/>
  <c r="M64" i="24" s="1"/>
  <c r="M112" i="24" s="1"/>
  <c r="D15" i="2"/>
  <c r="M15" i="23" s="1"/>
  <c r="E14" i="2"/>
  <c r="L18" i="23" s="1"/>
  <c r="L64" i="24" s="1"/>
  <c r="L112" i="24" s="1"/>
  <c r="D14" i="2"/>
  <c r="L15" i="23" s="1"/>
  <c r="E13" i="2"/>
  <c r="K18" i="23" s="1"/>
  <c r="K64" i="24" s="1"/>
  <c r="K112" i="24" s="1"/>
  <c r="D13" i="2"/>
  <c r="K15" i="23" s="1"/>
  <c r="K26" i="23" s="1"/>
  <c r="E12" i="2"/>
  <c r="J18" i="23" s="1"/>
  <c r="J64" i="24" s="1"/>
  <c r="J112" i="24" s="1"/>
  <c r="D12" i="2"/>
  <c r="J15" i="23" s="1"/>
  <c r="E11" i="2"/>
  <c r="I18" i="23" s="1"/>
  <c r="I64" i="24" s="1"/>
  <c r="I112" i="24" s="1"/>
  <c r="D11" i="2"/>
  <c r="I15" i="23" s="1"/>
  <c r="I22" i="23" s="1"/>
  <c r="E10" i="2"/>
  <c r="H18" i="23" s="1"/>
  <c r="H64" i="24" s="1"/>
  <c r="H112" i="24" s="1"/>
  <c r="D10" i="2"/>
  <c r="H15" i="23" s="1"/>
  <c r="E9" i="2"/>
  <c r="G18" i="23" s="1"/>
  <c r="G64" i="24" s="1"/>
  <c r="G112" i="24" s="1"/>
  <c r="D9" i="2"/>
  <c r="G15" i="23" s="1"/>
  <c r="E8" i="2"/>
  <c r="F18" i="23" s="1"/>
  <c r="F64" i="24" s="1"/>
  <c r="F112" i="24" s="1"/>
  <c r="D8" i="2"/>
  <c r="F15" i="23" s="1"/>
  <c r="E7" i="2"/>
  <c r="E18" i="23" s="1"/>
  <c r="E64" i="24" s="1"/>
  <c r="E112" i="24" s="1"/>
  <c r="D7" i="2"/>
  <c r="E15" i="23" s="1"/>
  <c r="E6" i="2"/>
  <c r="D18" i="23" s="1"/>
  <c r="D64" i="24" s="1"/>
  <c r="D112" i="24" s="1"/>
  <c r="D6" i="2"/>
  <c r="D15" i="23" s="1"/>
  <c r="E5" i="2"/>
  <c r="C18" i="23" s="1"/>
  <c r="D5" i="2"/>
  <c r="C15" i="23" s="1"/>
  <c r="O143" i="1"/>
  <c r="O141" i="1"/>
  <c r="O140" i="1"/>
  <c r="O139" i="1"/>
  <c r="O138" i="1"/>
  <c r="O137" i="1"/>
  <c r="O136" i="1"/>
  <c r="O135" i="1"/>
  <c r="N128" i="1"/>
  <c r="N125" i="1"/>
  <c r="O121" i="1"/>
  <c r="M119" i="1"/>
  <c r="J119" i="1"/>
  <c r="I119" i="1"/>
  <c r="H119" i="1"/>
  <c r="M118" i="1"/>
  <c r="K118" i="1"/>
  <c r="J118" i="1"/>
  <c r="G118" i="1"/>
  <c r="F118" i="1"/>
  <c r="J117" i="1"/>
  <c r="H117" i="1"/>
  <c r="G117" i="1"/>
  <c r="C117" i="1"/>
  <c r="M116" i="1"/>
  <c r="K116" i="1"/>
  <c r="I116" i="1"/>
  <c r="H116" i="1"/>
  <c r="M115" i="1"/>
  <c r="L115" i="1"/>
  <c r="K115" i="1"/>
  <c r="J115" i="1"/>
  <c r="I115" i="1"/>
  <c r="G115" i="1"/>
  <c r="C115" i="1"/>
  <c r="M114" i="1"/>
  <c r="K114" i="1"/>
  <c r="J114" i="1"/>
  <c r="H114" i="1"/>
  <c r="G114" i="1"/>
  <c r="B114" i="1"/>
  <c r="O111" i="1"/>
  <c r="I110" i="1"/>
  <c r="I109" i="1"/>
  <c r="F109" i="1"/>
  <c r="C109" i="1"/>
  <c r="B109" i="1"/>
  <c r="L108" i="1"/>
  <c r="K108" i="1"/>
  <c r="J108" i="1"/>
  <c r="G108" i="1"/>
  <c r="E108" i="1"/>
  <c r="M107" i="1"/>
  <c r="L107" i="1"/>
  <c r="K107" i="1"/>
  <c r="H107" i="1"/>
  <c r="F107" i="1"/>
  <c r="E107" i="1"/>
  <c r="D107" i="1"/>
  <c r="F106" i="1"/>
  <c r="E106" i="1"/>
  <c r="M105" i="1"/>
  <c r="J105" i="1"/>
  <c r="H105" i="1"/>
  <c r="F105" i="1"/>
  <c r="C105" i="1"/>
  <c r="B105" i="1"/>
  <c r="L104" i="1"/>
  <c r="K104" i="1"/>
  <c r="I104" i="1"/>
  <c r="E104" i="1"/>
  <c r="O101" i="1"/>
  <c r="J100" i="1"/>
  <c r="K99" i="1"/>
  <c r="G99" i="1"/>
  <c r="F99" i="1"/>
  <c r="C99" i="1"/>
  <c r="M98" i="1"/>
  <c r="L98" i="1"/>
  <c r="F98" i="1"/>
  <c r="C98" i="1"/>
  <c r="B98" i="1"/>
  <c r="M97" i="1"/>
  <c r="I97" i="1"/>
  <c r="F97" i="1"/>
  <c r="E97" i="1"/>
  <c r="C97" i="1"/>
  <c r="F96" i="1"/>
  <c r="E96" i="1"/>
  <c r="C96" i="1"/>
  <c r="M95" i="1"/>
  <c r="K95" i="1"/>
  <c r="I95" i="1"/>
  <c r="H95" i="1"/>
  <c r="G95" i="1"/>
  <c r="C95" i="1"/>
  <c r="L94" i="1"/>
  <c r="I94" i="1"/>
  <c r="H94" i="1"/>
  <c r="F94" i="1"/>
  <c r="E94" i="1"/>
  <c r="D94" i="1"/>
  <c r="C94" i="1"/>
  <c r="C101" i="1" s="1"/>
  <c r="O91" i="1"/>
  <c r="L89" i="1"/>
  <c r="D89" i="1"/>
  <c r="M88" i="1"/>
  <c r="L88" i="1"/>
  <c r="L91" i="1" s="1"/>
  <c r="L87" i="1"/>
  <c r="D87" i="1"/>
  <c r="C87" i="1"/>
  <c r="M86" i="1"/>
  <c r="L86" i="1"/>
  <c r="D86" i="1"/>
  <c r="C86" i="1"/>
  <c r="M85" i="1"/>
  <c r="L85" i="1"/>
  <c r="H85" i="1"/>
  <c r="D85" i="1"/>
  <c r="B85" i="1"/>
  <c r="M84" i="1"/>
  <c r="L84" i="1"/>
  <c r="K84" i="1"/>
  <c r="F84" i="1"/>
  <c r="C84" i="1"/>
  <c r="B84" i="1"/>
  <c r="O81" i="1"/>
  <c r="J79" i="1"/>
  <c r="H79" i="1"/>
  <c r="D79" i="1"/>
  <c r="B79" i="1"/>
  <c r="L78" i="1"/>
  <c r="B78" i="1"/>
  <c r="H77" i="1"/>
  <c r="F77" i="1"/>
  <c r="D77" i="1"/>
  <c r="G76" i="1"/>
  <c r="L75" i="1"/>
  <c r="H75" i="1"/>
  <c r="G75" i="1"/>
  <c r="F75" i="1"/>
  <c r="E75" i="1"/>
  <c r="D75" i="1"/>
  <c r="L74" i="1"/>
  <c r="G74" i="1"/>
  <c r="F74" i="1"/>
  <c r="C74" i="1"/>
  <c r="B74" i="1"/>
  <c r="O71" i="1"/>
  <c r="M70" i="1"/>
  <c r="I70" i="1"/>
  <c r="H70" i="1"/>
  <c r="F70" i="1"/>
  <c r="E70" i="1"/>
  <c r="H69" i="1"/>
  <c r="G69" i="1"/>
  <c r="D69" i="1"/>
  <c r="M68" i="1"/>
  <c r="K68" i="1"/>
  <c r="G68" i="1"/>
  <c r="F68" i="1"/>
  <c r="E68" i="1"/>
  <c r="D68" i="1"/>
  <c r="L67" i="1"/>
  <c r="H67" i="1"/>
  <c r="L66" i="1"/>
  <c r="K66" i="1"/>
  <c r="J66" i="1"/>
  <c r="I66" i="1"/>
  <c r="H66" i="1"/>
  <c r="G66" i="1"/>
  <c r="F66" i="1"/>
  <c r="C66" i="1"/>
  <c r="M65" i="1"/>
  <c r="L65" i="1"/>
  <c r="K65" i="1"/>
  <c r="J65" i="1"/>
  <c r="I65" i="1"/>
  <c r="E65" i="1"/>
  <c r="D65" i="1"/>
  <c r="K64" i="1"/>
  <c r="J64" i="1"/>
  <c r="F64" i="1"/>
  <c r="E64" i="1"/>
  <c r="D64" i="1"/>
  <c r="O61" i="1"/>
  <c r="O46" i="1"/>
  <c r="O47" i="1" s="1"/>
  <c r="M46" i="1"/>
  <c r="L46" i="1"/>
  <c r="K46" i="1"/>
  <c r="J46" i="1"/>
  <c r="I46" i="1"/>
  <c r="H46" i="1"/>
  <c r="G46" i="1"/>
  <c r="F46" i="1"/>
  <c r="E46" i="1"/>
  <c r="D46" i="1"/>
  <c r="C46" i="1"/>
  <c r="B46" i="1"/>
  <c r="N45" i="1"/>
  <c r="N46" i="1" s="1"/>
  <c r="N44" i="1"/>
  <c r="N43" i="1"/>
  <c r="N42" i="1"/>
  <c r="N41" i="1"/>
  <c r="O40" i="1"/>
  <c r="O30" i="1"/>
  <c r="O29" i="1"/>
  <c r="M29" i="1"/>
  <c r="L29" i="1"/>
  <c r="K29" i="1"/>
  <c r="J29" i="1"/>
  <c r="I29" i="1"/>
  <c r="H29" i="1"/>
  <c r="G29" i="1"/>
  <c r="F29" i="1"/>
  <c r="E29" i="1"/>
  <c r="D29" i="1"/>
  <c r="C29" i="1"/>
  <c r="B29" i="1"/>
  <c r="N28" i="1"/>
  <c r="N29" i="1" s="1"/>
  <c r="N27" i="1"/>
  <c r="N26" i="1"/>
  <c r="N25" i="1"/>
  <c r="N24" i="1"/>
  <c r="N23" i="1"/>
  <c r="O22" i="1"/>
  <c r="M19" i="1"/>
  <c r="L19" i="1"/>
  <c r="C17" i="1"/>
  <c r="O12" i="1"/>
  <c r="C50" i="1" l="1"/>
  <c r="H72" i="24"/>
  <c r="H120" i="24" s="1"/>
  <c r="H70" i="23"/>
  <c r="G37" i="1" s="1"/>
  <c r="H68" i="23"/>
  <c r="G35" i="1" s="1"/>
  <c r="H63" i="23"/>
  <c r="H69" i="23"/>
  <c r="G36" i="1" s="1"/>
  <c r="H71" i="23"/>
  <c r="G38" i="1" s="1"/>
  <c r="D72" i="24"/>
  <c r="D120" i="24" s="1"/>
  <c r="D71" i="23"/>
  <c r="C38" i="1" s="1"/>
  <c r="D69" i="23"/>
  <c r="C36" i="1" s="1"/>
  <c r="D63" i="23"/>
  <c r="D68" i="23"/>
  <c r="C35" i="1" s="1"/>
  <c r="D70" i="23"/>
  <c r="C37" i="1" s="1"/>
  <c r="L48" i="13"/>
  <c r="J52" i="13" s="1"/>
  <c r="M52" i="13" s="1"/>
  <c r="L68" i="13"/>
  <c r="L18" i="13"/>
  <c r="J22" i="13" s="1"/>
  <c r="M22" i="13" s="1"/>
  <c r="L38" i="13"/>
  <c r="J42" i="13" s="1"/>
  <c r="M42" i="13" s="1"/>
  <c r="L58" i="13"/>
  <c r="J62" i="13" s="1"/>
  <c r="M62" i="13" s="1"/>
  <c r="E54" i="1"/>
  <c r="H51" i="1"/>
  <c r="D13" i="5"/>
  <c r="F77" i="5"/>
  <c r="E13" i="5" s="1"/>
  <c r="H55" i="23"/>
  <c r="G7" i="1" s="1"/>
  <c r="F111" i="23"/>
  <c r="E85" i="1" s="1"/>
  <c r="F110" i="23"/>
  <c r="E84" i="1" s="1"/>
  <c r="F115" i="23"/>
  <c r="E89" i="1" s="1"/>
  <c r="D28" i="13"/>
  <c r="D48" i="13"/>
  <c r="B52" i="13" s="1"/>
  <c r="E52" i="13" s="1"/>
  <c r="D38" i="13"/>
  <c r="B42" i="13" s="1"/>
  <c r="D18" i="13"/>
  <c r="D68" i="13"/>
  <c r="D58" i="13"/>
  <c r="B62" i="13" s="1"/>
  <c r="E62" i="13" s="1"/>
  <c r="C62" i="24"/>
  <c r="C110" i="24" s="1"/>
  <c r="C26" i="23"/>
  <c r="C25" i="23"/>
  <c r="C24" i="23"/>
  <c r="C23" i="23"/>
  <c r="C22" i="23"/>
  <c r="C21" i="23"/>
  <c r="C30" i="23"/>
  <c r="C29" i="23"/>
  <c r="C28" i="23"/>
  <c r="C27" i="23"/>
  <c r="O15" i="23"/>
  <c r="O17" i="23" s="1"/>
  <c r="B68" i="5"/>
  <c r="B71" i="5" s="1"/>
  <c r="B56" i="5"/>
  <c r="B44" i="5"/>
  <c r="B32" i="5"/>
  <c r="B35" i="5" s="1"/>
  <c r="B20" i="5"/>
  <c r="B38" i="5"/>
  <c r="B41" i="5" s="1"/>
  <c r="B50" i="5"/>
  <c r="B53" i="5" s="1"/>
  <c r="B62" i="5"/>
  <c r="B65" i="5" s="1"/>
  <c r="L72" i="24"/>
  <c r="L120" i="24" s="1"/>
  <c r="L68" i="23"/>
  <c r="K35" i="1" s="1"/>
  <c r="L70" i="23"/>
  <c r="K37" i="1" s="1"/>
  <c r="L69" i="23"/>
  <c r="K36" i="1" s="1"/>
  <c r="L71" i="23"/>
  <c r="K38" i="1" s="1"/>
  <c r="L63" i="23"/>
  <c r="N40" i="23"/>
  <c r="E40" i="23"/>
  <c r="D40" i="23"/>
  <c r="C40" i="23"/>
  <c r="M40" i="23"/>
  <c r="L40" i="23"/>
  <c r="K40" i="23"/>
  <c r="I40" i="23"/>
  <c r="H40" i="23"/>
  <c r="G40" i="23"/>
  <c r="F40" i="23"/>
  <c r="J40" i="23"/>
  <c r="F29" i="5"/>
  <c r="E5" i="5" s="1"/>
  <c r="D5" i="5"/>
  <c r="B41" i="8"/>
  <c r="B68" i="14"/>
  <c r="B71" i="14" s="1"/>
  <c r="B56" i="14"/>
  <c r="B59" i="14" s="1"/>
  <c r="B44" i="14"/>
  <c r="B32" i="14"/>
  <c r="B35" i="14" s="1"/>
  <c r="B20" i="14"/>
  <c r="B23" i="14" s="1"/>
  <c r="B26" i="14"/>
  <c r="B29" i="14" s="1"/>
  <c r="B50" i="14"/>
  <c r="B62" i="14"/>
  <c r="B38" i="14"/>
  <c r="B41" i="14" s="1"/>
  <c r="B74" i="14"/>
  <c r="G72" i="24"/>
  <c r="G120" i="24" s="1"/>
  <c r="G63" i="23"/>
  <c r="G71" i="23"/>
  <c r="F38" i="1" s="1"/>
  <c r="G68" i="23"/>
  <c r="F35" i="1" s="1"/>
  <c r="G70" i="23"/>
  <c r="F37" i="1" s="1"/>
  <c r="G69" i="23"/>
  <c r="F36" i="1" s="1"/>
  <c r="N72" i="22"/>
  <c r="L76" i="22" s="1"/>
  <c r="O76" i="22" s="1"/>
  <c r="L66" i="22"/>
  <c r="P66" i="22" s="1"/>
  <c r="K55" i="1"/>
  <c r="J29" i="23"/>
  <c r="L68" i="24"/>
  <c r="L116" i="24" s="1"/>
  <c r="L53" i="23"/>
  <c r="E72" i="24"/>
  <c r="E120" i="24" s="1"/>
  <c r="E63" i="23"/>
  <c r="E69" i="23"/>
  <c r="D36" i="1" s="1"/>
  <c r="E71" i="23"/>
  <c r="D38" i="1" s="1"/>
  <c r="E70" i="23"/>
  <c r="D37" i="1" s="1"/>
  <c r="E68" i="23"/>
  <c r="D35" i="1" s="1"/>
  <c r="J72" i="24"/>
  <c r="J120" i="24" s="1"/>
  <c r="J70" i="23"/>
  <c r="I37" i="1" s="1"/>
  <c r="J69" i="23"/>
  <c r="I36" i="1" s="1"/>
  <c r="J68" i="23"/>
  <c r="I35" i="1" s="1"/>
  <c r="J71" i="23"/>
  <c r="I38" i="1" s="1"/>
  <c r="J63" i="23"/>
  <c r="M83" i="23"/>
  <c r="L18" i="1" s="1"/>
  <c r="G83" i="23"/>
  <c r="F18" i="1" s="1"/>
  <c r="K49" i="24"/>
  <c r="I49" i="24"/>
  <c r="H49" i="24"/>
  <c r="E49" i="24"/>
  <c r="D49" i="24"/>
  <c r="F49" i="24"/>
  <c r="C49" i="24"/>
  <c r="M49" i="24"/>
  <c r="J49" i="24"/>
  <c r="N49" i="24"/>
  <c r="L49" i="24"/>
  <c r="G49" i="24"/>
  <c r="L77" i="18"/>
  <c r="B77" i="18"/>
  <c r="C48" i="23"/>
  <c r="E35" i="6"/>
  <c r="B16" i="9" s="1"/>
  <c r="B56" i="8"/>
  <c r="B59" i="8" s="1"/>
  <c r="K53" i="24"/>
  <c r="I53" i="24"/>
  <c r="H53" i="24"/>
  <c r="E53" i="24"/>
  <c r="D53" i="24"/>
  <c r="M53" i="24"/>
  <c r="F53" i="24"/>
  <c r="N53" i="24"/>
  <c r="L53" i="24"/>
  <c r="J53" i="24"/>
  <c r="G53" i="24"/>
  <c r="C53" i="24"/>
  <c r="S50" i="16"/>
  <c r="S29" i="16"/>
  <c r="S42" i="16"/>
  <c r="M45" i="16" s="1"/>
  <c r="Q45" i="16" s="1"/>
  <c r="I53" i="23"/>
  <c r="F71" i="23"/>
  <c r="E38" i="1" s="1"/>
  <c r="E62" i="24"/>
  <c r="E110" i="24" s="1"/>
  <c r="E24" i="23"/>
  <c r="E30" i="23"/>
  <c r="E29" i="23"/>
  <c r="E28" i="23"/>
  <c r="E27" i="23"/>
  <c r="E26" i="23"/>
  <c r="E25" i="23"/>
  <c r="E23" i="23"/>
  <c r="E22" i="23"/>
  <c r="L62" i="24"/>
  <c r="L110" i="24" s="1"/>
  <c r="L29" i="23"/>
  <c r="L21" i="23"/>
  <c r="L28" i="23"/>
  <c r="L25" i="23"/>
  <c r="L22" i="23"/>
  <c r="L27" i="23"/>
  <c r="L24" i="23"/>
  <c r="L30" i="23"/>
  <c r="L23" i="23"/>
  <c r="G60" i="23"/>
  <c r="F11" i="1" s="1"/>
  <c r="H60" i="23"/>
  <c r="G11" i="1" s="1"/>
  <c r="E56" i="12"/>
  <c r="K56" i="12" s="1"/>
  <c r="K62" i="24"/>
  <c r="K110" i="24" s="1"/>
  <c r="K30" i="23"/>
  <c r="K21" i="23"/>
  <c r="K28" i="23"/>
  <c r="K25" i="23"/>
  <c r="K27" i="23"/>
  <c r="K24" i="23"/>
  <c r="K29" i="23"/>
  <c r="K23" i="23"/>
  <c r="K22" i="23"/>
  <c r="N12" i="10"/>
  <c r="AH18" i="22"/>
  <c r="AF21" i="22" s="1"/>
  <c r="AJ21" i="22" s="1"/>
  <c r="AH63" i="22"/>
  <c r="AH26" i="22"/>
  <c r="AH55" i="22"/>
  <c r="AF58" i="22" s="1"/>
  <c r="AJ58" i="22" s="1"/>
  <c r="AH34" i="22"/>
  <c r="AH42" i="22"/>
  <c r="AF45" i="22" s="1"/>
  <c r="AJ45" i="22" s="1"/>
  <c r="M38" i="4"/>
  <c r="M56" i="4"/>
  <c r="M50" i="8"/>
  <c r="M74" i="8"/>
  <c r="M32" i="8"/>
  <c r="B35" i="8" s="1"/>
  <c r="M62" i="8"/>
  <c r="M26" i="8"/>
  <c r="M56" i="8"/>
  <c r="D53" i="19"/>
  <c r="B56" i="19" s="1"/>
  <c r="E56" i="19" s="1"/>
  <c r="D37" i="19"/>
  <c r="B40" i="19" s="1"/>
  <c r="E40" i="19" s="1"/>
  <c r="D19" i="19"/>
  <c r="B22" i="19" s="1"/>
  <c r="E22" i="19" s="1"/>
  <c r="D45" i="19"/>
  <c r="B48" i="19" s="1"/>
  <c r="E48" i="19" s="1"/>
  <c r="D27" i="19"/>
  <c r="D61" i="19"/>
  <c r="G67" i="24"/>
  <c r="G115" i="24" s="1"/>
  <c r="G59" i="23"/>
  <c r="F10" i="1" s="1"/>
  <c r="G56" i="23"/>
  <c r="F9" i="1" s="1"/>
  <c r="G58" i="23"/>
  <c r="G55" i="23"/>
  <c r="F7" i="1" s="1"/>
  <c r="G52" i="23"/>
  <c r="F5" i="1" s="1"/>
  <c r="G44" i="23"/>
  <c r="G54" i="23" s="1"/>
  <c r="F6" i="1" s="1"/>
  <c r="G57" i="23"/>
  <c r="F8" i="1" s="1"/>
  <c r="E72" i="23"/>
  <c r="D39" i="1" s="1"/>
  <c r="H75" i="24"/>
  <c r="H123" i="24" s="1"/>
  <c r="H77" i="23"/>
  <c r="I54" i="1"/>
  <c r="F23" i="23"/>
  <c r="F62" i="24"/>
  <c r="F110" i="24" s="1"/>
  <c r="F29" i="23"/>
  <c r="F26" i="23"/>
  <c r="F21" i="23"/>
  <c r="F30" i="23"/>
  <c r="F27" i="23"/>
  <c r="F24" i="23"/>
  <c r="F28" i="23"/>
  <c r="F22" i="23"/>
  <c r="G68" i="24"/>
  <c r="G116" i="24" s="1"/>
  <c r="G53" i="23"/>
  <c r="F17" i="10"/>
  <c r="B12" i="11" s="1"/>
  <c r="K54" i="24"/>
  <c r="I54" i="24"/>
  <c r="H54" i="24"/>
  <c r="E54" i="24"/>
  <c r="D54" i="24"/>
  <c r="G54" i="24"/>
  <c r="F54" i="24"/>
  <c r="C54" i="24"/>
  <c r="N54" i="24"/>
  <c r="J54" i="24"/>
  <c r="M54" i="24"/>
  <c r="L54" i="24"/>
  <c r="N53" i="19"/>
  <c r="L56" i="19" s="1"/>
  <c r="O56" i="19" s="1"/>
  <c r="N61" i="19"/>
  <c r="N27" i="19"/>
  <c r="N45" i="19"/>
  <c r="L48" i="19" s="1"/>
  <c r="O48" i="19" s="1"/>
  <c r="N37" i="19"/>
  <c r="L40" i="19" s="1"/>
  <c r="O40" i="19" s="1"/>
  <c r="N19" i="19"/>
  <c r="L22" i="19" s="1"/>
  <c r="O22" i="19" s="1"/>
  <c r="C13" i="3"/>
  <c r="E19" i="3" s="1"/>
  <c r="N18" i="22"/>
  <c r="L21" i="22" s="1"/>
  <c r="P21" i="22" s="1"/>
  <c r="N26" i="22"/>
  <c r="N42" i="22"/>
  <c r="L45" i="22" s="1"/>
  <c r="P45" i="22" s="1"/>
  <c r="N55" i="22"/>
  <c r="L58" i="22" s="1"/>
  <c r="P58" i="22" s="1"/>
  <c r="S21" i="16"/>
  <c r="B30" i="19"/>
  <c r="E30" i="19" s="1"/>
  <c r="D74" i="24"/>
  <c r="D122" i="24" s="1"/>
  <c r="D85" i="23"/>
  <c r="C20" i="1" s="1"/>
  <c r="D83" i="23"/>
  <c r="C18" i="1" s="1"/>
  <c r="D84" i="23"/>
  <c r="C19" i="1" s="1"/>
  <c r="D75" i="23"/>
  <c r="H82" i="23"/>
  <c r="G17" i="1" s="1"/>
  <c r="G121" i="1"/>
  <c r="G62" i="24"/>
  <c r="G110" i="24" s="1"/>
  <c r="G22" i="23"/>
  <c r="G30" i="23"/>
  <c r="G27" i="23"/>
  <c r="G24" i="23"/>
  <c r="G28" i="23"/>
  <c r="G25" i="23"/>
  <c r="G21" i="23"/>
  <c r="G29" i="23"/>
  <c r="G26" i="23"/>
  <c r="G23" i="23"/>
  <c r="M62" i="24"/>
  <c r="M110" i="24" s="1"/>
  <c r="M28" i="23"/>
  <c r="M27" i="23"/>
  <c r="M26" i="23"/>
  <c r="M25" i="23"/>
  <c r="M24" i="23"/>
  <c r="M23" i="23"/>
  <c r="M22" i="23"/>
  <c r="M21" i="23"/>
  <c r="M30" i="23"/>
  <c r="M29" i="23"/>
  <c r="M68" i="5"/>
  <c r="M56" i="5"/>
  <c r="M44" i="5"/>
  <c r="M32" i="5"/>
  <c r="M20" i="5"/>
  <c r="M20" i="8"/>
  <c r="C62" i="23"/>
  <c r="M50" i="14"/>
  <c r="M74" i="14"/>
  <c r="M20" i="14"/>
  <c r="M68" i="14"/>
  <c r="M44" i="14"/>
  <c r="M26" i="14"/>
  <c r="M62" i="14"/>
  <c r="M56" i="14"/>
  <c r="B13" i="18"/>
  <c r="H19" i="15"/>
  <c r="C96" i="23"/>
  <c r="C18" i="17"/>
  <c r="C19" i="17" s="1"/>
  <c r="M74" i="9"/>
  <c r="M62" i="9"/>
  <c r="M50" i="9"/>
  <c r="M38" i="9"/>
  <c r="M26" i="9"/>
  <c r="M56" i="9"/>
  <c r="M32" i="9"/>
  <c r="M44" i="8"/>
  <c r="C82" i="23"/>
  <c r="N82" i="23"/>
  <c r="M17" i="1" s="1"/>
  <c r="B71" i="19"/>
  <c r="L71" i="19"/>
  <c r="M20" i="4"/>
  <c r="M50" i="4"/>
  <c r="M62" i="4"/>
  <c r="M32" i="4"/>
  <c r="B26" i="8"/>
  <c r="B29" i="8" s="1"/>
  <c r="B50" i="8"/>
  <c r="B53" i="8" s="1"/>
  <c r="B62" i="8"/>
  <c r="B65" i="8" s="1"/>
  <c r="B74" i="8"/>
  <c r="B44" i="8"/>
  <c r="B68" i="8"/>
  <c r="B71" i="8" s="1"/>
  <c r="B20" i="8"/>
  <c r="F101" i="1"/>
  <c r="H62" i="24"/>
  <c r="H110" i="24" s="1"/>
  <c r="H21" i="23"/>
  <c r="H30" i="23"/>
  <c r="H27" i="23"/>
  <c r="H24" i="23"/>
  <c r="H22" i="23"/>
  <c r="H29" i="23"/>
  <c r="H26" i="23"/>
  <c r="H23" i="23"/>
  <c r="H28" i="23"/>
  <c r="N62" i="24"/>
  <c r="N110" i="24" s="1"/>
  <c r="N27" i="23"/>
  <c r="N30" i="23"/>
  <c r="N29" i="23"/>
  <c r="N28" i="23"/>
  <c r="N25" i="23"/>
  <c r="N22" i="23"/>
  <c r="N26" i="23"/>
  <c r="N23" i="23"/>
  <c r="N24" i="23"/>
  <c r="N21" i="23"/>
  <c r="M26" i="4"/>
  <c r="M44" i="4"/>
  <c r="J43" i="23"/>
  <c r="J56" i="23" s="1"/>
  <c r="I9" i="1" s="1"/>
  <c r="E68" i="24"/>
  <c r="E116" i="24" s="1"/>
  <c r="E53" i="23"/>
  <c r="H68" i="24"/>
  <c r="H116" i="24" s="1"/>
  <c r="H53" i="23"/>
  <c r="K68" i="24"/>
  <c r="K116" i="24" s="1"/>
  <c r="K53" i="23"/>
  <c r="N68" i="24"/>
  <c r="N116" i="24" s="1"/>
  <c r="N53" i="23"/>
  <c r="M68" i="8"/>
  <c r="J72" i="23"/>
  <c r="I39" i="1" s="1"/>
  <c r="H72" i="23"/>
  <c r="G39" i="1" s="1"/>
  <c r="N72" i="23"/>
  <c r="M39" i="1" s="1"/>
  <c r="L72" i="23"/>
  <c r="K39" i="1" s="1"/>
  <c r="K72" i="23"/>
  <c r="J39" i="1" s="1"/>
  <c r="M72" i="23"/>
  <c r="L39" i="1" s="1"/>
  <c r="I72" i="23"/>
  <c r="H39" i="1" s="1"/>
  <c r="G72" i="23"/>
  <c r="F39" i="1" s="1"/>
  <c r="F72" i="23"/>
  <c r="E39" i="1" s="1"/>
  <c r="D72" i="23"/>
  <c r="C39" i="1" s="1"/>
  <c r="B12" i="22"/>
  <c r="B40" i="15"/>
  <c r="M13" i="16"/>
  <c r="D60" i="16" s="1"/>
  <c r="B64" i="16" s="1"/>
  <c r="E64" i="16" s="1"/>
  <c r="M37" i="15"/>
  <c r="C99" i="23"/>
  <c r="C98" i="23"/>
  <c r="C100" i="23"/>
  <c r="C101" i="23"/>
  <c r="O94" i="23"/>
  <c r="O124" i="1"/>
  <c r="K48" i="24"/>
  <c r="I48" i="24"/>
  <c r="H48" i="24"/>
  <c r="E48" i="24"/>
  <c r="D48" i="24"/>
  <c r="N48" i="24"/>
  <c r="L48" i="24"/>
  <c r="C48" i="24"/>
  <c r="G48" i="24"/>
  <c r="F48" i="24"/>
  <c r="M48" i="24"/>
  <c r="J48" i="24"/>
  <c r="E21" i="23"/>
  <c r="K42" i="23"/>
  <c r="M24" i="16"/>
  <c r="Q24" i="16" s="1"/>
  <c r="B53" i="16"/>
  <c r="F53" i="16" s="1"/>
  <c r="O19" i="23"/>
  <c r="J26" i="23"/>
  <c r="M32" i="16"/>
  <c r="Q32" i="16" s="1"/>
  <c r="F42" i="23"/>
  <c r="F60" i="23" s="1"/>
  <c r="E11" i="1" s="1"/>
  <c r="L42" i="23"/>
  <c r="L60" i="23" s="1"/>
  <c r="K11" i="1" s="1"/>
  <c r="I72" i="24"/>
  <c r="I120" i="24" s="1"/>
  <c r="I71" i="23"/>
  <c r="H38" i="1" s="1"/>
  <c r="I70" i="23"/>
  <c r="H37" i="1" s="1"/>
  <c r="I69" i="23"/>
  <c r="H36" i="1" s="1"/>
  <c r="I68" i="23"/>
  <c r="H35" i="1" s="1"/>
  <c r="M72" i="24"/>
  <c r="M120" i="24" s="1"/>
  <c r="M71" i="23"/>
  <c r="L38" i="1" s="1"/>
  <c r="M70" i="23"/>
  <c r="L37" i="1" s="1"/>
  <c r="M69" i="23"/>
  <c r="L36" i="1" s="1"/>
  <c r="M68" i="23"/>
  <c r="L35" i="1" s="1"/>
  <c r="M63" i="23"/>
  <c r="X18" i="22"/>
  <c r="V21" i="22" s="1"/>
  <c r="Z21" i="22" s="1"/>
  <c r="X55" i="22"/>
  <c r="V58" i="22" s="1"/>
  <c r="Z58" i="22" s="1"/>
  <c r="X26" i="22"/>
  <c r="V29" i="22" s="1"/>
  <c r="Z29" i="22" s="1"/>
  <c r="X63" i="22"/>
  <c r="X34" i="22"/>
  <c r="V37" i="22" s="1"/>
  <c r="Z37" i="22" s="1"/>
  <c r="J80" i="23"/>
  <c r="I15" i="1" s="1"/>
  <c r="L84" i="23"/>
  <c r="K19" i="1" s="1"/>
  <c r="O120" i="23"/>
  <c r="O121" i="23" s="1"/>
  <c r="I62" i="24"/>
  <c r="I110" i="24" s="1"/>
  <c r="I30" i="23"/>
  <c r="I27" i="23"/>
  <c r="I24" i="23"/>
  <c r="I21" i="23"/>
  <c r="I28" i="23"/>
  <c r="I25" i="23"/>
  <c r="I29" i="23"/>
  <c r="I26" i="23"/>
  <c r="I23" i="23"/>
  <c r="C42" i="23"/>
  <c r="F17" i="6"/>
  <c r="B16" i="7" s="1"/>
  <c r="N15" i="10"/>
  <c r="H37" i="10"/>
  <c r="H55" i="10" s="1"/>
  <c r="K12" i="11" s="1"/>
  <c r="N46" i="18"/>
  <c r="L49" i="18" s="1"/>
  <c r="N37" i="18"/>
  <c r="L40" i="18" s="1"/>
  <c r="N28" i="18"/>
  <c r="L31" i="18" s="1"/>
  <c r="N68" i="18"/>
  <c r="N19" i="18"/>
  <c r="L22" i="18" s="1"/>
  <c r="C104" i="23"/>
  <c r="L30" i="19"/>
  <c r="O30" i="19" s="1"/>
  <c r="N59" i="20"/>
  <c r="L63" i="20" s="1"/>
  <c r="P63" i="20" s="1"/>
  <c r="N19" i="20"/>
  <c r="L23" i="20" s="1"/>
  <c r="P23" i="20" s="1"/>
  <c r="N69" i="20"/>
  <c r="N49" i="20"/>
  <c r="L53" i="20" s="1"/>
  <c r="P53" i="20" s="1"/>
  <c r="N29" i="20"/>
  <c r="J28" i="23"/>
  <c r="H74" i="24"/>
  <c r="H122" i="24" s="1"/>
  <c r="H75" i="23"/>
  <c r="H85" i="23"/>
  <c r="G20" i="1" s="1"/>
  <c r="H84" i="23"/>
  <c r="G19" i="1" s="1"/>
  <c r="H83" i="23"/>
  <c r="G18" i="1" s="1"/>
  <c r="D126" i="23"/>
  <c r="C118" i="1" s="1"/>
  <c r="D122" i="23"/>
  <c r="C114" i="1" s="1"/>
  <c r="O18" i="23"/>
  <c r="O20" i="23" s="1"/>
  <c r="C64" i="24"/>
  <c r="C112" i="24" s="1"/>
  <c r="D68" i="24"/>
  <c r="D116" i="24" s="1"/>
  <c r="D53" i="23"/>
  <c r="J68" i="24"/>
  <c r="J116" i="24" s="1"/>
  <c r="J53" i="23"/>
  <c r="M68" i="24"/>
  <c r="M116" i="24" s="1"/>
  <c r="M53" i="23"/>
  <c r="I86" i="23"/>
  <c r="H21" i="1" s="1"/>
  <c r="H86" i="23"/>
  <c r="G21" i="1" s="1"/>
  <c r="G86" i="23"/>
  <c r="F21" i="1" s="1"/>
  <c r="C86" i="23"/>
  <c r="M86" i="23"/>
  <c r="L21" i="1" s="1"/>
  <c r="L86" i="23"/>
  <c r="K21" i="1" s="1"/>
  <c r="F86" i="23"/>
  <c r="E21" i="1" s="1"/>
  <c r="E86" i="23"/>
  <c r="D21" i="1" s="1"/>
  <c r="D86" i="23"/>
  <c r="C21" i="1" s="1"/>
  <c r="N86" i="23"/>
  <c r="M21" i="1" s="1"/>
  <c r="J86" i="23"/>
  <c r="I21" i="1" s="1"/>
  <c r="M18" i="17"/>
  <c r="M19" i="17" s="1"/>
  <c r="N59" i="18"/>
  <c r="L62" i="18" s="1"/>
  <c r="J152" i="23"/>
  <c r="I100" i="1" s="1"/>
  <c r="I152" i="23"/>
  <c r="H100" i="1" s="1"/>
  <c r="H152" i="23"/>
  <c r="G100" i="1" s="1"/>
  <c r="F152" i="23"/>
  <c r="E100" i="1" s="1"/>
  <c r="N152" i="23"/>
  <c r="M100" i="1" s="1"/>
  <c r="D152" i="23"/>
  <c r="C100" i="1" s="1"/>
  <c r="C152" i="23"/>
  <c r="L152" i="23"/>
  <c r="K100" i="1" s="1"/>
  <c r="G152" i="23"/>
  <c r="F100" i="1" s="1"/>
  <c r="E152" i="23"/>
  <c r="D100" i="1" s="1"/>
  <c r="J23" i="23"/>
  <c r="K73" i="24"/>
  <c r="K121" i="24" s="1"/>
  <c r="K65" i="23"/>
  <c r="E80" i="24"/>
  <c r="E128" i="24" s="1"/>
  <c r="E127" i="23"/>
  <c r="D119" i="1" s="1"/>
  <c r="E122" i="23"/>
  <c r="D114" i="1" s="1"/>
  <c r="E126" i="23"/>
  <c r="D118" i="1" s="1"/>
  <c r="E124" i="23"/>
  <c r="D116" i="1" s="1"/>
  <c r="E125" i="23"/>
  <c r="D117" i="1" s="1"/>
  <c r="E123" i="23"/>
  <c r="D115" i="1" s="1"/>
  <c r="J165" i="23"/>
  <c r="I77" i="1" s="1"/>
  <c r="J83" i="24"/>
  <c r="J131" i="24" s="1"/>
  <c r="J166" i="23"/>
  <c r="I78" i="1" s="1"/>
  <c r="J162" i="23"/>
  <c r="I74" i="1" s="1"/>
  <c r="J167" i="23"/>
  <c r="I79" i="1" s="1"/>
  <c r="J163" i="23"/>
  <c r="I75" i="1" s="1"/>
  <c r="D62" i="24"/>
  <c r="D110" i="24" s="1"/>
  <c r="D25" i="23"/>
  <c r="D24" i="23"/>
  <c r="D30" i="23"/>
  <c r="D29" i="23"/>
  <c r="D28" i="23"/>
  <c r="D27" i="23"/>
  <c r="D26" i="23"/>
  <c r="D23" i="23"/>
  <c r="D22" i="23"/>
  <c r="J62" i="24"/>
  <c r="J110" i="24" s="1"/>
  <c r="J30" i="23"/>
  <c r="J27" i="23"/>
  <c r="J24" i="23"/>
  <c r="J21" i="23"/>
  <c r="J22" i="23"/>
  <c r="D17" i="2"/>
  <c r="B16" i="4" s="1"/>
  <c r="K47" i="24"/>
  <c r="I47" i="24"/>
  <c r="H47" i="24"/>
  <c r="E47" i="24"/>
  <c r="D47" i="24"/>
  <c r="J47" i="24"/>
  <c r="G47" i="24"/>
  <c r="F47" i="24"/>
  <c r="N47" i="24"/>
  <c r="M47" i="24"/>
  <c r="L47" i="24"/>
  <c r="C47" i="24"/>
  <c r="C85" i="23"/>
  <c r="L29" i="22"/>
  <c r="P29" i="22" s="1"/>
  <c r="K86" i="23"/>
  <c r="J21" i="1" s="1"/>
  <c r="K79" i="24"/>
  <c r="K127" i="24" s="1"/>
  <c r="K115" i="23"/>
  <c r="J89" i="1" s="1"/>
  <c r="K114" i="23"/>
  <c r="J88" i="1" s="1"/>
  <c r="K113" i="23"/>
  <c r="J87" i="1" s="1"/>
  <c r="K112" i="23"/>
  <c r="J86" i="1" s="1"/>
  <c r="K111" i="23"/>
  <c r="J85" i="1" s="1"/>
  <c r="K110" i="23"/>
  <c r="J84" i="1" s="1"/>
  <c r="F72" i="24"/>
  <c r="F120" i="24" s="1"/>
  <c r="F69" i="23"/>
  <c r="E36" i="1" s="1"/>
  <c r="F63" i="23"/>
  <c r="F70" i="23"/>
  <c r="E37" i="1" s="1"/>
  <c r="F68" i="23"/>
  <c r="E35" i="1" s="1"/>
  <c r="B32" i="13"/>
  <c r="E32" i="13" s="1"/>
  <c r="B18" i="13"/>
  <c r="B22" i="13" s="1"/>
  <c r="E22" i="13" s="1"/>
  <c r="K55" i="24"/>
  <c r="I55" i="24"/>
  <c r="H55" i="24"/>
  <c r="E55" i="24"/>
  <c r="D55" i="24"/>
  <c r="N55" i="24"/>
  <c r="M55" i="24"/>
  <c r="J55" i="24"/>
  <c r="F55" i="24"/>
  <c r="G55" i="24"/>
  <c r="C55" i="24"/>
  <c r="L55" i="24"/>
  <c r="E87" i="23"/>
  <c r="D87" i="23"/>
  <c r="C87" i="23"/>
  <c r="I87" i="23"/>
  <c r="M87" i="23"/>
  <c r="D69" i="21"/>
  <c r="D49" i="21"/>
  <c r="B53" i="21" s="1"/>
  <c r="E53" i="21" s="1"/>
  <c r="D59" i="21"/>
  <c r="B63" i="21" s="1"/>
  <c r="E63" i="21" s="1"/>
  <c r="D19" i="21"/>
  <c r="B23" i="21" s="1"/>
  <c r="E23" i="21" s="1"/>
  <c r="D39" i="21"/>
  <c r="B43" i="21" s="1"/>
  <c r="E43" i="21" s="1"/>
  <c r="D29" i="21"/>
  <c r="B33" i="21" s="1"/>
  <c r="E33" i="21" s="1"/>
  <c r="H29" i="16"/>
  <c r="B32" i="16" s="1"/>
  <c r="F32" i="16" s="1"/>
  <c r="H42" i="16"/>
  <c r="B45" i="16" s="1"/>
  <c r="F45" i="16" s="1"/>
  <c r="H50" i="16"/>
  <c r="I63" i="23"/>
  <c r="J87" i="23"/>
  <c r="L166" i="23"/>
  <c r="K78" i="1" s="1"/>
  <c r="L165" i="23"/>
  <c r="K77" i="1" s="1"/>
  <c r="F13" i="10"/>
  <c r="K62" i="23" s="1"/>
  <c r="K52" i="24"/>
  <c r="I52" i="24"/>
  <c r="H52" i="24"/>
  <c r="E52" i="24"/>
  <c r="D52" i="24"/>
  <c r="L52" i="24"/>
  <c r="J52" i="24"/>
  <c r="G52" i="24"/>
  <c r="C52" i="24"/>
  <c r="F52" i="24"/>
  <c r="N52" i="24"/>
  <c r="M52" i="24"/>
  <c r="L33" i="20"/>
  <c r="P33" i="20" s="1"/>
  <c r="G66" i="24"/>
  <c r="G114" i="24" s="1"/>
  <c r="G39" i="23"/>
  <c r="G33" i="23"/>
  <c r="G35" i="23" s="1"/>
  <c r="C73" i="24"/>
  <c r="C121" i="24" s="1"/>
  <c r="C65" i="23"/>
  <c r="O64" i="23"/>
  <c r="L76" i="24"/>
  <c r="L124" i="24" s="1"/>
  <c r="L88" i="23"/>
  <c r="L87" i="23"/>
  <c r="N165" i="23"/>
  <c r="M77" i="1" s="1"/>
  <c r="N166" i="23"/>
  <c r="M78" i="1" s="1"/>
  <c r="N167" i="23"/>
  <c r="M79" i="1" s="1"/>
  <c r="N163" i="23"/>
  <c r="M75" i="1" s="1"/>
  <c r="N162" i="23"/>
  <c r="M74" i="1" s="1"/>
  <c r="N83" i="24"/>
  <c r="N131" i="24" s="1"/>
  <c r="C78" i="24"/>
  <c r="C126" i="24" s="1"/>
  <c r="C102" i="23"/>
  <c r="O90" i="23"/>
  <c r="N100" i="23"/>
  <c r="M67" i="1" s="1"/>
  <c r="N101" i="23"/>
  <c r="M69" i="1" s="1"/>
  <c r="N98" i="23"/>
  <c r="M64" i="1" s="1"/>
  <c r="E42" i="23"/>
  <c r="E60" i="23" s="1"/>
  <c r="D11" i="1" s="1"/>
  <c r="N42" i="23"/>
  <c r="K51" i="24"/>
  <c r="I51" i="24"/>
  <c r="H51" i="24"/>
  <c r="E51" i="24"/>
  <c r="D51" i="24"/>
  <c r="J51" i="24"/>
  <c r="G51" i="24"/>
  <c r="F51" i="24"/>
  <c r="C51" i="24"/>
  <c r="N39" i="21"/>
  <c r="L43" i="21" s="1"/>
  <c r="O43" i="21" s="1"/>
  <c r="N29" i="21"/>
  <c r="L33" i="21" s="1"/>
  <c r="O33" i="21" s="1"/>
  <c r="D7" i="17"/>
  <c r="N20" i="17"/>
  <c r="AF37" i="22"/>
  <c r="AJ37" i="22" s="1"/>
  <c r="L66" i="24"/>
  <c r="L114" i="24" s="1"/>
  <c r="L33" i="23"/>
  <c r="L35" i="23" s="1"/>
  <c r="L37" i="23"/>
  <c r="G34" i="23"/>
  <c r="L38" i="23"/>
  <c r="G80" i="23"/>
  <c r="F15" i="1" s="1"/>
  <c r="G81" i="23"/>
  <c r="F16" i="1" s="1"/>
  <c r="F126" i="23"/>
  <c r="E118" i="1" s="1"/>
  <c r="F80" i="24"/>
  <c r="F128" i="24" s="1"/>
  <c r="F127" i="23"/>
  <c r="E119" i="1" s="1"/>
  <c r="F122" i="23"/>
  <c r="E114" i="1" s="1"/>
  <c r="F125" i="23"/>
  <c r="E117" i="1" s="1"/>
  <c r="F124" i="23"/>
  <c r="E116" i="1" s="1"/>
  <c r="K50" i="24"/>
  <c r="I50" i="24"/>
  <c r="H50" i="24"/>
  <c r="E50" i="24"/>
  <c r="D50" i="24"/>
  <c r="N50" i="24"/>
  <c r="M50" i="24"/>
  <c r="L50" i="24"/>
  <c r="G50" i="24"/>
  <c r="J50" i="24"/>
  <c r="F50" i="24"/>
  <c r="C50" i="24"/>
  <c r="AF29" i="22"/>
  <c r="AJ29" i="22" s="1"/>
  <c r="L168" i="23"/>
  <c r="K80" i="1" s="1"/>
  <c r="G113" i="24"/>
  <c r="F75" i="23"/>
  <c r="F83" i="23"/>
  <c r="E18" i="1" s="1"/>
  <c r="F84" i="23"/>
  <c r="E19" i="1" s="1"/>
  <c r="F74" i="24"/>
  <c r="F122" i="24" s="1"/>
  <c r="F85" i="23"/>
  <c r="E20" i="1" s="1"/>
  <c r="I80" i="23"/>
  <c r="H15" i="1" s="1"/>
  <c r="K85" i="23"/>
  <c r="J20" i="1" s="1"/>
  <c r="L51" i="24"/>
  <c r="E43" i="23"/>
  <c r="H43" i="23"/>
  <c r="O43" i="23" s="1"/>
  <c r="N43" i="23"/>
  <c r="C68" i="24"/>
  <c r="C116" i="24" s="1"/>
  <c r="O45" i="23"/>
  <c r="O47" i="23" s="1"/>
  <c r="F68" i="24"/>
  <c r="F116" i="24" s="1"/>
  <c r="F53" i="23"/>
  <c r="K88" i="23"/>
  <c r="D88" i="23"/>
  <c r="C88" i="23"/>
  <c r="N88" i="23"/>
  <c r="J81" i="23"/>
  <c r="I16" i="1" s="1"/>
  <c r="G76" i="24"/>
  <c r="G124" i="24" s="1"/>
  <c r="G88" i="23"/>
  <c r="G87" i="23"/>
  <c r="G84" i="23"/>
  <c r="F19" i="1" s="1"/>
  <c r="G85" i="23"/>
  <c r="F20" i="1" s="1"/>
  <c r="M51" i="24"/>
  <c r="I42" i="23"/>
  <c r="M53" i="16"/>
  <c r="Q53" i="16" s="1"/>
  <c r="O16" i="23"/>
  <c r="N75" i="24"/>
  <c r="N123" i="24" s="1"/>
  <c r="N85" i="23"/>
  <c r="M20" i="1" s="1"/>
  <c r="N77" i="23"/>
  <c r="N83" i="23"/>
  <c r="M18" i="1" s="1"/>
  <c r="F82" i="23"/>
  <c r="E17" i="1" s="1"/>
  <c r="G111" i="24"/>
  <c r="D29" i="20"/>
  <c r="B33" i="20" s="1"/>
  <c r="F33" i="20" s="1"/>
  <c r="D49" i="20"/>
  <c r="B53" i="20" s="1"/>
  <c r="F53" i="20" s="1"/>
  <c r="I38" i="23"/>
  <c r="N39" i="23"/>
  <c r="E74" i="24"/>
  <c r="E122" i="24" s="1"/>
  <c r="E84" i="23"/>
  <c r="D19" i="1" s="1"/>
  <c r="E75" i="23"/>
  <c r="I75" i="24"/>
  <c r="I123" i="24" s="1"/>
  <c r="I82" i="23"/>
  <c r="H17" i="1" s="1"/>
  <c r="E82" i="23"/>
  <c r="D17" i="1" s="1"/>
  <c r="D98" i="23"/>
  <c r="C64" i="1" s="1"/>
  <c r="D99" i="23"/>
  <c r="C65" i="1" s="1"/>
  <c r="D100" i="23"/>
  <c r="C67" i="1" s="1"/>
  <c r="C80" i="24"/>
  <c r="C128" i="24" s="1"/>
  <c r="C125" i="23"/>
  <c r="C126" i="23"/>
  <c r="C127" i="23"/>
  <c r="C124" i="23"/>
  <c r="C123" i="23"/>
  <c r="O118" i="23"/>
  <c r="O119" i="23" s="1"/>
  <c r="K83" i="24"/>
  <c r="K131" i="24" s="1"/>
  <c r="K162" i="23"/>
  <c r="J74" i="1" s="1"/>
  <c r="J81" i="1" s="1"/>
  <c r="K166" i="23"/>
  <c r="J78" i="1" s="1"/>
  <c r="K165" i="23"/>
  <c r="J77" i="1" s="1"/>
  <c r="H140" i="23"/>
  <c r="G110" i="1" s="1"/>
  <c r="G140" i="23"/>
  <c r="F110" i="1" s="1"/>
  <c r="E140" i="23"/>
  <c r="D110" i="1" s="1"/>
  <c r="M140" i="23"/>
  <c r="L110" i="1" s="1"/>
  <c r="N140" i="23"/>
  <c r="M110" i="1" s="1"/>
  <c r="L140" i="23"/>
  <c r="K110" i="1" s="1"/>
  <c r="K140" i="23"/>
  <c r="J110" i="1" s="1"/>
  <c r="F140" i="23"/>
  <c r="E110" i="1" s="1"/>
  <c r="I140" i="23"/>
  <c r="H110" i="1" s="1"/>
  <c r="D140" i="23"/>
  <c r="C110" i="1" s="1"/>
  <c r="C140" i="23"/>
  <c r="F66" i="24"/>
  <c r="F114" i="24" s="1"/>
  <c r="F36" i="23"/>
  <c r="N38" i="23"/>
  <c r="E65" i="23"/>
  <c r="K81" i="23"/>
  <c r="J16" i="1" s="1"/>
  <c r="K80" i="23"/>
  <c r="J15" i="1" s="1"/>
  <c r="E83" i="23"/>
  <c r="D18" i="1" s="1"/>
  <c r="E85" i="23"/>
  <c r="D20" i="1" s="1"/>
  <c r="F123" i="23"/>
  <c r="E115" i="1" s="1"/>
  <c r="D42" i="23"/>
  <c r="D60" i="23" s="1"/>
  <c r="C11" i="1" s="1"/>
  <c r="M42" i="23"/>
  <c r="M60" i="23" s="1"/>
  <c r="L11" i="1" s="1"/>
  <c r="H66" i="24"/>
  <c r="H114" i="24" s="1"/>
  <c r="H34" i="23"/>
  <c r="N34" i="23"/>
  <c r="H36" i="23"/>
  <c r="G54" i="1" s="1"/>
  <c r="K37" i="23"/>
  <c r="G121" i="24"/>
  <c r="G65" i="23"/>
  <c r="H76" i="24"/>
  <c r="H124" i="24" s="1"/>
  <c r="H87" i="23"/>
  <c r="H88" i="23"/>
  <c r="J100" i="23"/>
  <c r="I67" i="1" s="1"/>
  <c r="M102" i="23"/>
  <c r="L70" i="1" s="1"/>
  <c r="G79" i="24"/>
  <c r="G127" i="24" s="1"/>
  <c r="G112" i="23"/>
  <c r="F86" i="1" s="1"/>
  <c r="G115" i="23"/>
  <c r="F89" i="1" s="1"/>
  <c r="G114" i="23"/>
  <c r="F88" i="1" s="1"/>
  <c r="G113" i="23"/>
  <c r="F87" i="1" s="1"/>
  <c r="F91" i="1" s="1"/>
  <c r="G111" i="23"/>
  <c r="F85" i="1" s="1"/>
  <c r="O144" i="23"/>
  <c r="O145" i="23" s="1"/>
  <c r="J168" i="23"/>
  <c r="I80" i="1" s="1"/>
  <c r="I66" i="24"/>
  <c r="I114" i="24" s="1"/>
  <c r="I33" i="23"/>
  <c r="I35" i="23" s="1"/>
  <c r="I36" i="23"/>
  <c r="H65" i="23"/>
  <c r="L83" i="23"/>
  <c r="K18" i="1" s="1"/>
  <c r="L82" i="23"/>
  <c r="K17" i="1" s="1"/>
  <c r="L85" i="23"/>
  <c r="K20" i="1" s="1"/>
  <c r="L74" i="24"/>
  <c r="L122" i="24" s="1"/>
  <c r="L75" i="23"/>
  <c r="I76" i="24"/>
  <c r="I124" i="24" s="1"/>
  <c r="I88" i="23"/>
  <c r="I83" i="23"/>
  <c r="H18" i="1" s="1"/>
  <c r="K100" i="23"/>
  <c r="J67" i="1" s="1"/>
  <c r="K101" i="23"/>
  <c r="J69" i="1" s="1"/>
  <c r="J71" i="1" s="1"/>
  <c r="H79" i="24"/>
  <c r="H127" i="24" s="1"/>
  <c r="H115" i="23"/>
  <c r="G89" i="1" s="1"/>
  <c r="H114" i="23"/>
  <c r="G88" i="1" s="1"/>
  <c r="H113" i="23"/>
  <c r="G87" i="1" s="1"/>
  <c r="H112" i="23"/>
  <c r="G86" i="1" s="1"/>
  <c r="H110" i="23"/>
  <c r="G84" i="1" s="1"/>
  <c r="G91" i="1" s="1"/>
  <c r="H111" i="23"/>
  <c r="G85" i="1" s="1"/>
  <c r="K164" i="23"/>
  <c r="J76" i="1" s="1"/>
  <c r="J164" i="23"/>
  <c r="I76" i="1" s="1"/>
  <c r="I164" i="23"/>
  <c r="H76" i="1" s="1"/>
  <c r="G164" i="23"/>
  <c r="F76" i="1" s="1"/>
  <c r="C164" i="23"/>
  <c r="N164" i="23"/>
  <c r="M76" i="1" s="1"/>
  <c r="M164" i="23"/>
  <c r="L76" i="1" s="1"/>
  <c r="L81" i="1" s="1"/>
  <c r="L164" i="23"/>
  <c r="K76" i="1" s="1"/>
  <c r="E164" i="23"/>
  <c r="D76" i="1" s="1"/>
  <c r="G168" i="23"/>
  <c r="F80" i="1" s="1"/>
  <c r="F168" i="23"/>
  <c r="E80" i="1" s="1"/>
  <c r="E168" i="23"/>
  <c r="D80" i="1" s="1"/>
  <c r="C168" i="23"/>
  <c r="K168" i="23"/>
  <c r="J80" i="1" s="1"/>
  <c r="I168" i="23"/>
  <c r="H80" i="1" s="1"/>
  <c r="H168" i="23"/>
  <c r="G80" i="1" s="1"/>
  <c r="D168" i="23"/>
  <c r="C80" i="1" s="1"/>
  <c r="N168" i="23"/>
  <c r="M80" i="1" s="1"/>
  <c r="N37" i="23"/>
  <c r="I39" i="23"/>
  <c r="J76" i="24"/>
  <c r="J124" i="24" s="1"/>
  <c r="J88" i="23"/>
  <c r="L100" i="23"/>
  <c r="K67" i="1" s="1"/>
  <c r="K71" i="1" s="1"/>
  <c r="L101" i="23"/>
  <c r="K69" i="1" s="1"/>
  <c r="E82" i="24"/>
  <c r="E130" i="24" s="1"/>
  <c r="E149" i="23"/>
  <c r="D97" i="1" s="1"/>
  <c r="E147" i="23"/>
  <c r="D95" i="1" s="1"/>
  <c r="D101" i="1" s="1"/>
  <c r="E150" i="23"/>
  <c r="D98" i="1" s="1"/>
  <c r="N98" i="1" s="1"/>
  <c r="E151" i="23"/>
  <c r="D99" i="1" s="1"/>
  <c r="E148" i="23"/>
  <c r="D96" i="1" s="1"/>
  <c r="D164" i="23"/>
  <c r="C76" i="1" s="1"/>
  <c r="M168" i="23"/>
  <c r="L80" i="1" s="1"/>
  <c r="N33" i="23"/>
  <c r="N35" i="23" s="1"/>
  <c r="K36" i="23"/>
  <c r="F38" i="23"/>
  <c r="G117" i="24"/>
  <c r="F77" i="23"/>
  <c r="F75" i="24"/>
  <c r="F123" i="24" s="1"/>
  <c r="I77" i="23"/>
  <c r="I81" i="23" s="1"/>
  <c r="H16" i="1" s="1"/>
  <c r="M101" i="23"/>
  <c r="L69" i="1" s="1"/>
  <c r="M98" i="23"/>
  <c r="L64" i="1" s="1"/>
  <c r="L71" i="1" s="1"/>
  <c r="J79" i="24"/>
  <c r="J127" i="24" s="1"/>
  <c r="J115" i="23"/>
  <c r="I89" i="1" s="1"/>
  <c r="J114" i="23"/>
  <c r="I88" i="1" s="1"/>
  <c r="J113" i="23"/>
  <c r="I87" i="1" s="1"/>
  <c r="J112" i="23"/>
  <c r="I86" i="1" s="1"/>
  <c r="J110" i="23"/>
  <c r="I84" i="1" s="1"/>
  <c r="I91" i="1" s="1"/>
  <c r="J111" i="23"/>
  <c r="I85" i="1" s="1"/>
  <c r="F147" i="23"/>
  <c r="E95" i="1" s="1"/>
  <c r="E101" i="1" s="1"/>
  <c r="F150" i="23"/>
  <c r="E98" i="1" s="1"/>
  <c r="F82" i="24"/>
  <c r="F130" i="24" s="1"/>
  <c r="F151" i="23"/>
  <c r="E99" i="1" s="1"/>
  <c r="F164" i="23"/>
  <c r="E76" i="1" s="1"/>
  <c r="I65" i="23"/>
  <c r="J85" i="23"/>
  <c r="I20" i="1" s="1"/>
  <c r="J84" i="23"/>
  <c r="I19" i="1" s="1"/>
  <c r="J83" i="23"/>
  <c r="I18" i="1" s="1"/>
  <c r="J74" i="24"/>
  <c r="J122" i="24" s="1"/>
  <c r="L75" i="24"/>
  <c r="L123" i="24" s="1"/>
  <c r="L77" i="23"/>
  <c r="M88" i="23"/>
  <c r="J101" i="23"/>
  <c r="I69" i="1" s="1"/>
  <c r="N115" i="23"/>
  <c r="M89" i="1" s="1"/>
  <c r="L81" i="24"/>
  <c r="L129" i="24" s="1"/>
  <c r="L136" i="23"/>
  <c r="K106" i="1" s="1"/>
  <c r="L139" i="23"/>
  <c r="K109" i="1" s="1"/>
  <c r="L135" i="23"/>
  <c r="K105" i="1" s="1"/>
  <c r="K136" i="23"/>
  <c r="J106" i="1" s="1"/>
  <c r="K139" i="23"/>
  <c r="J109" i="1" s="1"/>
  <c r="C136" i="23"/>
  <c r="F162" i="23"/>
  <c r="E74" i="1" s="1"/>
  <c r="E81" i="1" s="1"/>
  <c r="N81" i="24"/>
  <c r="N129" i="24" s="1"/>
  <c r="M33" i="23"/>
  <c r="M35" i="23" s="1"/>
  <c r="M34" i="23"/>
  <c r="M36" i="23"/>
  <c r="M37" i="23"/>
  <c r="M38" i="23"/>
  <c r="M39" i="23"/>
  <c r="J65" i="23"/>
  <c r="K74" i="24"/>
  <c r="K122" i="24" s="1"/>
  <c r="K84" i="23"/>
  <c r="J19" i="1" s="1"/>
  <c r="K83" i="23"/>
  <c r="J18" i="1" s="1"/>
  <c r="K82" i="23"/>
  <c r="J17" i="1" s="1"/>
  <c r="M75" i="23"/>
  <c r="N76" i="24"/>
  <c r="N124" i="24" s="1"/>
  <c r="N87" i="23"/>
  <c r="J82" i="23"/>
  <c r="I17" i="1" s="1"/>
  <c r="C84" i="23"/>
  <c r="G78" i="24"/>
  <c r="G126" i="24" s="1"/>
  <c r="F101" i="23"/>
  <c r="E69" i="1" s="1"/>
  <c r="F100" i="23"/>
  <c r="E67" i="1" s="1"/>
  <c r="E71" i="1" s="1"/>
  <c r="E100" i="23"/>
  <c r="D67" i="1" s="1"/>
  <c r="D71" i="1" s="1"/>
  <c r="N79" i="24"/>
  <c r="N127" i="24" s="1"/>
  <c r="M139" i="23"/>
  <c r="L109" i="1" s="1"/>
  <c r="M136" i="23"/>
  <c r="L106" i="1" s="1"/>
  <c r="M135" i="23"/>
  <c r="L105" i="1" s="1"/>
  <c r="L111" i="1" s="1"/>
  <c r="I82" i="24"/>
  <c r="I130" i="24" s="1"/>
  <c r="I151" i="23"/>
  <c r="H99" i="1" s="1"/>
  <c r="I149" i="23"/>
  <c r="H97" i="1" s="1"/>
  <c r="I150" i="23"/>
  <c r="H98" i="1" s="1"/>
  <c r="I148" i="23"/>
  <c r="H96" i="1" s="1"/>
  <c r="H101" i="1" s="1"/>
  <c r="H78" i="24"/>
  <c r="H126" i="24" s="1"/>
  <c r="H102" i="23"/>
  <c r="G70" i="1" s="1"/>
  <c r="G101" i="23"/>
  <c r="F69" i="1" s="1"/>
  <c r="G100" i="23"/>
  <c r="F67" i="1" s="1"/>
  <c r="G99" i="23"/>
  <c r="F65" i="1" s="1"/>
  <c r="F71" i="1" s="1"/>
  <c r="N113" i="23"/>
  <c r="M87" i="1" s="1"/>
  <c r="M91" i="1" s="1"/>
  <c r="J151" i="23"/>
  <c r="I99" i="1" s="1"/>
  <c r="J150" i="23"/>
  <c r="I98" i="1" s="1"/>
  <c r="J148" i="23"/>
  <c r="I96" i="1" s="1"/>
  <c r="I101" i="1" s="1"/>
  <c r="J82" i="24"/>
  <c r="J130" i="24" s="1"/>
  <c r="C66" i="24"/>
  <c r="C114" i="24" s="1"/>
  <c r="C39" i="23"/>
  <c r="O32" i="23"/>
  <c r="O33" i="23" s="1"/>
  <c r="O46" i="23"/>
  <c r="L65" i="23"/>
  <c r="M82" i="23"/>
  <c r="L17" i="1" s="1"/>
  <c r="O76" i="23"/>
  <c r="H100" i="23"/>
  <c r="G67" i="1" s="1"/>
  <c r="H99" i="23"/>
  <c r="G65" i="1" s="1"/>
  <c r="H98" i="23"/>
  <c r="G64" i="1" s="1"/>
  <c r="D79" i="24"/>
  <c r="D127" i="24" s="1"/>
  <c r="D115" i="23"/>
  <c r="C89" i="1" s="1"/>
  <c r="D111" i="23"/>
  <c r="C85" i="1" s="1"/>
  <c r="C91" i="1" s="1"/>
  <c r="O108" i="23"/>
  <c r="O109" i="23" s="1"/>
  <c r="C138" i="23"/>
  <c r="M76" i="24"/>
  <c r="M124" i="24" s="1"/>
  <c r="D66" i="24"/>
  <c r="D114" i="24" s="1"/>
  <c r="D38" i="23"/>
  <c r="C33" i="23"/>
  <c r="C35" i="23" s="1"/>
  <c r="C34" i="23"/>
  <c r="O34" i="23" s="1"/>
  <c r="C36" i="23"/>
  <c r="C37" i="23"/>
  <c r="C38" i="23"/>
  <c r="D39" i="23"/>
  <c r="N63" i="23"/>
  <c r="N68" i="23"/>
  <c r="M35" i="1" s="1"/>
  <c r="N69" i="23"/>
  <c r="M36" i="1" s="1"/>
  <c r="N70" i="23"/>
  <c r="M37" i="1" s="1"/>
  <c r="N71" i="23"/>
  <c r="M38" i="1" s="1"/>
  <c r="N74" i="24"/>
  <c r="N122" i="24" s="1"/>
  <c r="N75" i="23"/>
  <c r="D75" i="24"/>
  <c r="D123" i="24" s="1"/>
  <c r="D77" i="23"/>
  <c r="C77" i="23"/>
  <c r="C81" i="23" s="1"/>
  <c r="C83" i="23"/>
  <c r="M85" i="23"/>
  <c r="L20" i="1" s="1"/>
  <c r="I99" i="23"/>
  <c r="H65" i="1" s="1"/>
  <c r="I98" i="23"/>
  <c r="H64" i="1" s="1"/>
  <c r="H71" i="1" s="1"/>
  <c r="E110" i="23"/>
  <c r="D114" i="23"/>
  <c r="C88" i="1" s="1"/>
  <c r="M122" i="23"/>
  <c r="L114" i="1" s="1"/>
  <c r="M127" i="23"/>
  <c r="L119" i="1" s="1"/>
  <c r="M124" i="23"/>
  <c r="L116" i="1" s="1"/>
  <c r="M125" i="23"/>
  <c r="L117" i="1" s="1"/>
  <c r="M126" i="23"/>
  <c r="L118" i="1" s="1"/>
  <c r="D81" i="24"/>
  <c r="D129" i="24" s="1"/>
  <c r="D137" i="23"/>
  <c r="C107" i="1" s="1"/>
  <c r="D138" i="23"/>
  <c r="C108" i="1" s="1"/>
  <c r="D134" i="23"/>
  <c r="C104" i="1" s="1"/>
  <c r="D136" i="23"/>
  <c r="C106" i="1" s="1"/>
  <c r="C137" i="23"/>
  <c r="C134" i="23"/>
  <c r="O132" i="23"/>
  <c r="O133" i="23" s="1"/>
  <c r="H167" i="23"/>
  <c r="G79" i="1" s="1"/>
  <c r="H165" i="23"/>
  <c r="G77" i="1" s="1"/>
  <c r="E66" i="24"/>
  <c r="E114" i="24" s="1"/>
  <c r="E37" i="23"/>
  <c r="E38" i="23"/>
  <c r="E39" i="23"/>
  <c r="O49" i="23"/>
  <c r="C80" i="23"/>
  <c r="F76" i="24"/>
  <c r="F124" i="24" s="1"/>
  <c r="F88" i="23"/>
  <c r="F87" i="23"/>
  <c r="K78" i="24"/>
  <c r="K126" i="24" s="1"/>
  <c r="J98" i="23"/>
  <c r="I64" i="1" s="1"/>
  <c r="I71" i="1" s="1"/>
  <c r="F113" i="23"/>
  <c r="E87" i="1" s="1"/>
  <c r="F79" i="24"/>
  <c r="F127" i="24" s="1"/>
  <c r="F112" i="23"/>
  <c r="E86" i="1" s="1"/>
  <c r="F114" i="23"/>
  <c r="E88" i="1" s="1"/>
  <c r="O74" i="23"/>
  <c r="O75" i="23" s="1"/>
  <c r="G82" i="23"/>
  <c r="F17" i="1" s="1"/>
  <c r="L102" i="23"/>
  <c r="K70" i="1" s="1"/>
  <c r="I79" i="24"/>
  <c r="I127" i="24" s="1"/>
  <c r="C112" i="23"/>
  <c r="C113" i="23"/>
  <c r="C114" i="23"/>
  <c r="C115" i="23"/>
  <c r="D80" i="24"/>
  <c r="D128" i="24" s="1"/>
  <c r="D124" i="23"/>
  <c r="C116" i="1" s="1"/>
  <c r="J126" i="23"/>
  <c r="I118" i="1" s="1"/>
  <c r="L127" i="23"/>
  <c r="K119" i="1" s="1"/>
  <c r="N134" i="23"/>
  <c r="M104" i="1" s="1"/>
  <c r="M111" i="1" s="1"/>
  <c r="N139" i="23"/>
  <c r="M109" i="1" s="1"/>
  <c r="N138" i="23"/>
  <c r="M108" i="1" s="1"/>
  <c r="H82" i="24"/>
  <c r="H130" i="24" s="1"/>
  <c r="H150" i="23"/>
  <c r="G98" i="1" s="1"/>
  <c r="H146" i="23"/>
  <c r="G94" i="1" s="1"/>
  <c r="G147" i="23"/>
  <c r="F95" i="1" s="1"/>
  <c r="C148" i="23"/>
  <c r="H149" i="23"/>
  <c r="G97" i="1" s="1"/>
  <c r="L83" i="24"/>
  <c r="L131" i="24" s="1"/>
  <c r="L163" i="23"/>
  <c r="K75" i="1" s="1"/>
  <c r="L162" i="23"/>
  <c r="K74" i="1" s="1"/>
  <c r="L167" i="23"/>
  <c r="K79" i="1" s="1"/>
  <c r="K163" i="23"/>
  <c r="J75" i="1" s="1"/>
  <c r="M165" i="23"/>
  <c r="L77" i="1" s="1"/>
  <c r="F81" i="24"/>
  <c r="F129" i="24" s="1"/>
  <c r="G125" i="23"/>
  <c r="F117" i="1" s="1"/>
  <c r="G80" i="24"/>
  <c r="G128" i="24" s="1"/>
  <c r="G124" i="23"/>
  <c r="F116" i="1" s="1"/>
  <c r="E81" i="24"/>
  <c r="E129" i="24" s="1"/>
  <c r="E136" i="23"/>
  <c r="D106" i="1" s="1"/>
  <c r="E135" i="23"/>
  <c r="H136" i="23"/>
  <c r="G106" i="1" s="1"/>
  <c r="E139" i="23"/>
  <c r="D109" i="1" s="1"/>
  <c r="N109" i="1" s="1"/>
  <c r="K82" i="24"/>
  <c r="K130" i="24" s="1"/>
  <c r="K151" i="23"/>
  <c r="J99" i="1" s="1"/>
  <c r="K150" i="23"/>
  <c r="J98" i="1" s="1"/>
  <c r="K149" i="23"/>
  <c r="J97" i="1" s="1"/>
  <c r="K146" i="23"/>
  <c r="J94" i="1" s="1"/>
  <c r="O154" i="23"/>
  <c r="O155" i="23" s="1"/>
  <c r="C163" i="23"/>
  <c r="D166" i="23"/>
  <c r="C78" i="1" s="1"/>
  <c r="M167" i="23"/>
  <c r="L79" i="1" s="1"/>
  <c r="O78" i="23"/>
  <c r="I84" i="23"/>
  <c r="H19" i="1" s="1"/>
  <c r="E88" i="23"/>
  <c r="D78" i="24"/>
  <c r="D126" i="24" s="1"/>
  <c r="D102" i="23"/>
  <c r="C70" i="1" s="1"/>
  <c r="I110" i="23"/>
  <c r="H84" i="1" s="1"/>
  <c r="H80" i="24"/>
  <c r="H128" i="24" s="1"/>
  <c r="H127" i="23"/>
  <c r="G119" i="1" s="1"/>
  <c r="H124" i="23"/>
  <c r="G116" i="1" s="1"/>
  <c r="L125" i="23"/>
  <c r="K117" i="1" s="1"/>
  <c r="K121" i="1" s="1"/>
  <c r="F139" i="23"/>
  <c r="E109" i="1" s="1"/>
  <c r="F135" i="23"/>
  <c r="E105" i="1" s="1"/>
  <c r="E111" i="1" s="1"/>
  <c r="J136" i="23"/>
  <c r="I106" i="1" s="1"/>
  <c r="L149" i="23"/>
  <c r="K97" i="1" s="1"/>
  <c r="K147" i="23"/>
  <c r="J95" i="1" s="1"/>
  <c r="H148" i="23"/>
  <c r="G96" i="1" s="1"/>
  <c r="D83" i="24"/>
  <c r="D131" i="24" s="1"/>
  <c r="D167" i="23"/>
  <c r="C79" i="1" s="1"/>
  <c r="N79" i="1" s="1"/>
  <c r="F166" i="23"/>
  <c r="E78" i="1" s="1"/>
  <c r="N78" i="1" s="1"/>
  <c r="O79" i="23"/>
  <c r="I85" i="23"/>
  <c r="H20" i="1" s="1"/>
  <c r="E78" i="24"/>
  <c r="E126" i="24" s="1"/>
  <c r="E102" i="23"/>
  <c r="D70" i="1" s="1"/>
  <c r="I112" i="23"/>
  <c r="H86" i="1" s="1"/>
  <c r="I113" i="23"/>
  <c r="H87" i="1" s="1"/>
  <c r="I114" i="23"/>
  <c r="H88" i="1" s="1"/>
  <c r="I115" i="23"/>
  <c r="H89" i="1" s="1"/>
  <c r="I80" i="24"/>
  <c r="I128" i="24" s="1"/>
  <c r="I126" i="23"/>
  <c r="H118" i="1" s="1"/>
  <c r="G123" i="23"/>
  <c r="F115" i="1" s="1"/>
  <c r="G81" i="24"/>
  <c r="G129" i="24" s="1"/>
  <c r="G138" i="23"/>
  <c r="F108" i="1" s="1"/>
  <c r="G134" i="23"/>
  <c r="F104" i="1" s="1"/>
  <c r="E134" i="23"/>
  <c r="D104" i="1" s="1"/>
  <c r="H135" i="23"/>
  <c r="G105" i="1" s="1"/>
  <c r="M149" i="23"/>
  <c r="L97" i="1" s="1"/>
  <c r="M148" i="23"/>
  <c r="L96" i="1" s="1"/>
  <c r="L150" i="23"/>
  <c r="K98" i="1" s="1"/>
  <c r="L148" i="23"/>
  <c r="K96" i="1" s="1"/>
  <c r="M151" i="23"/>
  <c r="L99" i="1" s="1"/>
  <c r="E162" i="23"/>
  <c r="D74" i="1" s="1"/>
  <c r="D163" i="23"/>
  <c r="C75" i="1" s="1"/>
  <c r="C81" i="1" s="1"/>
  <c r="O156" i="23"/>
  <c r="O157" i="23" s="1"/>
  <c r="L82" i="24"/>
  <c r="L130" i="24" s="1"/>
  <c r="G123" i="24"/>
  <c r="C79" i="24"/>
  <c r="C127" i="24" s="1"/>
  <c r="O106" i="23"/>
  <c r="O107" i="23" s="1"/>
  <c r="J125" i="23"/>
  <c r="I117" i="1" s="1"/>
  <c r="J122" i="23"/>
  <c r="I114" i="1" s="1"/>
  <c r="I123" i="23"/>
  <c r="H115" i="1" s="1"/>
  <c r="H121" i="1" s="1"/>
  <c r="G122" i="23"/>
  <c r="F114" i="1" s="1"/>
  <c r="N125" i="23"/>
  <c r="M117" i="1" s="1"/>
  <c r="M121" i="1" s="1"/>
  <c r="D127" i="23"/>
  <c r="C119" i="1" s="1"/>
  <c r="H81" i="24"/>
  <c r="H129" i="24" s="1"/>
  <c r="H139" i="23"/>
  <c r="G109" i="1" s="1"/>
  <c r="H137" i="23"/>
  <c r="G107" i="1" s="1"/>
  <c r="N136" i="23"/>
  <c r="M106" i="1" s="1"/>
  <c r="E138" i="23"/>
  <c r="D108" i="1" s="1"/>
  <c r="N148" i="23"/>
  <c r="M96" i="1" s="1"/>
  <c r="N146" i="23"/>
  <c r="M94" i="1" s="1"/>
  <c r="M101" i="1" s="1"/>
  <c r="N82" i="24"/>
  <c r="N130" i="24" s="1"/>
  <c r="M147" i="23"/>
  <c r="L95" i="1" s="1"/>
  <c r="L101" i="1" s="1"/>
  <c r="K148" i="23"/>
  <c r="J96" i="1" s="1"/>
  <c r="N151" i="23"/>
  <c r="M99" i="1" s="1"/>
  <c r="F167" i="23"/>
  <c r="E79" i="1" s="1"/>
  <c r="F165" i="23"/>
  <c r="E77" i="1" s="1"/>
  <c r="O158" i="23"/>
  <c r="O159" i="23" s="1"/>
  <c r="O160" i="23"/>
  <c r="O161" i="23" s="1"/>
  <c r="C165" i="23"/>
  <c r="M82" i="24"/>
  <c r="M130" i="24" s="1"/>
  <c r="K80" i="24"/>
  <c r="K128" i="24" s="1"/>
  <c r="K124" i="23"/>
  <c r="J116" i="1" s="1"/>
  <c r="J121" i="1" s="1"/>
  <c r="I81" i="24"/>
  <c r="I129" i="24" s="1"/>
  <c r="I139" i="23"/>
  <c r="H109" i="1" s="1"/>
  <c r="I138" i="23"/>
  <c r="H108" i="1" s="1"/>
  <c r="I136" i="23"/>
  <c r="H106" i="1" s="1"/>
  <c r="H134" i="23"/>
  <c r="G104" i="1" s="1"/>
  <c r="C82" i="24"/>
  <c r="C130" i="24" s="1"/>
  <c r="C147" i="23"/>
  <c r="C146" i="23"/>
  <c r="C151" i="23"/>
  <c r="O142" i="23"/>
  <c r="O143" i="23" s="1"/>
  <c r="G167" i="23"/>
  <c r="F79" i="1" s="1"/>
  <c r="D165" i="23"/>
  <c r="C77" i="1" s="1"/>
  <c r="E79" i="24"/>
  <c r="E127" i="24" s="1"/>
  <c r="E114" i="23"/>
  <c r="D88" i="1" s="1"/>
  <c r="L111" i="23"/>
  <c r="K85" i="1" s="1"/>
  <c r="L112" i="23"/>
  <c r="K86" i="1" s="1"/>
  <c r="L113" i="23"/>
  <c r="K87" i="1" s="1"/>
  <c r="L114" i="23"/>
  <c r="K88" i="1" s="1"/>
  <c r="L115" i="23"/>
  <c r="K89" i="1" s="1"/>
  <c r="G127" i="23"/>
  <c r="F119" i="1" s="1"/>
  <c r="J81" i="24"/>
  <c r="J129" i="24" s="1"/>
  <c r="J138" i="23"/>
  <c r="I108" i="1" s="1"/>
  <c r="J137" i="23"/>
  <c r="I107" i="1" s="1"/>
  <c r="J135" i="23"/>
  <c r="I105" i="1" s="1"/>
  <c r="I111" i="1" s="1"/>
  <c r="I134" i="23"/>
  <c r="H104" i="1" s="1"/>
  <c r="C149" i="23"/>
  <c r="M83" i="24"/>
  <c r="M131" i="24" s="1"/>
  <c r="K81" i="24"/>
  <c r="K129" i="24" s="1"/>
  <c r="G82" i="24"/>
  <c r="G130" i="24" s="1"/>
  <c r="C81" i="24"/>
  <c r="C129" i="24" s="1"/>
  <c r="O130" i="23"/>
  <c r="O131" i="23" s="1"/>
  <c r="K134" i="23"/>
  <c r="J104" i="1" s="1"/>
  <c r="D82" i="24"/>
  <c r="D130" i="24" s="1"/>
  <c r="L146" i="23"/>
  <c r="K94" i="1" s="1"/>
  <c r="K101" i="1" s="1"/>
  <c r="E83" i="24"/>
  <c r="E131" i="24" s="1"/>
  <c r="I162" i="23"/>
  <c r="H74" i="1" s="1"/>
  <c r="H81" i="1" s="1"/>
  <c r="E166" i="23"/>
  <c r="D78" i="1" s="1"/>
  <c r="G166" i="23"/>
  <c r="F78" i="1" s="1"/>
  <c r="G83" i="24"/>
  <c r="G131" i="24" s="1"/>
  <c r="K137" i="23"/>
  <c r="J107" i="1" s="1"/>
  <c r="H83" i="24"/>
  <c r="H131" i="24" s="1"/>
  <c r="H166" i="23"/>
  <c r="G78" i="1" s="1"/>
  <c r="I83" i="24"/>
  <c r="I131" i="24" s="1"/>
  <c r="I166" i="23"/>
  <c r="H78" i="1" s="1"/>
  <c r="C142" i="1" l="1"/>
  <c r="C154" i="1" s="1"/>
  <c r="F35" i="8"/>
  <c r="E6" i="8" s="1"/>
  <c r="D6" i="8"/>
  <c r="I60" i="1"/>
  <c r="O86" i="23"/>
  <c r="B21" i="1"/>
  <c r="N21" i="1" s="1"/>
  <c r="N79" i="20"/>
  <c r="L83" i="20" s="1"/>
  <c r="O83" i="20" s="1"/>
  <c r="L73" i="20"/>
  <c r="P73" i="20" s="1"/>
  <c r="I18" i="24"/>
  <c r="I16" i="24"/>
  <c r="H59" i="1"/>
  <c r="J8" i="23"/>
  <c r="J27" i="24" s="1"/>
  <c r="J39" i="24" s="1"/>
  <c r="I55" i="1"/>
  <c r="I138" i="1" s="1"/>
  <c r="I150" i="1" s="1"/>
  <c r="O100" i="23"/>
  <c r="B67" i="1"/>
  <c r="N67" i="1" s="1"/>
  <c r="M54" i="1"/>
  <c r="H9" i="23"/>
  <c r="H28" i="24" s="1"/>
  <c r="H40" i="24" s="1"/>
  <c r="G56" i="1"/>
  <c r="D9" i="8"/>
  <c r="F53" i="8"/>
  <c r="E9" i="8" s="1"/>
  <c r="J57" i="23"/>
  <c r="I8" i="1" s="1"/>
  <c r="L58" i="1"/>
  <c r="G8" i="23"/>
  <c r="G27" i="24" s="1"/>
  <c r="G39" i="24" s="1"/>
  <c r="F55" i="1"/>
  <c r="F138" i="1" s="1"/>
  <c r="F150" i="1" s="1"/>
  <c r="K4" i="23"/>
  <c r="K23" i="24" s="1"/>
  <c r="K35" i="24" s="1"/>
  <c r="J51" i="1"/>
  <c r="G127" i="1"/>
  <c r="G129" i="1" s="1"/>
  <c r="L12" i="23"/>
  <c r="L31" i="24" s="1"/>
  <c r="L43" i="24" s="1"/>
  <c r="K60" i="1"/>
  <c r="K142" i="1" s="1"/>
  <c r="K154" i="1" s="1"/>
  <c r="D55" i="1"/>
  <c r="F59" i="8"/>
  <c r="E10" i="8" s="1"/>
  <c r="D10" i="8"/>
  <c r="G67" i="23"/>
  <c r="F34" i="1" s="1"/>
  <c r="F136" i="1" s="1"/>
  <c r="F148" i="1" s="1"/>
  <c r="G66" i="23"/>
  <c r="F33" i="1" s="1"/>
  <c r="F40" i="1" s="1"/>
  <c r="F47" i="1" s="1"/>
  <c r="D5" i="14"/>
  <c r="F29" i="14"/>
  <c r="E5" i="14" s="1"/>
  <c r="F71" i="5"/>
  <c r="E12" i="5" s="1"/>
  <c r="D12" i="5"/>
  <c r="C18" i="24"/>
  <c r="O18" i="24" s="1"/>
  <c r="B59" i="1"/>
  <c r="H7" i="23"/>
  <c r="H26" i="24" s="1"/>
  <c r="H38" i="24" s="1"/>
  <c r="O137" i="23"/>
  <c r="B107" i="1"/>
  <c r="N107" i="1" s="1"/>
  <c r="F121" i="1"/>
  <c r="K81" i="1"/>
  <c r="O38" i="23"/>
  <c r="O166" i="23"/>
  <c r="M81" i="1"/>
  <c r="J18" i="24"/>
  <c r="I59" i="1"/>
  <c r="O122" i="23"/>
  <c r="D59" i="7"/>
  <c r="B62" i="7" s="1"/>
  <c r="D23" i="7"/>
  <c r="O98" i="23"/>
  <c r="B64" i="1"/>
  <c r="M57" i="1"/>
  <c r="M141" i="1" s="1"/>
  <c r="M153" i="1" s="1"/>
  <c r="G60" i="1"/>
  <c r="D5" i="8"/>
  <c r="F29" i="8"/>
  <c r="E5" i="8" s="1"/>
  <c r="J67" i="24"/>
  <c r="J115" i="24" s="1"/>
  <c r="J17" i="24" s="1"/>
  <c r="M12" i="23"/>
  <c r="M31" i="24" s="1"/>
  <c r="M43" i="24" s="1"/>
  <c r="L60" i="1"/>
  <c r="L127" i="1" s="1"/>
  <c r="L129" i="1" s="1"/>
  <c r="G11" i="23"/>
  <c r="G30" i="24" s="1"/>
  <c r="G42" i="24" s="1"/>
  <c r="G11" i="24" s="1"/>
  <c r="F58" i="1"/>
  <c r="E64" i="3"/>
  <c r="C68" i="3" s="1"/>
  <c r="F68" i="3" s="1"/>
  <c r="E28" i="3"/>
  <c r="C32" i="3" s="1"/>
  <c r="F32" i="3" s="1"/>
  <c r="E37" i="3"/>
  <c r="C41" i="3" s="1"/>
  <c r="F41" i="3" s="1"/>
  <c r="E73" i="3"/>
  <c r="C77" i="3" s="1"/>
  <c r="F77" i="3" s="1"/>
  <c r="C23" i="3"/>
  <c r="F23" i="3" s="1"/>
  <c r="E55" i="3"/>
  <c r="C59" i="3" s="1"/>
  <c r="F59" i="3" s="1"/>
  <c r="E46" i="3"/>
  <c r="C50" i="3" s="1"/>
  <c r="F50" i="3" s="1"/>
  <c r="F4" i="23"/>
  <c r="F23" i="24" s="1"/>
  <c r="F35" i="24" s="1"/>
  <c r="E51" i="1"/>
  <c r="K5" i="23"/>
  <c r="K24" i="24" s="1"/>
  <c r="K36" i="24" s="1"/>
  <c r="J52" i="1"/>
  <c r="K53" i="1"/>
  <c r="D56" i="1"/>
  <c r="B74" i="9"/>
  <c r="B77" i="9" s="1"/>
  <c r="B62" i="9"/>
  <c r="B65" i="9" s="1"/>
  <c r="B50" i="9"/>
  <c r="B53" i="9" s="1"/>
  <c r="B38" i="9"/>
  <c r="B41" i="9" s="1"/>
  <c r="B26" i="9"/>
  <c r="B29" i="9" s="1"/>
  <c r="B44" i="9"/>
  <c r="B47" i="9" s="1"/>
  <c r="B56" i="9"/>
  <c r="B59" i="9" s="1"/>
  <c r="B32" i="9"/>
  <c r="B35" i="9" s="1"/>
  <c r="B68" i="9"/>
  <c r="B71" i="9" s="1"/>
  <c r="B20" i="9"/>
  <c r="B23" i="9" s="1"/>
  <c r="F23" i="14"/>
  <c r="E4" i="14" s="1"/>
  <c r="D4" i="14"/>
  <c r="O83" i="23"/>
  <c r="B18" i="1"/>
  <c r="N18" i="1" s="1"/>
  <c r="B16" i="1"/>
  <c r="O37" i="23"/>
  <c r="G71" i="1"/>
  <c r="O168" i="23"/>
  <c r="B80" i="1"/>
  <c r="N80" i="1" s="1"/>
  <c r="O150" i="23"/>
  <c r="J22" i="1"/>
  <c r="J30" i="1" s="1"/>
  <c r="O124" i="23"/>
  <c r="B116" i="1"/>
  <c r="N116" i="1" s="1"/>
  <c r="O88" i="23"/>
  <c r="C51" i="1"/>
  <c r="I81" i="1"/>
  <c r="C121" i="1"/>
  <c r="N114" i="1"/>
  <c r="C67" i="24"/>
  <c r="C115" i="24" s="1"/>
  <c r="C17" i="24" s="1"/>
  <c r="C52" i="23"/>
  <c r="C44" i="23"/>
  <c r="C54" i="23" s="1"/>
  <c r="C58" i="23"/>
  <c r="C55" i="23"/>
  <c r="O42" i="23"/>
  <c r="C51" i="23"/>
  <c r="C56" i="23"/>
  <c r="C59" i="23"/>
  <c r="C57" i="23"/>
  <c r="O99" i="23"/>
  <c r="B65" i="1"/>
  <c r="N65" i="1" s="1"/>
  <c r="M58" i="1"/>
  <c r="H3" i="23"/>
  <c r="H22" i="24" s="1"/>
  <c r="H34" i="24" s="1"/>
  <c r="G50" i="1"/>
  <c r="G61" i="1" s="1"/>
  <c r="L50" i="1"/>
  <c r="F50" i="1"/>
  <c r="D81" i="23"/>
  <c r="C16" i="1" s="1"/>
  <c r="D80" i="23"/>
  <c r="C15" i="1" s="1"/>
  <c r="C22" i="1" s="1"/>
  <c r="C30" i="1" s="1"/>
  <c r="E57" i="1"/>
  <c r="E141" i="1" s="1"/>
  <c r="E153" i="1" s="1"/>
  <c r="B64" i="19"/>
  <c r="E64" i="19" s="1"/>
  <c r="D71" i="19"/>
  <c r="B75" i="19" s="1"/>
  <c r="E75" i="19" s="1"/>
  <c r="K11" i="23"/>
  <c r="K30" i="24" s="1"/>
  <c r="K42" i="24" s="1"/>
  <c r="J58" i="1"/>
  <c r="K56" i="1"/>
  <c r="D57" i="1"/>
  <c r="D141" i="1" s="1"/>
  <c r="D153" i="1" s="1"/>
  <c r="C70" i="24"/>
  <c r="C118" i="24" s="1"/>
  <c r="O48" i="23"/>
  <c r="O50" i="23" s="1"/>
  <c r="C53" i="23"/>
  <c r="O53" i="23" s="1"/>
  <c r="J55" i="1"/>
  <c r="F35" i="14"/>
  <c r="E6" i="14" s="1"/>
  <c r="D6" i="14"/>
  <c r="C9" i="23"/>
  <c r="O27" i="23"/>
  <c r="B56" i="1"/>
  <c r="B72" i="13"/>
  <c r="E72" i="13" s="1"/>
  <c r="D78" i="13"/>
  <c r="B82" i="13" s="1"/>
  <c r="H44" i="23"/>
  <c r="H54" i="23" s="1"/>
  <c r="G6" i="1" s="1"/>
  <c r="J72" i="13"/>
  <c r="M72" i="13" s="1"/>
  <c r="M78" i="13"/>
  <c r="K82" i="13" s="1"/>
  <c r="O138" i="23"/>
  <c r="B108" i="1"/>
  <c r="N108" i="1" s="1"/>
  <c r="K91" i="1"/>
  <c r="O123" i="23"/>
  <c r="B115" i="1"/>
  <c r="E80" i="23"/>
  <c r="D15" i="1" s="1"/>
  <c r="D22" i="1" s="1"/>
  <c r="D30" i="1" s="1"/>
  <c r="E81" i="23"/>
  <c r="D16" i="1" s="1"/>
  <c r="O149" i="23"/>
  <c r="B97" i="1"/>
  <c r="N97" i="1" s="1"/>
  <c r="H111" i="1"/>
  <c r="I121" i="1"/>
  <c r="O135" i="23"/>
  <c r="D105" i="1"/>
  <c r="N105" i="1" s="1"/>
  <c r="O36" i="23"/>
  <c r="M81" i="23"/>
  <c r="L16" i="1" s="1"/>
  <c r="M80" i="23"/>
  <c r="L15" i="1" s="1"/>
  <c r="L22" i="1" s="1"/>
  <c r="L30" i="1" s="1"/>
  <c r="L81" i="23"/>
  <c r="K16" i="1" s="1"/>
  <c r="L80" i="23"/>
  <c r="K15" i="1" s="1"/>
  <c r="K22" i="1" s="1"/>
  <c r="K30" i="1" s="1"/>
  <c r="O127" i="23"/>
  <c r="B119" i="1"/>
  <c r="N119" i="1" s="1"/>
  <c r="E121" i="1"/>
  <c r="D5" i="23"/>
  <c r="D24" i="24" s="1"/>
  <c r="D36" i="24" s="1"/>
  <c r="C52" i="1"/>
  <c r="J5" i="23"/>
  <c r="J24" i="24" s="1"/>
  <c r="J36" i="24" s="1"/>
  <c r="J5" i="24" s="1"/>
  <c r="I52" i="1"/>
  <c r="I5" i="23"/>
  <c r="I24" i="24" s="1"/>
  <c r="I36" i="24" s="1"/>
  <c r="H52" i="1"/>
  <c r="I22" i="1"/>
  <c r="I30" i="1" s="1"/>
  <c r="M60" i="1"/>
  <c r="H18" i="24"/>
  <c r="G59" i="1"/>
  <c r="C103" i="23"/>
  <c r="O96" i="23"/>
  <c r="F18" i="10"/>
  <c r="M4" i="23"/>
  <c r="M23" i="24" s="1"/>
  <c r="M35" i="24" s="1"/>
  <c r="L51" i="1"/>
  <c r="G7" i="23"/>
  <c r="G26" i="24" s="1"/>
  <c r="G38" i="24" s="1"/>
  <c r="G7" i="24" s="1"/>
  <c r="F54" i="1"/>
  <c r="E53" i="1"/>
  <c r="J53" i="1"/>
  <c r="K51" i="1"/>
  <c r="E11" i="23"/>
  <c r="E30" i="24" s="1"/>
  <c r="E42" i="24" s="1"/>
  <c r="D58" i="1"/>
  <c r="N85" i="1"/>
  <c r="B47" i="14"/>
  <c r="O28" i="23"/>
  <c r="B57" i="1"/>
  <c r="H52" i="23"/>
  <c r="G5" i="1" s="1"/>
  <c r="O126" i="23"/>
  <c r="B118" i="1"/>
  <c r="N118" i="1" s="1"/>
  <c r="I67" i="24"/>
  <c r="I115" i="24" s="1"/>
  <c r="I15" i="24" s="1"/>
  <c r="I58" i="23"/>
  <c r="I57" i="23"/>
  <c r="H8" i="1" s="1"/>
  <c r="I51" i="23"/>
  <c r="H4" i="1" s="1"/>
  <c r="I44" i="23"/>
  <c r="I54" i="23" s="1"/>
  <c r="H6" i="1" s="1"/>
  <c r="H136" i="1" s="1"/>
  <c r="H148" i="1" s="1"/>
  <c r="I59" i="23"/>
  <c r="H10" i="1" s="1"/>
  <c r="H140" i="1" s="1"/>
  <c r="H152" i="1" s="1"/>
  <c r="I55" i="23"/>
  <c r="H7" i="1" s="1"/>
  <c r="H137" i="1" s="1"/>
  <c r="H149" i="1" s="1"/>
  <c r="I52" i="23"/>
  <c r="I56" i="23"/>
  <c r="H9" i="1" s="1"/>
  <c r="D97" i="23"/>
  <c r="D18" i="17"/>
  <c r="D19" i="17" s="1"/>
  <c r="N52" i="23"/>
  <c r="M5" i="1" s="1"/>
  <c r="N51" i="23"/>
  <c r="M4" i="1" s="1"/>
  <c r="N59" i="23"/>
  <c r="M10" i="1" s="1"/>
  <c r="N58" i="23"/>
  <c r="N10" i="23" s="1"/>
  <c r="N29" i="24" s="1"/>
  <c r="N41" i="24" s="1"/>
  <c r="N57" i="23"/>
  <c r="M8" i="1" s="1"/>
  <c r="N56" i="23"/>
  <c r="M9" i="1" s="1"/>
  <c r="M138" i="1" s="1"/>
  <c r="M150" i="1" s="1"/>
  <c r="N55" i="23"/>
  <c r="M7" i="1" s="1"/>
  <c r="M137" i="1" s="1"/>
  <c r="M149" i="1" s="1"/>
  <c r="N67" i="24"/>
  <c r="N115" i="24" s="1"/>
  <c r="N15" i="24" s="1"/>
  <c r="N44" i="23"/>
  <c r="N54" i="23" s="1"/>
  <c r="M6" i="1" s="1"/>
  <c r="J56" i="1"/>
  <c r="K54" i="1"/>
  <c r="F59" i="14"/>
  <c r="E10" i="14" s="1"/>
  <c r="D10" i="14"/>
  <c r="O29" i="23"/>
  <c r="B58" i="1"/>
  <c r="H67" i="23"/>
  <c r="G34" i="1" s="1"/>
  <c r="H66" i="23"/>
  <c r="G33" i="1" s="1"/>
  <c r="N81" i="23"/>
  <c r="M16" i="1" s="1"/>
  <c r="N80" i="23"/>
  <c r="M15" i="1" s="1"/>
  <c r="M22" i="1" s="1"/>
  <c r="M30" i="1" s="1"/>
  <c r="O77" i="23"/>
  <c r="O136" i="23"/>
  <c r="B106" i="1"/>
  <c r="N106" i="1" s="1"/>
  <c r="E67" i="24"/>
  <c r="E115" i="24" s="1"/>
  <c r="E15" i="24" s="1"/>
  <c r="E44" i="23"/>
  <c r="E54" i="23" s="1"/>
  <c r="D6" i="1" s="1"/>
  <c r="E59" i="23"/>
  <c r="D10" i="1" s="1"/>
  <c r="D140" i="1" s="1"/>
  <c r="D152" i="1" s="1"/>
  <c r="E56" i="23"/>
  <c r="D9" i="1" s="1"/>
  <c r="D138" i="1" s="1"/>
  <c r="D150" i="1" s="1"/>
  <c r="E57" i="23"/>
  <c r="D8" i="1" s="1"/>
  <c r="D139" i="1" s="1"/>
  <c r="D151" i="1" s="1"/>
  <c r="E51" i="23"/>
  <c r="D4" i="1" s="1"/>
  <c r="E55" i="23"/>
  <c r="D7" i="1" s="1"/>
  <c r="E58" i="23"/>
  <c r="E10" i="23" s="1"/>
  <c r="E29" i="24" s="1"/>
  <c r="E41" i="24" s="1"/>
  <c r="E10" i="24" s="1"/>
  <c r="E52" i="23"/>
  <c r="D5" i="1" s="1"/>
  <c r="C56" i="1"/>
  <c r="H58" i="1"/>
  <c r="N18" i="24"/>
  <c r="N17" i="24"/>
  <c r="M59" i="1"/>
  <c r="D28" i="18"/>
  <c r="B31" i="18" s="1"/>
  <c r="D19" i="18"/>
  <c r="B22" i="18" s="1"/>
  <c r="D59" i="18"/>
  <c r="B62" i="18" s="1"/>
  <c r="D46" i="18"/>
  <c r="B49" i="18" s="1"/>
  <c r="D68" i="18"/>
  <c r="D37" i="18"/>
  <c r="B40" i="18" s="1"/>
  <c r="E60" i="1"/>
  <c r="E142" i="1" s="1"/>
  <c r="E154" i="1" s="1"/>
  <c r="D12" i="14"/>
  <c r="F71" i="14"/>
  <c r="E12" i="14" s="1"/>
  <c r="C12" i="23"/>
  <c r="O30" i="23"/>
  <c r="B60" i="1"/>
  <c r="O111" i="23"/>
  <c r="M71" i="1"/>
  <c r="K72" i="24"/>
  <c r="K120" i="24" s="1"/>
  <c r="K69" i="23"/>
  <c r="J36" i="1" s="1"/>
  <c r="K71" i="23"/>
  <c r="J38" i="1" s="1"/>
  <c r="K70" i="23"/>
  <c r="J37" i="1" s="1"/>
  <c r="K63" i="23"/>
  <c r="K68" i="23"/>
  <c r="J35" i="1" s="1"/>
  <c r="C57" i="1"/>
  <c r="C141" i="1" s="1"/>
  <c r="C153" i="1" s="1"/>
  <c r="H54" i="1"/>
  <c r="D26" i="22"/>
  <c r="B29" i="22" s="1"/>
  <c r="F29" i="22" s="1"/>
  <c r="D63" i="22"/>
  <c r="D34" i="22"/>
  <c r="B37" i="22" s="1"/>
  <c r="F37" i="22" s="1"/>
  <c r="D18" i="22"/>
  <c r="B21" i="22" s="1"/>
  <c r="F21" i="22" s="1"/>
  <c r="D42" i="22"/>
  <c r="B45" i="22" s="1"/>
  <c r="F45" i="22" s="1"/>
  <c r="D55" i="22"/>
  <c r="B58" i="22" s="1"/>
  <c r="F58" i="22" s="1"/>
  <c r="G57" i="1"/>
  <c r="G141" i="1" s="1"/>
  <c r="G153" i="1" s="1"/>
  <c r="L75" i="19"/>
  <c r="O75" i="19" s="1"/>
  <c r="J44" i="23"/>
  <c r="J54" i="23" s="1"/>
  <c r="I6" i="1" s="1"/>
  <c r="I136" i="1" s="1"/>
  <c r="I148" i="1" s="1"/>
  <c r="L54" i="1"/>
  <c r="F56" i="1"/>
  <c r="F139" i="1" s="1"/>
  <c r="F151" i="1" s="1"/>
  <c r="G9" i="23"/>
  <c r="G28" i="24" s="1"/>
  <c r="G40" i="24" s="1"/>
  <c r="E50" i="1"/>
  <c r="J57" i="1"/>
  <c r="J141" i="1" s="1"/>
  <c r="J153" i="1" s="1"/>
  <c r="K50" i="1"/>
  <c r="E19" i="24"/>
  <c r="E16" i="24"/>
  <c r="E18" i="24"/>
  <c r="D59" i="1"/>
  <c r="D7" i="8"/>
  <c r="F41" i="8"/>
  <c r="E7" i="8" s="1"/>
  <c r="O40" i="23"/>
  <c r="F53" i="5"/>
  <c r="E9" i="5" s="1"/>
  <c r="D9" i="5"/>
  <c r="O21" i="23"/>
  <c r="B50" i="1"/>
  <c r="H56" i="23"/>
  <c r="G9" i="1" s="1"/>
  <c r="D66" i="23"/>
  <c r="C33" i="1" s="1"/>
  <c r="C40" i="1" s="1"/>
  <c r="C47" i="1" s="1"/>
  <c r="D67" i="23"/>
  <c r="C34" i="1" s="1"/>
  <c r="O167" i="23"/>
  <c r="H22" i="1"/>
  <c r="H30" i="1" s="1"/>
  <c r="C55" i="1"/>
  <c r="I8" i="23"/>
  <c r="I27" i="24" s="1"/>
  <c r="I39" i="24" s="1"/>
  <c r="H55" i="1"/>
  <c r="K67" i="24"/>
  <c r="K115" i="24" s="1"/>
  <c r="K19" i="24" s="1"/>
  <c r="K56" i="23"/>
  <c r="J9" i="1" s="1"/>
  <c r="J138" i="1" s="1"/>
  <c r="J150" i="1" s="1"/>
  <c r="K44" i="23"/>
  <c r="K54" i="23" s="1"/>
  <c r="J6" i="1" s="1"/>
  <c r="K59" i="23"/>
  <c r="J10" i="1" s="1"/>
  <c r="K58" i="23"/>
  <c r="K10" i="23" s="1"/>
  <c r="K29" i="24" s="1"/>
  <c r="K41" i="24" s="1"/>
  <c r="K57" i="23"/>
  <c r="J8" i="1" s="1"/>
  <c r="K51" i="23"/>
  <c r="J4" i="1" s="1"/>
  <c r="K55" i="23"/>
  <c r="J7" i="1" s="1"/>
  <c r="K52" i="23"/>
  <c r="J5" i="1" s="1"/>
  <c r="N9" i="23"/>
  <c r="N28" i="24" s="1"/>
  <c r="N40" i="24" s="1"/>
  <c r="M56" i="1"/>
  <c r="C72" i="24"/>
  <c r="C120" i="24" s="1"/>
  <c r="O62" i="23"/>
  <c r="O63" i="23" s="1"/>
  <c r="C71" i="23"/>
  <c r="C11" i="23" s="1"/>
  <c r="C69" i="23"/>
  <c r="C63" i="23"/>
  <c r="C70" i="23"/>
  <c r="C68" i="23"/>
  <c r="M5" i="23"/>
  <c r="M24" i="24" s="1"/>
  <c r="M36" i="24" s="1"/>
  <c r="L52" i="1"/>
  <c r="G10" i="23"/>
  <c r="G29" i="24" s="1"/>
  <c r="G41" i="24" s="1"/>
  <c r="G10" i="24" s="1"/>
  <c r="F57" i="1"/>
  <c r="F141" i="1" s="1"/>
  <c r="F153" i="1" s="1"/>
  <c r="E56" i="1"/>
  <c r="I60" i="23"/>
  <c r="H11" i="1" s="1"/>
  <c r="D60" i="1"/>
  <c r="D127" i="1" s="1"/>
  <c r="D129" i="1" s="1"/>
  <c r="G137" i="1"/>
  <c r="G149" i="1" s="1"/>
  <c r="O148" i="23"/>
  <c r="B96" i="1"/>
  <c r="N96" i="1" s="1"/>
  <c r="O115" i="23"/>
  <c r="B89" i="1"/>
  <c r="N89" i="1" s="1"/>
  <c r="G81" i="1"/>
  <c r="O35" i="23"/>
  <c r="O125" i="23"/>
  <c r="B117" i="1"/>
  <c r="N117" i="1" s="1"/>
  <c r="F67" i="23"/>
  <c r="E34" i="1" s="1"/>
  <c r="F66" i="23"/>
  <c r="E33" i="1" s="1"/>
  <c r="E40" i="1" s="1"/>
  <c r="E47" i="1" s="1"/>
  <c r="O85" i="23"/>
  <c r="B20" i="1"/>
  <c r="N20" i="1" s="1"/>
  <c r="B68" i="1"/>
  <c r="X72" i="22"/>
  <c r="V76" i="22" s="1"/>
  <c r="Y76" i="22" s="1"/>
  <c r="V66" i="22"/>
  <c r="Z66" i="22" s="1"/>
  <c r="D50" i="1"/>
  <c r="M6" i="23"/>
  <c r="M25" i="24" s="1"/>
  <c r="M37" i="24" s="1"/>
  <c r="L53" i="1"/>
  <c r="F53" i="1"/>
  <c r="G6" i="23"/>
  <c r="G25" i="24" s="1"/>
  <c r="G37" i="24" s="1"/>
  <c r="G6" i="24" s="1"/>
  <c r="J54" i="1"/>
  <c r="J60" i="23"/>
  <c r="I11" i="1" s="1"/>
  <c r="K57" i="1"/>
  <c r="K141" i="1" s="1"/>
  <c r="K153" i="1" s="1"/>
  <c r="D53" i="1"/>
  <c r="C116" i="23"/>
  <c r="L116" i="23"/>
  <c r="K90" i="1" s="1"/>
  <c r="K127" i="1" s="1"/>
  <c r="K129" i="1" s="1"/>
  <c r="K116" i="23"/>
  <c r="J90" i="1" s="1"/>
  <c r="J116" i="23"/>
  <c r="I90" i="1" s="1"/>
  <c r="I116" i="23"/>
  <c r="H90" i="1" s="1"/>
  <c r="H116" i="23"/>
  <c r="G90" i="1" s="1"/>
  <c r="G116" i="23"/>
  <c r="F90" i="1" s="1"/>
  <c r="D116" i="23"/>
  <c r="C90" i="1" s="1"/>
  <c r="N116" i="23"/>
  <c r="M90" i="1" s="1"/>
  <c r="M116" i="23"/>
  <c r="L90" i="1" s="1"/>
  <c r="F116" i="23"/>
  <c r="E90" i="1" s="1"/>
  <c r="E116" i="23"/>
  <c r="D90" i="1" s="1"/>
  <c r="D11" i="5"/>
  <c r="F65" i="5"/>
  <c r="E11" i="5" s="1"/>
  <c r="H58" i="23"/>
  <c r="H10" i="23" s="1"/>
  <c r="H29" i="24" s="1"/>
  <c r="H41" i="24" s="1"/>
  <c r="J59" i="23"/>
  <c r="I10" i="1" s="1"/>
  <c r="O163" i="23"/>
  <c r="B75" i="1"/>
  <c r="O114" i="23"/>
  <c r="B88" i="1"/>
  <c r="N88" i="1" s="1"/>
  <c r="O151" i="23"/>
  <c r="B99" i="1"/>
  <c r="N99" i="1" s="1"/>
  <c r="O165" i="23"/>
  <c r="B77" i="1"/>
  <c r="N77" i="1" s="1"/>
  <c r="F111" i="1"/>
  <c r="G101" i="1"/>
  <c r="O113" i="23"/>
  <c r="B87" i="1"/>
  <c r="N87" i="1" s="1"/>
  <c r="L121" i="1"/>
  <c r="D79" i="21"/>
  <c r="B83" i="21" s="1"/>
  <c r="E83" i="21" s="1"/>
  <c r="B73" i="21"/>
  <c r="E73" i="21" s="1"/>
  <c r="B62" i="4"/>
  <c r="B65" i="4" s="1"/>
  <c r="B38" i="4"/>
  <c r="B41" i="4" s="1"/>
  <c r="B50" i="4"/>
  <c r="B53" i="4" s="1"/>
  <c r="B20" i="4"/>
  <c r="B23" i="4" s="1"/>
  <c r="B68" i="4"/>
  <c r="B71" i="4" s="1"/>
  <c r="B74" i="4"/>
  <c r="B77" i="4" s="1"/>
  <c r="B44" i="4"/>
  <c r="B47" i="4" s="1"/>
  <c r="B26" i="4"/>
  <c r="B29" i="4" s="1"/>
  <c r="B56" i="4"/>
  <c r="B59" i="4" s="1"/>
  <c r="B32" i="4"/>
  <c r="B35" i="4" s="1"/>
  <c r="C58" i="1"/>
  <c r="H81" i="23"/>
  <c r="G16" i="1" s="1"/>
  <c r="H80" i="23"/>
  <c r="G15" i="1" s="1"/>
  <c r="G22" i="1" s="1"/>
  <c r="G30" i="1" s="1"/>
  <c r="N77" i="18"/>
  <c r="L81" i="18" s="1"/>
  <c r="O81" i="18" s="1"/>
  <c r="L71" i="18"/>
  <c r="I10" i="23"/>
  <c r="I29" i="24" s="1"/>
  <c r="I41" i="24" s="1"/>
  <c r="H57" i="1"/>
  <c r="H141" i="1" s="1"/>
  <c r="H153" i="1" s="1"/>
  <c r="N3" i="23"/>
  <c r="N22" i="24" s="1"/>
  <c r="N34" i="24" s="1"/>
  <c r="M50" i="1"/>
  <c r="H5" i="23"/>
  <c r="H24" i="24" s="1"/>
  <c r="H36" i="24" s="1"/>
  <c r="H5" i="24" s="1"/>
  <c r="G52" i="1"/>
  <c r="B23" i="8"/>
  <c r="G128" i="23"/>
  <c r="F120" i="1" s="1"/>
  <c r="D128" i="23"/>
  <c r="C120" i="1" s="1"/>
  <c r="L128" i="23"/>
  <c r="K120" i="1" s="1"/>
  <c r="J128" i="23"/>
  <c r="I120" i="1" s="1"/>
  <c r="I128" i="23"/>
  <c r="H120" i="1" s="1"/>
  <c r="H128" i="23"/>
  <c r="G120" i="1" s="1"/>
  <c r="G142" i="1" s="1"/>
  <c r="G154" i="1" s="1"/>
  <c r="F128" i="23"/>
  <c r="E120" i="1" s="1"/>
  <c r="E127" i="1" s="1"/>
  <c r="E129" i="1" s="1"/>
  <c r="E128" i="23"/>
  <c r="D120" i="1" s="1"/>
  <c r="C128" i="23"/>
  <c r="N128" i="23"/>
  <c r="M120" i="1" s="1"/>
  <c r="M128" i="23"/>
  <c r="L120" i="1" s="1"/>
  <c r="K128" i="23"/>
  <c r="J120" i="1" s="1"/>
  <c r="J58" i="23"/>
  <c r="J10" i="23" s="1"/>
  <c r="J29" i="24" s="1"/>
  <c r="J41" i="24" s="1"/>
  <c r="M8" i="23"/>
  <c r="M27" i="24" s="1"/>
  <c r="M39" i="24" s="1"/>
  <c r="L55" i="1"/>
  <c r="F60" i="1"/>
  <c r="F142" i="1" s="1"/>
  <c r="F154" i="1" s="1"/>
  <c r="F8" i="23"/>
  <c r="F27" i="24" s="1"/>
  <c r="F39" i="24" s="1"/>
  <c r="F8" i="24" s="1"/>
  <c r="E55" i="1"/>
  <c r="F137" i="1"/>
  <c r="F149" i="1" s="1"/>
  <c r="J50" i="1"/>
  <c r="K60" i="23"/>
  <c r="J11" i="1" s="1"/>
  <c r="K58" i="1"/>
  <c r="E67" i="23"/>
  <c r="D34" i="1" s="1"/>
  <c r="E66" i="23"/>
  <c r="D33" i="1" s="1"/>
  <c r="D40" i="1" s="1"/>
  <c r="D47" i="1" s="1"/>
  <c r="F41" i="5"/>
  <c r="E7" i="5" s="1"/>
  <c r="D7" i="5"/>
  <c r="O22" i="23"/>
  <c r="C4" i="23"/>
  <c r="B51" i="1"/>
  <c r="H51" i="23"/>
  <c r="G4" i="1" s="1"/>
  <c r="J111" i="1"/>
  <c r="O146" i="23"/>
  <c r="B94" i="1"/>
  <c r="J101" i="1"/>
  <c r="O112" i="23"/>
  <c r="B86" i="1"/>
  <c r="O134" i="23"/>
  <c r="B104" i="1"/>
  <c r="K111" i="1"/>
  <c r="O140" i="23"/>
  <c r="B110" i="1"/>
  <c r="N110" i="1" s="1"/>
  <c r="F22" i="1"/>
  <c r="F30" i="1" s="1"/>
  <c r="J91" i="1"/>
  <c r="I51" i="1"/>
  <c r="D12" i="23"/>
  <c r="D31" i="24" s="1"/>
  <c r="D43" i="24" s="1"/>
  <c r="D12" i="24" s="1"/>
  <c r="C60" i="1"/>
  <c r="C127" i="1" s="1"/>
  <c r="C129" i="1" s="1"/>
  <c r="O152" i="23"/>
  <c r="B100" i="1"/>
  <c r="N100" i="1" s="1"/>
  <c r="I3" i="23"/>
  <c r="I22" i="24" s="1"/>
  <c r="I34" i="24" s="1"/>
  <c r="H50" i="1"/>
  <c r="L67" i="24"/>
  <c r="L115" i="24" s="1"/>
  <c r="L15" i="24" s="1"/>
  <c r="L55" i="23"/>
  <c r="K7" i="1" s="1"/>
  <c r="L52" i="23"/>
  <c r="K5" i="1" s="1"/>
  <c r="L51" i="23"/>
  <c r="K4" i="1" s="1"/>
  <c r="L57" i="23"/>
  <c r="K8" i="1" s="1"/>
  <c r="K139" i="1" s="1"/>
  <c r="K151" i="1" s="1"/>
  <c r="L44" i="23"/>
  <c r="L54" i="23" s="1"/>
  <c r="K6" i="1" s="1"/>
  <c r="L58" i="23"/>
  <c r="L10" i="23" s="1"/>
  <c r="L29" i="24" s="1"/>
  <c r="L41" i="24" s="1"/>
  <c r="L59" i="23"/>
  <c r="K10" i="1" s="1"/>
  <c r="K140" i="1" s="1"/>
  <c r="K152" i="1" s="1"/>
  <c r="L56" i="23"/>
  <c r="C72" i="23"/>
  <c r="N6" i="23"/>
  <c r="N25" i="24" s="1"/>
  <c r="N37" i="24" s="1"/>
  <c r="M53" i="1"/>
  <c r="H8" i="23"/>
  <c r="H27" i="24" s="1"/>
  <c r="H39" i="24" s="1"/>
  <c r="G55" i="1"/>
  <c r="F71" i="8"/>
  <c r="E12" i="8" s="1"/>
  <c r="D12" i="8"/>
  <c r="J51" i="23"/>
  <c r="I4" i="1" s="1"/>
  <c r="L56" i="1"/>
  <c r="G4" i="23"/>
  <c r="G23" i="24" s="1"/>
  <c r="G35" i="24" s="1"/>
  <c r="G4" i="24" s="1"/>
  <c r="F51" i="1"/>
  <c r="N71" i="19"/>
  <c r="L64" i="19"/>
  <c r="O64" i="19" s="1"/>
  <c r="F11" i="23"/>
  <c r="F30" i="24" s="1"/>
  <c r="F42" i="24" s="1"/>
  <c r="F11" i="24" s="1"/>
  <c r="E58" i="1"/>
  <c r="J60" i="1"/>
  <c r="L18" i="24"/>
  <c r="K59" i="1"/>
  <c r="B77" i="14"/>
  <c r="B23" i="5"/>
  <c r="O23" i="23"/>
  <c r="C5" i="23"/>
  <c r="B52" i="1"/>
  <c r="H57" i="23"/>
  <c r="G8" i="1" s="1"/>
  <c r="O147" i="23"/>
  <c r="B95" i="1"/>
  <c r="N95" i="1" s="1"/>
  <c r="O110" i="23"/>
  <c r="D84" i="1"/>
  <c r="M67" i="24"/>
  <c r="M115" i="24" s="1"/>
  <c r="M19" i="24" s="1"/>
  <c r="M52" i="23"/>
  <c r="L5" i="1" s="1"/>
  <c r="M51" i="23"/>
  <c r="L4" i="1" s="1"/>
  <c r="M59" i="23"/>
  <c r="L10" i="1" s="1"/>
  <c r="L140" i="1" s="1"/>
  <c r="L152" i="1" s="1"/>
  <c r="M58" i="23"/>
  <c r="M57" i="23"/>
  <c r="L8" i="1" s="1"/>
  <c r="M56" i="23"/>
  <c r="L9" i="1" s="1"/>
  <c r="M55" i="23"/>
  <c r="L7" i="1" s="1"/>
  <c r="L137" i="1" s="1"/>
  <c r="L149" i="1" s="1"/>
  <c r="M44" i="23"/>
  <c r="M54" i="23" s="1"/>
  <c r="L6" i="1" s="1"/>
  <c r="F80" i="23"/>
  <c r="E15" i="1" s="1"/>
  <c r="F81" i="23"/>
  <c r="E16" i="1" s="1"/>
  <c r="O65" i="23"/>
  <c r="I50" i="1"/>
  <c r="D6" i="23"/>
  <c r="D25" i="24" s="1"/>
  <c r="D37" i="24" s="1"/>
  <c r="D6" i="24" s="1"/>
  <c r="C53" i="1"/>
  <c r="C61" i="1" s="1"/>
  <c r="I57" i="1"/>
  <c r="I141" i="1" s="1"/>
  <c r="I153" i="1" s="1"/>
  <c r="H53" i="1"/>
  <c r="M67" i="23"/>
  <c r="L34" i="1" s="1"/>
  <c r="M66" i="23"/>
  <c r="L33" i="1" s="1"/>
  <c r="L40" i="1" s="1"/>
  <c r="L47" i="1" s="1"/>
  <c r="F67" i="24"/>
  <c r="F115" i="24" s="1"/>
  <c r="F59" i="23"/>
  <c r="E10" i="1" s="1"/>
  <c r="F56" i="23"/>
  <c r="E9" i="1" s="1"/>
  <c r="F57" i="23"/>
  <c r="E8" i="1" s="1"/>
  <c r="E139" i="1" s="1"/>
  <c r="E151" i="1" s="1"/>
  <c r="F51" i="23"/>
  <c r="E4" i="1" s="1"/>
  <c r="F58" i="23"/>
  <c r="F10" i="23" s="1"/>
  <c r="F29" i="24" s="1"/>
  <c r="F41" i="24" s="1"/>
  <c r="F10" i="24" s="1"/>
  <c r="F55" i="23"/>
  <c r="E7" i="1" s="1"/>
  <c r="E137" i="1" s="1"/>
  <c r="E149" i="1" s="1"/>
  <c r="F52" i="23"/>
  <c r="E5" i="1" s="1"/>
  <c r="F44" i="23"/>
  <c r="F54" i="23" s="1"/>
  <c r="E6" i="1" s="1"/>
  <c r="N5" i="23"/>
  <c r="N24" i="24" s="1"/>
  <c r="N36" i="24" s="1"/>
  <c r="M52" i="1"/>
  <c r="G58" i="1"/>
  <c r="B47" i="8"/>
  <c r="O82" i="23"/>
  <c r="B17" i="1"/>
  <c r="N17" i="1" s="1"/>
  <c r="J52" i="23"/>
  <c r="I5" i="1" s="1"/>
  <c r="M10" i="23"/>
  <c r="M29" i="24" s="1"/>
  <c r="M41" i="24" s="1"/>
  <c r="L57" i="1"/>
  <c r="L141" i="1" s="1"/>
  <c r="L153" i="1" s="1"/>
  <c r="G18" i="24"/>
  <c r="G17" i="24"/>
  <c r="G19" i="24"/>
  <c r="G16" i="24"/>
  <c r="G15" i="24"/>
  <c r="F59" i="1"/>
  <c r="F19" i="24"/>
  <c r="F18" i="24"/>
  <c r="F15" i="24"/>
  <c r="F16" i="24"/>
  <c r="F17" i="24"/>
  <c r="E59" i="1"/>
  <c r="AF66" i="22"/>
  <c r="AJ66" i="22" s="1"/>
  <c r="AH72" i="22"/>
  <c r="AF76" i="22" s="1"/>
  <c r="AI76" i="22" s="1"/>
  <c r="K18" i="24"/>
  <c r="J59" i="1"/>
  <c r="N60" i="23"/>
  <c r="M11" i="1" s="1"/>
  <c r="E4" i="23"/>
  <c r="E23" i="24" s="1"/>
  <c r="E35" i="24" s="1"/>
  <c r="D51" i="1"/>
  <c r="J67" i="23"/>
  <c r="I34" i="1" s="1"/>
  <c r="J66" i="23"/>
  <c r="I33" i="1" s="1"/>
  <c r="I40" i="1" s="1"/>
  <c r="I47" i="1" s="1"/>
  <c r="F41" i="14"/>
  <c r="E7" i="14" s="1"/>
  <c r="D7" i="14"/>
  <c r="D6" i="5"/>
  <c r="F35" i="5"/>
  <c r="E6" i="5" s="1"/>
  <c r="O24" i="23"/>
  <c r="B53" i="1"/>
  <c r="E91" i="1"/>
  <c r="H59" i="23"/>
  <c r="G10" i="1" s="1"/>
  <c r="G140" i="1" s="1"/>
  <c r="G152" i="1" s="1"/>
  <c r="F12" i="1"/>
  <c r="D70" i="11"/>
  <c r="B74" i="11" s="1"/>
  <c r="D50" i="11"/>
  <c r="B54" i="11" s="1"/>
  <c r="D38" i="11"/>
  <c r="B42" i="11" s="1"/>
  <c r="D28" i="11"/>
  <c r="B32" i="11" s="1"/>
  <c r="D80" i="11"/>
  <c r="B84" i="11" s="1"/>
  <c r="D60" i="11"/>
  <c r="B64" i="11" s="1"/>
  <c r="D18" i="11"/>
  <c r="B22" i="11" s="1"/>
  <c r="F5" i="23"/>
  <c r="F24" i="24" s="1"/>
  <c r="F36" i="24" s="1"/>
  <c r="F5" i="24" s="1"/>
  <c r="E52" i="1"/>
  <c r="F140" i="1"/>
  <c r="F152" i="1" s="1"/>
  <c r="F127" i="1"/>
  <c r="F129" i="1" s="1"/>
  <c r="E5" i="23"/>
  <c r="E24" i="24" s="1"/>
  <c r="E36" i="24" s="1"/>
  <c r="E5" i="24" s="1"/>
  <c r="D52" i="1"/>
  <c r="B65" i="14"/>
  <c r="B47" i="5"/>
  <c r="O25" i="23"/>
  <c r="C7" i="23"/>
  <c r="B54" i="1"/>
  <c r="H67" i="24"/>
  <c r="H115" i="24" s="1"/>
  <c r="H19" i="24" s="1"/>
  <c r="H91" i="1"/>
  <c r="B15" i="1"/>
  <c r="O39" i="23"/>
  <c r="O164" i="23"/>
  <c r="B76" i="1"/>
  <c r="N76" i="1" s="1"/>
  <c r="D67" i="24"/>
  <c r="D115" i="24" s="1"/>
  <c r="D19" i="24" s="1"/>
  <c r="D51" i="23"/>
  <c r="D44" i="23"/>
  <c r="D54" i="23" s="1"/>
  <c r="C6" i="1" s="1"/>
  <c r="D59" i="23"/>
  <c r="C10" i="1" s="1"/>
  <c r="C140" i="1" s="1"/>
  <c r="C152" i="1" s="1"/>
  <c r="D56" i="23"/>
  <c r="C9" i="1" s="1"/>
  <c r="C138" i="1" s="1"/>
  <c r="C150" i="1" s="1"/>
  <c r="D57" i="23"/>
  <c r="C8" i="1" s="1"/>
  <c r="D55" i="23"/>
  <c r="C7" i="1" s="1"/>
  <c r="C137" i="1" s="1"/>
  <c r="C149" i="1" s="1"/>
  <c r="D58" i="23"/>
  <c r="D10" i="23" s="1"/>
  <c r="D29" i="24" s="1"/>
  <c r="D41" i="24" s="1"/>
  <c r="D10" i="24" s="1"/>
  <c r="D52" i="23"/>
  <c r="C5" i="1" s="1"/>
  <c r="O102" i="23"/>
  <c r="B70" i="1"/>
  <c r="N70" i="1" s="1"/>
  <c r="I67" i="23"/>
  <c r="H34" i="1" s="1"/>
  <c r="I66" i="23"/>
  <c r="H33" i="1" s="1"/>
  <c r="O87" i="23"/>
  <c r="I53" i="1"/>
  <c r="C54" i="1"/>
  <c r="D121" i="1"/>
  <c r="I9" i="23"/>
  <c r="I28" i="24" s="1"/>
  <c r="I40" i="24" s="1"/>
  <c r="H56" i="1"/>
  <c r="M55" i="1"/>
  <c r="G51" i="1"/>
  <c r="B77" i="8"/>
  <c r="J55" i="23"/>
  <c r="M16" i="24"/>
  <c r="M18" i="24"/>
  <c r="M15" i="24"/>
  <c r="L59" i="1"/>
  <c r="G111" i="1"/>
  <c r="D81" i="1"/>
  <c r="N74" i="1"/>
  <c r="C111" i="1"/>
  <c r="N66" i="23"/>
  <c r="M33" i="1" s="1"/>
  <c r="N67" i="23"/>
  <c r="M34" i="1" s="1"/>
  <c r="O84" i="23"/>
  <c r="B19" i="1"/>
  <c r="N19" i="1" s="1"/>
  <c r="F81" i="1"/>
  <c r="O139" i="23"/>
  <c r="J9" i="23"/>
  <c r="J28" i="24" s="1"/>
  <c r="J40" i="24" s="1"/>
  <c r="I56" i="1"/>
  <c r="D17" i="24"/>
  <c r="D16" i="24"/>
  <c r="D18" i="24"/>
  <c r="D15" i="24"/>
  <c r="C59" i="1"/>
  <c r="M18" i="11"/>
  <c r="K22" i="11" s="1"/>
  <c r="M38" i="11"/>
  <c r="K42" i="11" s="1"/>
  <c r="M28" i="11"/>
  <c r="K32" i="11" s="1"/>
  <c r="M50" i="11"/>
  <c r="K54" i="11" s="1"/>
  <c r="M80" i="11"/>
  <c r="K84" i="11" s="1"/>
  <c r="M60" i="11"/>
  <c r="K64" i="11" s="1"/>
  <c r="M70" i="11"/>
  <c r="K74" i="11" s="1"/>
  <c r="H60" i="1"/>
  <c r="O162" i="23"/>
  <c r="O101" i="23"/>
  <c r="B69" i="1"/>
  <c r="N69" i="1" s="1"/>
  <c r="N4" i="23"/>
  <c r="N23" i="24" s="1"/>
  <c r="N35" i="24" s="1"/>
  <c r="M51" i="1"/>
  <c r="G53" i="1"/>
  <c r="D11" i="8"/>
  <c r="F65" i="8"/>
  <c r="E11" i="8" s="1"/>
  <c r="F52" i="1"/>
  <c r="G5" i="23"/>
  <c r="G24" i="24" s="1"/>
  <c r="G36" i="24" s="1"/>
  <c r="G5" i="24" s="1"/>
  <c r="O14" i="10"/>
  <c r="C60" i="23"/>
  <c r="L5" i="23"/>
  <c r="L24" i="24" s="1"/>
  <c r="L36" i="24" s="1"/>
  <c r="K52" i="1"/>
  <c r="E7" i="23"/>
  <c r="E26" i="24" s="1"/>
  <c r="E38" i="24" s="1"/>
  <c r="D54" i="1"/>
  <c r="J11" i="23"/>
  <c r="J30" i="24" s="1"/>
  <c r="J42" i="24" s="1"/>
  <c r="I58" i="1"/>
  <c r="B53" i="14"/>
  <c r="L67" i="23"/>
  <c r="K34" i="1" s="1"/>
  <c r="L66" i="23"/>
  <c r="K33" i="1" s="1"/>
  <c r="B59" i="5"/>
  <c r="O26" i="23"/>
  <c r="C8" i="23"/>
  <c r="B55" i="1"/>
  <c r="C30" i="24" l="1"/>
  <c r="H10" i="24"/>
  <c r="K10" i="24"/>
  <c r="J9" i="24"/>
  <c r="C28" i="24"/>
  <c r="O9" i="23"/>
  <c r="N6" i="24"/>
  <c r="D12" i="4"/>
  <c r="F71" i="4"/>
  <c r="E12" i="4" s="1"/>
  <c r="O52" i="23"/>
  <c r="B5" i="1"/>
  <c r="D6" i="9"/>
  <c r="F35" i="9"/>
  <c r="E6" i="9" s="1"/>
  <c r="B26" i="7"/>
  <c r="D31" i="7"/>
  <c r="J11" i="24"/>
  <c r="M17" i="24"/>
  <c r="M4" i="24" s="1"/>
  <c r="N53" i="1"/>
  <c r="K15" i="24"/>
  <c r="E138" i="1"/>
  <c r="E150" i="1" s="1"/>
  <c r="J3" i="23"/>
  <c r="J22" i="24" s="1"/>
  <c r="J34" i="24" s="1"/>
  <c r="F77" i="14"/>
  <c r="E13" i="14" s="1"/>
  <c r="D13" i="14"/>
  <c r="O72" i="23"/>
  <c r="B39" i="1"/>
  <c r="N39" i="1" s="1"/>
  <c r="G12" i="23"/>
  <c r="G31" i="24" s="1"/>
  <c r="G43" i="24" s="1"/>
  <c r="G12" i="24" s="1"/>
  <c r="F23" i="4"/>
  <c r="E4" i="4" s="1"/>
  <c r="D4" i="4"/>
  <c r="O116" i="23"/>
  <c r="B90" i="1"/>
  <c r="N90" i="1" s="1"/>
  <c r="M6" i="24"/>
  <c r="F9" i="23"/>
  <c r="F28" i="24" s="1"/>
  <c r="F40" i="24" s="1"/>
  <c r="F9" i="24" s="1"/>
  <c r="I8" i="24"/>
  <c r="L3" i="23"/>
  <c r="L22" i="24" s="1"/>
  <c r="L34" i="24" s="1"/>
  <c r="K67" i="23"/>
  <c r="J34" i="1" s="1"/>
  <c r="J136" i="1" s="1"/>
  <c r="J148" i="1" s="1"/>
  <c r="K66" i="23"/>
  <c r="M139" i="1"/>
  <c r="M151" i="1" s="1"/>
  <c r="H135" i="1"/>
  <c r="H12" i="1"/>
  <c r="H124" i="1" s="1"/>
  <c r="H126" i="1" s="1"/>
  <c r="N11" i="23"/>
  <c r="N30" i="24" s="1"/>
  <c r="N42" i="24" s="1"/>
  <c r="N11" i="24" s="1"/>
  <c r="F59" i="9"/>
  <c r="E10" i="9" s="1"/>
  <c r="D10" i="9"/>
  <c r="K5" i="24"/>
  <c r="N7" i="23"/>
  <c r="N26" i="24" s="1"/>
  <c r="N38" i="24" s="1"/>
  <c r="N7" i="24" s="1"/>
  <c r="D135" i="1"/>
  <c r="D12" i="1"/>
  <c r="L12" i="24"/>
  <c r="N104" i="1"/>
  <c r="N111" i="1" s="1"/>
  <c r="B111" i="1"/>
  <c r="K61" i="1"/>
  <c r="D7" i="23"/>
  <c r="D26" i="24" s="1"/>
  <c r="D38" i="24" s="1"/>
  <c r="D7" i="24" s="1"/>
  <c r="K9" i="1"/>
  <c r="K138" i="1" s="1"/>
  <c r="K150" i="1" s="1"/>
  <c r="L8" i="23"/>
  <c r="L27" i="24" s="1"/>
  <c r="L39" i="24" s="1"/>
  <c r="L8" i="24" s="1"/>
  <c r="N86" i="1"/>
  <c r="B91" i="1"/>
  <c r="D61" i="1"/>
  <c r="E3" i="23"/>
  <c r="E22" i="24" s="1"/>
  <c r="E34" i="24" s="1"/>
  <c r="E3" i="24" s="1"/>
  <c r="F29" i="9"/>
  <c r="E5" i="9" s="1"/>
  <c r="D5" i="9"/>
  <c r="F4" i="24"/>
  <c r="I7" i="1"/>
  <c r="I137" i="1" s="1"/>
  <c r="I149" i="1" s="1"/>
  <c r="J7" i="23"/>
  <c r="J26" i="24" s="1"/>
  <c r="J38" i="24" s="1"/>
  <c r="J7" i="24" s="1"/>
  <c r="J6" i="23"/>
  <c r="J25" i="24" s="1"/>
  <c r="J37" i="24" s="1"/>
  <c r="J6" i="24" s="1"/>
  <c r="D11" i="4"/>
  <c r="F65" i="4"/>
  <c r="E11" i="4" s="1"/>
  <c r="J137" i="1"/>
  <c r="J149" i="1" s="1"/>
  <c r="E61" i="1"/>
  <c r="B71" i="18"/>
  <c r="D77" i="18"/>
  <c r="B81" i="18" s="1"/>
  <c r="E81" i="18" s="1"/>
  <c r="I11" i="23"/>
  <c r="I30" i="24" s="1"/>
  <c r="I42" i="24" s="1"/>
  <c r="I11" i="24" s="1"/>
  <c r="M12" i="1"/>
  <c r="M135" i="1"/>
  <c r="L4" i="23"/>
  <c r="L23" i="24" s="1"/>
  <c r="L35" i="24" s="1"/>
  <c r="O57" i="23"/>
  <c r="B8" i="1"/>
  <c r="N16" i="1"/>
  <c r="F41" i="9"/>
  <c r="E7" i="9" s="1"/>
  <c r="D7" i="9"/>
  <c r="H7" i="24"/>
  <c r="G8" i="24"/>
  <c r="C24" i="24"/>
  <c r="O5" i="23"/>
  <c r="F47" i="4"/>
  <c r="E8" i="4" s="1"/>
  <c r="D8" i="4"/>
  <c r="E12" i="23"/>
  <c r="E31" i="24" s="1"/>
  <c r="E43" i="24" s="1"/>
  <c r="E12" i="24" s="1"/>
  <c r="C31" i="24"/>
  <c r="O12" i="23"/>
  <c r="O58" i="23"/>
  <c r="D4" i="9"/>
  <c r="F23" i="9"/>
  <c r="E4" i="9" s="1"/>
  <c r="N64" i="1"/>
  <c r="M142" i="1"/>
  <c r="M154" i="1" s="1"/>
  <c r="M127" i="1"/>
  <c r="M129" i="1" s="1"/>
  <c r="F77" i="4"/>
  <c r="E13" i="4" s="1"/>
  <c r="D13" i="4"/>
  <c r="N58" i="1"/>
  <c r="K11" i="24"/>
  <c r="O54" i="23"/>
  <c r="B6" i="1"/>
  <c r="L6" i="23"/>
  <c r="L25" i="24" s="1"/>
  <c r="L37" i="24" s="1"/>
  <c r="L6" i="24" s="1"/>
  <c r="K17" i="24"/>
  <c r="K4" i="24" s="1"/>
  <c r="F47" i="8"/>
  <c r="E8" i="8" s="1"/>
  <c r="D8" i="8"/>
  <c r="D136" i="1"/>
  <c r="D148" i="1" s="1"/>
  <c r="H139" i="1"/>
  <c r="H151" i="1" s="1"/>
  <c r="M12" i="24"/>
  <c r="N4" i="24"/>
  <c r="L17" i="24"/>
  <c r="M8" i="24"/>
  <c r="F41" i="4"/>
  <c r="E7" i="4" s="1"/>
  <c r="D7" i="4"/>
  <c r="E6" i="23"/>
  <c r="E25" i="24" s="1"/>
  <c r="E37" i="24" s="1"/>
  <c r="E6" i="24" s="1"/>
  <c r="D8" i="23"/>
  <c r="D27" i="24" s="1"/>
  <c r="D39" i="24" s="1"/>
  <c r="D8" i="24" s="1"/>
  <c r="N55" i="1"/>
  <c r="L5" i="24"/>
  <c r="M40" i="1"/>
  <c r="M47" i="1" s="1"/>
  <c r="F77" i="8"/>
  <c r="E13" i="8" s="1"/>
  <c r="D13" i="8"/>
  <c r="C4" i="1"/>
  <c r="D3" i="23"/>
  <c r="D22" i="24" s="1"/>
  <c r="D34" i="24" s="1"/>
  <c r="D3" i="24" s="1"/>
  <c r="D8" i="5"/>
  <c r="F47" i="5"/>
  <c r="E8" i="5" s="1"/>
  <c r="K16" i="24"/>
  <c r="L16" i="24"/>
  <c r="M9" i="23"/>
  <c r="M28" i="24" s="1"/>
  <c r="M40" i="24" s="1"/>
  <c r="M9" i="24" s="1"/>
  <c r="K136" i="1"/>
  <c r="K148" i="1" s="1"/>
  <c r="B101" i="1"/>
  <c r="N94" i="1"/>
  <c r="N101" i="1" s="1"/>
  <c r="L11" i="23"/>
  <c r="L30" i="24" s="1"/>
  <c r="L42" i="24" s="1"/>
  <c r="L11" i="24" s="1"/>
  <c r="M5" i="24"/>
  <c r="J12" i="1"/>
  <c r="F3" i="23"/>
  <c r="F22" i="24" s="1"/>
  <c r="F34" i="24" s="1"/>
  <c r="F3" i="24" s="1"/>
  <c r="L7" i="23"/>
  <c r="L26" i="24" s="1"/>
  <c r="L38" i="24" s="1"/>
  <c r="L7" i="24" s="1"/>
  <c r="H15" i="24"/>
  <c r="H8" i="24" s="1"/>
  <c r="O59" i="23"/>
  <c r="B10" i="1"/>
  <c r="O81" i="23"/>
  <c r="F53" i="9"/>
  <c r="E9" i="9" s="1"/>
  <c r="D9" i="9"/>
  <c r="J19" i="24"/>
  <c r="J10" i="24" s="1"/>
  <c r="N59" i="1"/>
  <c r="J8" i="24"/>
  <c r="J12" i="23"/>
  <c r="J31" i="24" s="1"/>
  <c r="J43" i="24" s="1"/>
  <c r="J12" i="24" s="1"/>
  <c r="M10" i="24"/>
  <c r="C23" i="24"/>
  <c r="O71" i="23"/>
  <c r="B38" i="1"/>
  <c r="N38" i="1" s="1"/>
  <c r="I9" i="24"/>
  <c r="H127" i="1"/>
  <c r="H129" i="1" s="1"/>
  <c r="H142" i="1"/>
  <c r="H154" i="1" s="1"/>
  <c r="N12" i="23"/>
  <c r="N31" i="24" s="1"/>
  <c r="N43" i="24" s="1"/>
  <c r="N12" i="24" s="1"/>
  <c r="H9" i="24"/>
  <c r="D4" i="5"/>
  <c r="F23" i="5"/>
  <c r="E4" i="5" s="1"/>
  <c r="N54" i="1"/>
  <c r="D9" i="4"/>
  <c r="F53" i="4"/>
  <c r="E9" i="4" s="1"/>
  <c r="E11" i="24"/>
  <c r="D91" i="1"/>
  <c r="N84" i="1"/>
  <c r="N91" i="1" s="1"/>
  <c r="O103" i="23"/>
  <c r="B66" i="1"/>
  <c r="N66" i="1" s="1"/>
  <c r="C136" i="1"/>
  <c r="C148" i="1" s="1"/>
  <c r="H11" i="23"/>
  <c r="H30" i="24" s="1"/>
  <c r="H42" i="24" s="1"/>
  <c r="H11" i="24" s="1"/>
  <c r="E22" i="1"/>
  <c r="E30" i="1" s="1"/>
  <c r="C27" i="24"/>
  <c r="O60" i="23"/>
  <c r="B11" i="1"/>
  <c r="H40" i="1"/>
  <c r="H47" i="1" s="1"/>
  <c r="D11" i="14"/>
  <c r="F65" i="14"/>
  <c r="E11" i="14" s="1"/>
  <c r="N5" i="24"/>
  <c r="L136" i="1"/>
  <c r="L148" i="1" s="1"/>
  <c r="L19" i="24"/>
  <c r="L10" i="24" s="1"/>
  <c r="I12" i="1"/>
  <c r="I124" i="1" s="1"/>
  <c r="I126" i="1" s="1"/>
  <c r="I135" i="1"/>
  <c r="J4" i="23"/>
  <c r="J23" i="24" s="1"/>
  <c r="J35" i="24" s="1"/>
  <c r="J4" i="24" s="1"/>
  <c r="J127" i="1"/>
  <c r="J129" i="1" s="1"/>
  <c r="J142" i="1"/>
  <c r="J154" i="1" s="1"/>
  <c r="H14" i="8"/>
  <c r="F23" i="8"/>
  <c r="E4" i="8" s="1"/>
  <c r="D4" i="8"/>
  <c r="D11" i="23"/>
  <c r="D30" i="24" s="1"/>
  <c r="D42" i="24" s="1"/>
  <c r="D11" i="24" s="1"/>
  <c r="N75" i="1"/>
  <c r="N81" i="1" s="1"/>
  <c r="B81" i="1"/>
  <c r="I127" i="1"/>
  <c r="I129" i="1" s="1"/>
  <c r="I142" i="1"/>
  <c r="I154" i="1" s="1"/>
  <c r="O68" i="23"/>
  <c r="B35" i="1"/>
  <c r="N35" i="1" s="1"/>
  <c r="J139" i="1"/>
  <c r="J151" i="1" s="1"/>
  <c r="G9" i="24"/>
  <c r="D72" i="22"/>
  <c r="B76" i="22" s="1"/>
  <c r="E76" i="22" s="1"/>
  <c r="B66" i="22"/>
  <c r="F66" i="22" s="1"/>
  <c r="D9" i="23"/>
  <c r="D28" i="24" s="1"/>
  <c r="D40" i="24" s="1"/>
  <c r="D9" i="24" s="1"/>
  <c r="D5" i="24"/>
  <c r="G136" i="1"/>
  <c r="G148" i="1" s="1"/>
  <c r="F61" i="1"/>
  <c r="F124" i="1" s="1"/>
  <c r="F126" i="1" s="1"/>
  <c r="O56" i="23"/>
  <c r="B9" i="1"/>
  <c r="D4" i="23"/>
  <c r="D23" i="24" s="1"/>
  <c r="D35" i="24" s="1"/>
  <c r="D4" i="24" s="1"/>
  <c r="D11" i="9"/>
  <c r="F65" i="9"/>
  <c r="E11" i="9" s="1"/>
  <c r="H12" i="23"/>
  <c r="H31" i="24" s="1"/>
  <c r="H43" i="24" s="1"/>
  <c r="J16" i="24"/>
  <c r="C15" i="24"/>
  <c r="O15" i="24" s="1"/>
  <c r="M11" i="23"/>
  <c r="M30" i="24" s="1"/>
  <c r="M42" i="24" s="1"/>
  <c r="M11" i="24" s="1"/>
  <c r="K8" i="23"/>
  <c r="K27" i="24" s="1"/>
  <c r="K39" i="24" s="1"/>
  <c r="L142" i="1"/>
  <c r="L154" i="1" s="1"/>
  <c r="E4" i="24"/>
  <c r="H3" i="24"/>
  <c r="I61" i="1"/>
  <c r="I3" i="24"/>
  <c r="N16" i="24"/>
  <c r="N3" i="24" s="1"/>
  <c r="N9" i="24"/>
  <c r="F12" i="23"/>
  <c r="F31" i="24" s="1"/>
  <c r="F43" i="24" s="1"/>
  <c r="F12" i="24" s="1"/>
  <c r="E17" i="24"/>
  <c r="O17" i="24" s="1"/>
  <c r="K9" i="23"/>
  <c r="K28" i="24" s="1"/>
  <c r="K40" i="24" s="1"/>
  <c r="K9" i="24" s="1"/>
  <c r="D104" i="23"/>
  <c r="O97" i="23"/>
  <c r="H16" i="24"/>
  <c r="G3" i="23"/>
  <c r="G22" i="24" s="1"/>
  <c r="G34" i="24" s="1"/>
  <c r="G3" i="24" s="1"/>
  <c r="O51" i="23"/>
  <c r="B4" i="1"/>
  <c r="D13" i="9"/>
  <c r="F77" i="9"/>
  <c r="E13" i="9" s="1"/>
  <c r="J15" i="24"/>
  <c r="C16" i="24"/>
  <c r="I139" i="1"/>
  <c r="I151" i="1" s="1"/>
  <c r="I17" i="24"/>
  <c r="D142" i="1"/>
  <c r="D154" i="1" s="1"/>
  <c r="H61" i="1"/>
  <c r="D12" i="9"/>
  <c r="F71" i="9"/>
  <c r="E12" i="9" s="1"/>
  <c r="N19" i="24"/>
  <c r="N10" i="24" s="1"/>
  <c r="E7" i="24"/>
  <c r="M140" i="1"/>
  <c r="M152" i="1" s="1"/>
  <c r="H4" i="23"/>
  <c r="H23" i="24" s="1"/>
  <c r="H35" i="24" s="1"/>
  <c r="E136" i="1"/>
  <c r="E148" i="1" s="1"/>
  <c r="I6" i="23"/>
  <c r="I25" i="24" s="1"/>
  <c r="I37" i="24" s="1"/>
  <c r="I6" i="24" s="1"/>
  <c r="D10" i="5"/>
  <c r="F59" i="5"/>
  <c r="E10" i="5" s="1"/>
  <c r="L138" i="1"/>
  <c r="L150" i="1" s="1"/>
  <c r="G139" i="1"/>
  <c r="G151" i="1" s="1"/>
  <c r="G135" i="1"/>
  <c r="G12" i="1"/>
  <c r="D10" i="4"/>
  <c r="F59" i="4"/>
  <c r="E10" i="4" s="1"/>
  <c r="D111" i="1"/>
  <c r="K7" i="23"/>
  <c r="K26" i="24" s="1"/>
  <c r="K38" i="24" s="1"/>
  <c r="C66" i="23"/>
  <c r="C67" i="23"/>
  <c r="J140" i="1"/>
  <c r="J152" i="1" s="1"/>
  <c r="G138" i="1"/>
  <c r="G150" i="1" s="1"/>
  <c r="N60" i="1"/>
  <c r="H138" i="1"/>
  <c r="H150" i="1" s="1"/>
  <c r="B141" i="1"/>
  <c r="B153" i="1" s="1"/>
  <c r="N57" i="1"/>
  <c r="N141" i="1" s="1"/>
  <c r="N153" i="1" s="1"/>
  <c r="F6" i="23"/>
  <c r="F25" i="24" s="1"/>
  <c r="F37" i="24" s="1"/>
  <c r="F6" i="24" s="1"/>
  <c r="H17" i="24"/>
  <c r="L61" i="1"/>
  <c r="O44" i="23"/>
  <c r="C19" i="24"/>
  <c r="E8" i="23"/>
  <c r="E27" i="24" s="1"/>
  <c r="E39" i="24" s="1"/>
  <c r="E8" i="24" s="1"/>
  <c r="I19" i="24"/>
  <c r="I10" i="24" s="1"/>
  <c r="F7" i="23"/>
  <c r="F26" i="24" s="1"/>
  <c r="F38" i="24" s="1"/>
  <c r="F7" i="24" s="1"/>
  <c r="B22" i="1"/>
  <c r="B30" i="1" s="1"/>
  <c r="N15" i="1"/>
  <c r="N22" i="1" s="1"/>
  <c r="N30" i="1" s="1"/>
  <c r="F53" i="14"/>
  <c r="E9" i="14" s="1"/>
  <c r="D9" i="14"/>
  <c r="O80" i="23"/>
  <c r="E135" i="1"/>
  <c r="E12" i="1"/>
  <c r="F47" i="14"/>
  <c r="E8" i="14" s="1"/>
  <c r="D8" i="14"/>
  <c r="N115" i="1"/>
  <c r="N121" i="1" s="1"/>
  <c r="B121" i="1"/>
  <c r="H6" i="23"/>
  <c r="H25" i="24" s="1"/>
  <c r="H37" i="24" s="1"/>
  <c r="H6" i="24" s="1"/>
  <c r="L135" i="1"/>
  <c r="L12" i="1"/>
  <c r="L124" i="1" s="1"/>
  <c r="L126" i="1" s="1"/>
  <c r="E140" i="1"/>
  <c r="E152" i="1" s="1"/>
  <c r="I5" i="24"/>
  <c r="D8" i="9"/>
  <c r="F47" i="9"/>
  <c r="E8" i="9" s="1"/>
  <c r="C26" i="24"/>
  <c r="K135" i="1"/>
  <c r="J61" i="1"/>
  <c r="F35" i="4"/>
  <c r="E6" i="4" s="1"/>
  <c r="D6" i="4"/>
  <c r="O70" i="23"/>
  <c r="B37" i="1"/>
  <c r="N37" i="1" s="1"/>
  <c r="I12" i="23"/>
  <c r="I31" i="24" s="1"/>
  <c r="I43" i="24" s="1"/>
  <c r="I12" i="24" s="1"/>
  <c r="K40" i="1"/>
  <c r="K47" i="1" s="1"/>
  <c r="N8" i="23"/>
  <c r="N27" i="24" s="1"/>
  <c r="N39" i="24" s="1"/>
  <c r="N8" i="24" s="1"/>
  <c r="L139" i="1"/>
  <c r="L151" i="1" s="1"/>
  <c r="N52" i="1"/>
  <c r="K12" i="23"/>
  <c r="K31" i="24" s="1"/>
  <c r="K43" i="24" s="1"/>
  <c r="K12" i="24" s="1"/>
  <c r="K137" i="1"/>
  <c r="K149" i="1" s="1"/>
  <c r="N51" i="1"/>
  <c r="O128" i="23"/>
  <c r="B120" i="1"/>
  <c r="N120" i="1" s="1"/>
  <c r="M61" i="1"/>
  <c r="D5" i="4"/>
  <c r="F29" i="4"/>
  <c r="E5" i="4" s="1"/>
  <c r="I140" i="1"/>
  <c r="I152" i="1" s="1"/>
  <c r="O69" i="23"/>
  <c r="B36" i="1"/>
  <c r="N36" i="1" s="1"/>
  <c r="B61" i="1"/>
  <c r="N50" i="1"/>
  <c r="N61" i="1" s="1"/>
  <c r="M7" i="23"/>
  <c r="M26" i="24" s="1"/>
  <c r="M38" i="24" s="1"/>
  <c r="M7" i="24" s="1"/>
  <c r="I7" i="23"/>
  <c r="I26" i="24" s="1"/>
  <c r="I38" i="24" s="1"/>
  <c r="I7" i="24" s="1"/>
  <c r="D137" i="1"/>
  <c r="D149" i="1" s="1"/>
  <c r="G40" i="1"/>
  <c r="G47" i="1" s="1"/>
  <c r="M136" i="1"/>
  <c r="M148" i="1" s="1"/>
  <c r="H5" i="1"/>
  <c r="I4" i="23"/>
  <c r="I23" i="24" s="1"/>
  <c r="I35" i="24" s="1"/>
  <c r="C10" i="23"/>
  <c r="N56" i="1"/>
  <c r="L9" i="23"/>
  <c r="L28" i="24" s="1"/>
  <c r="L40" i="24" s="1"/>
  <c r="L9" i="24" s="1"/>
  <c r="M3" i="23"/>
  <c r="M22" i="24" s="1"/>
  <c r="M34" i="24" s="1"/>
  <c r="M3" i="24" s="1"/>
  <c r="O55" i="23"/>
  <c r="B7" i="1"/>
  <c r="E9" i="23"/>
  <c r="E28" i="24" s="1"/>
  <c r="E40" i="24" s="1"/>
  <c r="E9" i="24" s="1"/>
  <c r="F135" i="1"/>
  <c r="C40" i="24" l="1"/>
  <c r="O28" i="24"/>
  <c r="L143" i="1"/>
  <c r="L147" i="1"/>
  <c r="L155" i="1" s="1"/>
  <c r="C135" i="1"/>
  <c r="C12" i="1"/>
  <c r="D40" i="7"/>
  <c r="B34" i="7"/>
  <c r="L4" i="24"/>
  <c r="H143" i="1"/>
  <c r="H147" i="1"/>
  <c r="H155" i="1" s="1"/>
  <c r="B137" i="1"/>
  <c r="B149" i="1" s="1"/>
  <c r="N7" i="1"/>
  <c r="N137" i="1" s="1"/>
  <c r="N149" i="1" s="1"/>
  <c r="C68" i="1"/>
  <c r="O104" i="23"/>
  <c r="K8" i="24"/>
  <c r="M147" i="1"/>
  <c r="M155" i="1" s="1"/>
  <c r="M143" i="1"/>
  <c r="B139" i="1"/>
  <c r="B151" i="1" s="1"/>
  <c r="N8" i="1"/>
  <c r="O31" i="24"/>
  <c r="C43" i="24"/>
  <c r="J33" i="1"/>
  <c r="K3" i="23"/>
  <c r="K22" i="24" s="1"/>
  <c r="K34" i="24" s="1"/>
  <c r="K3" i="24" s="1"/>
  <c r="O19" i="24"/>
  <c r="K143" i="1"/>
  <c r="K147" i="1"/>
  <c r="K155" i="1" s="1"/>
  <c r="O66" i="23"/>
  <c r="B33" i="1"/>
  <c r="C3" i="23"/>
  <c r="O16" i="24"/>
  <c r="O24" i="24"/>
  <c r="C36" i="24"/>
  <c r="D124" i="1"/>
  <c r="D126" i="1" s="1"/>
  <c r="L3" i="24"/>
  <c r="N5" i="1"/>
  <c r="O7" i="23"/>
  <c r="K7" i="24"/>
  <c r="H4" i="24"/>
  <c r="H12" i="24"/>
  <c r="B71" i="1"/>
  <c r="D143" i="1"/>
  <c r="D147" i="1"/>
  <c r="D155" i="1" s="1"/>
  <c r="J3" i="24"/>
  <c r="M124" i="1"/>
  <c r="M126" i="1" s="1"/>
  <c r="C29" i="24"/>
  <c r="O10" i="23"/>
  <c r="O26" i="24"/>
  <c r="C38" i="24"/>
  <c r="E124" i="1"/>
  <c r="E126" i="1" s="1"/>
  <c r="B142" i="1"/>
  <c r="B154" i="1" s="1"/>
  <c r="B127" i="1"/>
  <c r="B129" i="1" s="1"/>
  <c r="N11" i="1"/>
  <c r="B140" i="1"/>
  <c r="B152" i="1" s="1"/>
  <c r="N10" i="1"/>
  <c r="N140" i="1" s="1"/>
  <c r="N152" i="1" s="1"/>
  <c r="G143" i="1"/>
  <c r="G147" i="1"/>
  <c r="G155" i="1" s="1"/>
  <c r="I143" i="1"/>
  <c r="I147" i="1"/>
  <c r="I155" i="1" s="1"/>
  <c r="O11" i="23"/>
  <c r="O67" i="23"/>
  <c r="B34" i="1"/>
  <c r="N34" i="1" s="1"/>
  <c r="B12" i="1"/>
  <c r="N4" i="1"/>
  <c r="B135" i="1"/>
  <c r="O8" i="23"/>
  <c r="O23" i="24"/>
  <c r="C35" i="24"/>
  <c r="C42" i="24"/>
  <c r="O30" i="24"/>
  <c r="F147" i="1"/>
  <c r="F155" i="1" s="1"/>
  <c r="F143" i="1"/>
  <c r="K6" i="23"/>
  <c r="K25" i="24" s="1"/>
  <c r="K37" i="24" s="1"/>
  <c r="K6" i="24" s="1"/>
  <c r="K12" i="1"/>
  <c r="K124" i="1" s="1"/>
  <c r="K126" i="1" s="1"/>
  <c r="I4" i="24"/>
  <c r="E143" i="1"/>
  <c r="E147" i="1"/>
  <c r="E155" i="1" s="1"/>
  <c r="O4" i="23"/>
  <c r="G124" i="1"/>
  <c r="G126" i="1" s="1"/>
  <c r="C6" i="23"/>
  <c r="B138" i="1"/>
  <c r="B150" i="1" s="1"/>
  <c r="N9" i="1"/>
  <c r="N138" i="1" s="1"/>
  <c r="N150" i="1" s="1"/>
  <c r="C39" i="24"/>
  <c r="O27" i="24"/>
  <c r="B136" i="1"/>
  <c r="B148" i="1" s="1"/>
  <c r="N6" i="1"/>
  <c r="N136" i="1" s="1"/>
  <c r="N148" i="1" s="1"/>
  <c r="C71" i="1" l="1"/>
  <c r="C139" i="1"/>
  <c r="C151" i="1" s="1"/>
  <c r="N68" i="1"/>
  <c r="N71" i="1" s="1"/>
  <c r="J40" i="1"/>
  <c r="J47" i="1" s="1"/>
  <c r="J124" i="1" s="1"/>
  <c r="J126" i="1" s="1"/>
  <c r="J135" i="1"/>
  <c r="C25" i="24"/>
  <c r="O6" i="23"/>
  <c r="C4" i="24"/>
  <c r="O35" i="24"/>
  <c r="O4" i="24" s="1"/>
  <c r="O29" i="24"/>
  <c r="C41" i="24"/>
  <c r="C12" i="24"/>
  <c r="O43" i="24"/>
  <c r="O12" i="24" s="1"/>
  <c r="O39" i="24"/>
  <c r="O8" i="24" s="1"/>
  <c r="C8" i="24"/>
  <c r="O38" i="24"/>
  <c r="O7" i="24" s="1"/>
  <c r="C7" i="24"/>
  <c r="O42" i="24"/>
  <c r="O11" i="24" s="1"/>
  <c r="C11" i="24"/>
  <c r="C5" i="24"/>
  <c r="O36" i="24"/>
  <c r="O5" i="24" s="1"/>
  <c r="B143" i="1"/>
  <c r="B147" i="1"/>
  <c r="B155" i="1" s="1"/>
  <c r="D48" i="7"/>
  <c r="B43" i="7"/>
  <c r="N12" i="1"/>
  <c r="N135" i="1"/>
  <c r="C22" i="24"/>
  <c r="O3" i="23"/>
  <c r="C124" i="1"/>
  <c r="C126" i="1" s="1"/>
  <c r="N127" i="1"/>
  <c r="N129" i="1" s="1"/>
  <c r="N142" i="1"/>
  <c r="N154" i="1" s="1"/>
  <c r="B40" i="1"/>
  <c r="B47" i="1" s="1"/>
  <c r="B124" i="1" s="1"/>
  <c r="B126" i="1" s="1"/>
  <c r="N33" i="1"/>
  <c r="N40" i="1" s="1"/>
  <c r="N47" i="1" s="1"/>
  <c r="C147" i="1"/>
  <c r="C155" i="1" s="1"/>
  <c r="N139" i="1"/>
  <c r="N151" i="1" s="1"/>
  <c r="O40" i="24"/>
  <c r="O9" i="24" s="1"/>
  <c r="C9" i="24"/>
  <c r="C37" i="24" l="1"/>
  <c r="O25" i="24"/>
  <c r="J147" i="1"/>
  <c r="J155" i="1" s="1"/>
  <c r="J143" i="1"/>
  <c r="D75" i="7"/>
  <c r="B51" i="7"/>
  <c r="C10" i="24"/>
  <c r="O41" i="24"/>
  <c r="O10" i="24" s="1"/>
  <c r="C34" i="24"/>
  <c r="O22" i="24"/>
  <c r="N147" i="1"/>
  <c r="N155" i="1" s="1"/>
  <c r="N143" i="1"/>
  <c r="N124" i="1"/>
  <c r="N126" i="1" s="1"/>
  <c r="C143" i="1"/>
  <c r="O34" i="24" l="1"/>
  <c r="O3" i="24" s="1"/>
  <c r="C3" i="24"/>
  <c r="B78" i="7"/>
  <c r="D83" i="7"/>
  <c r="O37" i="24"/>
  <c r="O6" i="24" s="1"/>
  <c r="C6" i="24"/>
  <c r="B86" i="7" l="1"/>
  <c r="D91" i="7"/>
  <c r="B94" i="7" l="1"/>
  <c r="D100" i="7"/>
  <c r="B103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O2" authorId="0" shapeId="0" xr:uid="{00000000-0006-0000-0000-000005000000}">
      <text>
        <r>
          <rPr>
            <sz val="10"/>
            <rFont val="Arial"/>
            <family val="2"/>
          </rPr>
          <t>Fuente: Exhibit 2M radicado (Q4 FY2026), columna O. Verificado contra los permisos Título V publicados por el DRNA: San Juan (PFE-TV-4911-65-1196-0016), Aguirre (PFE-TV-4911-63-0212-0244), Daguao (PFE-TV-4911-19-0306-0447), Jobos (PFE-TV-4911-30-1107-0991) y Vega Baja (PFE-TV-4911-74-0106-0021) coinciden. Aguirre: CAPs y CO2e tomados de su permiso (el 2M los dejó en blanco). Pendiente de confirmar con Ambiental: Cambalache y Yabucoa (difieren del permiso publicado); Costa Sur, Palo Seco y Mayagüez (permisos escaneados, no legibles).</t>
        </r>
      </text>
    </comment>
    <comment ref="A23" authorId="0" shapeId="0" xr:uid="{00000000-0006-0000-0000-000001000000}">
      <text>
        <r>
          <rPr>
            <sz val="10"/>
            <rFont val="Arial"/>
            <family val="2"/>
          </rPr>
          <t>Contaminantes atmosféricos peligrosos (CAPs): las hojas fuente no los calculan (Cálculos PS/AG tratan los HAPs como Pb) y el Exhibit 2M radicado los dejó sin valor, por lo que su total anual se presentó en 0.00. Se reflejan 0.00 igual que el 2M. Emisiones permisibles: el 2M radicado no las trae y el permiso Título V de Palo Seco publicado por el DRNA es un PDF escaneado que no se pudo leer; pendiente de confirmar con Ambiental (N/A).</t>
        </r>
      </text>
    </comment>
    <comment ref="A41" authorId="0" shapeId="0" xr:uid="{00000000-0006-0000-0000-000002000000}">
      <text>
        <r>
          <rPr>
            <sz val="10"/>
            <rFont val="Arial"/>
            <family val="2"/>
          </rPr>
          <t>Contaminantes atmosféricos peligrosos (CAPs): las hojas fuente no los calculan (Cálculos PS/AG tratan los HAPs como Pb) y el Exhibit 2M radicado los dejó sin valor, por lo que su total anual se presentó en 0.00. Se reflejan 0.00 igual que el 2M. Emisiones permisibles: Permiso Título V Aguirre PFE-TV-4911-63-0212-0244 (DRNA, 15-abr-2015), Sección IV "Permissible Emissions".</t>
        </r>
      </text>
    </comment>
    <comment ref="A125" authorId="0" shapeId="0" xr:uid="{00000000-0006-0000-0000-000003000000}">
      <text>
        <r>
          <rPr>
            <sz val="10"/>
            <rFont val="Arial"/>
            <family val="2"/>
          </rPr>
          <t>Million MMBtu = consumo de combustible de las plantas de Genera, sin las TMs de San Juan y Palo Seco. Julio–diciembre 2024: Exhibit 2D Q1–Q2 FY 24-25, pestaña System (Total System − TMs, Btu ÷ 10^12). Enero–junio 2024: EIA-923 2024, "Page 1 Puerto Rico", Tot_MMBtu de las plantas Aguirre, Central San Juan, Costa Sur, Palo Seco, Cambalache, Mayagüez, Daguao, Jobos, Vega Baja y Yabucoa (÷ 10^6).</t>
        </r>
      </text>
    </comment>
    <comment ref="A128" authorId="0" shapeId="0" xr:uid="{00000000-0006-0000-0000-000004000000}">
      <text>
        <r>
          <rPr>
            <sz val="10"/>
            <rFont val="Arial"/>
            <family val="2"/>
          </rPr>
          <t>GWh = generación neta de las mismas plantas, sin TMs. Julio–diciembre 2024: Exhibit 2D Q1–Q2 FY 24-25, pestaña System (Net Generation, Total System − TMs, kWh ÷ 10^6). Enero–junio 2024: EIA-923 2024, "Page 1 Puerto Rico", Netgen de las mismas diez plantas (MWh ÷ 1,000). Se usa generación neta en los 12 meses para mantener una sola base; en los meses en que coinciden, el EIA-923 y el 2D cuadran dentro de ±5%.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4" authorId="0" shapeId="0" xr:uid="{00000000-0006-0000-0300-000001000000}">
      <text>
        <r>
          <rPr>
            <sz val="10"/>
            <rFont val="Arial"/>
            <family val="2"/>
          </rPr>
          <t>Babcock, Steven:
Permit Limit</t>
        </r>
      </text>
    </comment>
    <comment ref="C4" authorId="0" shapeId="0" xr:uid="{00000000-0006-0000-0300-00000A000000}">
      <text>
        <r>
          <rPr>
            <sz val="10"/>
            <rFont val="Arial"/>
            <family val="2"/>
          </rPr>
          <t>Babcock, Steven:
Permit Limit</t>
        </r>
      </text>
    </comment>
    <comment ref="B5" authorId="0" shapeId="0" xr:uid="{00000000-0006-0000-0300-000002000000}">
      <text>
        <r>
          <rPr>
            <sz val="10"/>
            <rFont val="Arial"/>
            <family val="2"/>
          </rPr>
          <t>Babcock, Steven:
Permit Limit</t>
        </r>
      </text>
    </comment>
    <comment ref="C5" authorId="0" shapeId="0" xr:uid="{00000000-0006-0000-0300-00000B000000}">
      <text>
        <r>
          <rPr>
            <sz val="10"/>
            <rFont val="Arial"/>
            <family val="2"/>
          </rPr>
          <t>Babcock, Steven:
Permit Limit</t>
        </r>
      </text>
    </comment>
    <comment ref="B6" authorId="0" shapeId="0" xr:uid="{00000000-0006-0000-0300-000003000000}">
      <text>
        <r>
          <rPr>
            <sz val="10"/>
            <rFont val="Arial"/>
            <family val="2"/>
          </rPr>
          <t>Babcock, Steven:
Permit Limit</t>
        </r>
      </text>
    </comment>
    <comment ref="C6" authorId="0" shapeId="0" xr:uid="{00000000-0006-0000-0300-00000C000000}">
      <text>
        <r>
          <rPr>
            <sz val="10"/>
            <rFont val="Arial"/>
            <family val="2"/>
          </rPr>
          <t>Babcock, Steven:
Permit Limit</t>
        </r>
      </text>
    </comment>
    <comment ref="B7" authorId="0" shapeId="0" xr:uid="{00000000-0006-0000-0300-000004000000}">
      <text>
        <r>
          <rPr>
            <sz val="10"/>
            <rFont val="Arial"/>
            <family val="2"/>
          </rPr>
          <t>Babcock, Steven:
Permit Limit</t>
        </r>
      </text>
    </comment>
    <comment ref="C7" authorId="0" shapeId="0" xr:uid="{00000000-0006-0000-0300-00000D000000}">
      <text>
        <r>
          <rPr>
            <sz val="10"/>
            <rFont val="Arial"/>
            <family val="2"/>
          </rPr>
          <t>Babcock, Steven:
Permit Limit</t>
        </r>
      </text>
    </comment>
    <comment ref="B8" authorId="0" shapeId="0" xr:uid="{00000000-0006-0000-0300-000005000000}">
      <text>
        <r>
          <rPr>
            <sz val="10"/>
            <rFont val="Arial"/>
            <family val="2"/>
          </rPr>
          <t>Babcock, Steven:
Permit LImit</t>
        </r>
      </text>
    </comment>
    <comment ref="C8" authorId="0" shapeId="0" xr:uid="{00000000-0006-0000-0300-00000E000000}">
      <text>
        <r>
          <rPr>
            <sz val="10"/>
            <rFont val="Arial"/>
            <family val="2"/>
          </rPr>
          <t>Babcock, Steven:
Pemrit Limit</t>
        </r>
      </text>
    </comment>
    <comment ref="B9" authorId="0" shapeId="0" xr:uid="{00000000-0006-0000-0300-000006000000}">
      <text>
        <r>
          <rPr>
            <sz val="10"/>
            <rFont val="Arial"/>
            <family val="2"/>
          </rPr>
          <t>Babcock, Steven:
Permit Limit</t>
        </r>
      </text>
    </comment>
    <comment ref="C9" authorId="0" shapeId="0" xr:uid="{00000000-0006-0000-0300-00000F000000}">
      <text>
        <r>
          <rPr>
            <sz val="10"/>
            <rFont val="Arial"/>
            <family val="2"/>
          </rPr>
          <t>Babcock, Steven:
Permit Limit</t>
        </r>
      </text>
    </comment>
    <comment ref="B10" authorId="0" shapeId="0" xr:uid="{00000000-0006-0000-0300-000007000000}">
      <text>
        <r>
          <rPr>
            <sz val="10"/>
            <rFont val="Arial"/>
            <family val="2"/>
          </rPr>
          <t>Babcock, Steven:
Permit Limit</t>
        </r>
      </text>
    </comment>
    <comment ref="C10" authorId="0" shapeId="0" xr:uid="{00000000-0006-0000-0300-000010000000}">
      <text>
        <r>
          <rPr>
            <sz val="10"/>
            <rFont val="Arial"/>
            <family val="2"/>
          </rPr>
          <t>Babcock, Steven:
AP-42 Section 1.3</t>
        </r>
      </text>
    </comment>
    <comment ref="B11" authorId="0" shapeId="0" xr:uid="{00000000-0006-0000-0300-000008000000}">
      <text>
        <r>
          <rPr>
            <sz val="10"/>
            <rFont val="Arial"/>
            <family val="2"/>
          </rPr>
          <t>Babcock, Steven:
Permit Limit</t>
        </r>
      </text>
    </comment>
    <comment ref="C11" authorId="0" shapeId="0" xr:uid="{00000000-0006-0000-0300-000011000000}">
      <text>
        <r>
          <rPr>
            <sz val="10"/>
            <rFont val="Arial"/>
            <family val="2"/>
          </rPr>
          <t>Babcock, Steven:
Permit Limit</t>
        </r>
      </text>
    </comment>
    <comment ref="B13" authorId="0" shapeId="0" xr:uid="{00000000-0006-0000-0300-000009000000}">
      <text>
        <r>
          <rPr>
            <sz val="10"/>
            <rFont val="Arial"/>
            <family val="2"/>
          </rPr>
          <t>Babcock, Steven:
eGGRT GHG Report</t>
        </r>
      </text>
    </comment>
    <comment ref="C13" authorId="0" shapeId="0" xr:uid="{00000000-0006-0000-0300-000012000000}">
      <text>
        <r>
          <rPr>
            <sz val="10"/>
            <rFont val="Arial"/>
            <family val="2"/>
          </rPr>
          <t>Babcock, Steven:
eGGRT GHG Report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4" authorId="0" shapeId="0" xr:uid="{00000000-0006-0000-0400-000001000000}">
      <text>
        <r>
          <rPr>
            <sz val="10"/>
            <rFont val="Arial"/>
            <family val="2"/>
          </rPr>
          <t>Babcock, Steven:
Permit Limit</t>
        </r>
      </text>
    </comment>
    <comment ref="C4" authorId="0" shapeId="0" xr:uid="{00000000-0006-0000-0400-00000A000000}">
      <text>
        <r>
          <rPr>
            <sz val="10"/>
            <rFont val="Arial"/>
            <family val="2"/>
          </rPr>
          <t>Babcock, Steven:
Permit Limit</t>
        </r>
      </text>
    </comment>
    <comment ref="B5" authorId="0" shapeId="0" xr:uid="{00000000-0006-0000-0400-000002000000}">
      <text>
        <r>
          <rPr>
            <sz val="10"/>
            <rFont val="Arial"/>
            <family val="2"/>
          </rPr>
          <t>Babcock, Steven:
Permit Limit</t>
        </r>
      </text>
    </comment>
    <comment ref="C5" authorId="0" shapeId="0" xr:uid="{00000000-0006-0000-0400-00000B000000}">
      <text>
        <r>
          <rPr>
            <sz val="10"/>
            <rFont val="Arial"/>
            <family val="2"/>
          </rPr>
          <t>Babcock, Steven:
Permit Limit</t>
        </r>
      </text>
    </comment>
    <comment ref="B6" authorId="0" shapeId="0" xr:uid="{00000000-0006-0000-0400-000003000000}">
      <text>
        <r>
          <rPr>
            <sz val="10"/>
            <rFont val="Arial"/>
            <family val="2"/>
          </rPr>
          <t>Babcock, Steven:
Permit Limit</t>
        </r>
      </text>
    </comment>
    <comment ref="C6" authorId="0" shapeId="0" xr:uid="{00000000-0006-0000-0400-00000C000000}">
      <text>
        <r>
          <rPr>
            <sz val="10"/>
            <rFont val="Arial"/>
            <family val="2"/>
          </rPr>
          <t>Babcock, Steven:
Permit Limit</t>
        </r>
      </text>
    </comment>
    <comment ref="B7" authorId="0" shapeId="0" xr:uid="{00000000-0006-0000-0400-000004000000}">
      <text>
        <r>
          <rPr>
            <sz val="10"/>
            <rFont val="Arial"/>
            <family val="2"/>
          </rPr>
          <t>Babcock, Steven:
Permit Limit</t>
        </r>
      </text>
    </comment>
    <comment ref="C7" authorId="0" shapeId="0" xr:uid="{00000000-0006-0000-0400-00000D000000}">
      <text>
        <r>
          <rPr>
            <sz val="10"/>
            <rFont val="Arial"/>
            <family val="2"/>
          </rPr>
          <t>Babcock, Steven:
Permit Limit</t>
        </r>
      </text>
    </comment>
    <comment ref="B8" authorId="0" shapeId="0" xr:uid="{00000000-0006-0000-0400-000005000000}">
      <text>
        <r>
          <rPr>
            <sz val="10"/>
            <rFont val="Arial"/>
            <family val="2"/>
          </rPr>
          <t>Babcock, Steven:
Permit LImit</t>
        </r>
      </text>
    </comment>
    <comment ref="C8" authorId="0" shapeId="0" xr:uid="{00000000-0006-0000-0400-00000E000000}">
      <text>
        <r>
          <rPr>
            <sz val="10"/>
            <rFont val="Arial"/>
            <family val="2"/>
          </rPr>
          <t>Babcock, Steven:
Pemrit Limit</t>
        </r>
      </text>
    </comment>
    <comment ref="B9" authorId="0" shapeId="0" xr:uid="{00000000-0006-0000-0400-000006000000}">
      <text>
        <r>
          <rPr>
            <sz val="10"/>
            <rFont val="Arial"/>
            <family val="2"/>
          </rPr>
          <t>Babcock, Steven:
Permit Limit</t>
        </r>
      </text>
    </comment>
    <comment ref="C9" authorId="0" shapeId="0" xr:uid="{00000000-0006-0000-0400-00000F000000}">
      <text>
        <r>
          <rPr>
            <sz val="10"/>
            <rFont val="Arial"/>
            <family val="2"/>
          </rPr>
          <t>Babcock, Steven:
Permit Limit</t>
        </r>
      </text>
    </comment>
    <comment ref="B10" authorId="0" shapeId="0" xr:uid="{00000000-0006-0000-0400-000007000000}">
      <text>
        <r>
          <rPr>
            <sz val="10"/>
            <rFont val="Arial"/>
            <family val="2"/>
          </rPr>
          <t>Babcock, Steven:
Permit Limit</t>
        </r>
      </text>
    </comment>
    <comment ref="C10" authorId="0" shapeId="0" xr:uid="{00000000-0006-0000-0400-000010000000}">
      <text>
        <r>
          <rPr>
            <sz val="10"/>
            <rFont val="Arial"/>
            <family val="2"/>
          </rPr>
          <t>Babcock, Steven:
AP-42 Section 1.3</t>
        </r>
      </text>
    </comment>
    <comment ref="B11" authorId="0" shapeId="0" xr:uid="{00000000-0006-0000-0400-000008000000}">
      <text>
        <r>
          <rPr>
            <sz val="10"/>
            <rFont val="Arial"/>
            <family val="2"/>
          </rPr>
          <t>Babcock, Steven:
Permit Limit</t>
        </r>
      </text>
    </comment>
    <comment ref="C11" authorId="0" shapeId="0" xr:uid="{00000000-0006-0000-0400-000011000000}">
      <text>
        <r>
          <rPr>
            <sz val="10"/>
            <rFont val="Arial"/>
            <family val="2"/>
          </rPr>
          <t>Babcock, Steven:
Permit Limit</t>
        </r>
      </text>
    </comment>
    <comment ref="B13" authorId="0" shapeId="0" xr:uid="{00000000-0006-0000-0400-000009000000}">
      <text>
        <r>
          <rPr>
            <sz val="10"/>
            <rFont val="Arial"/>
            <family val="2"/>
          </rPr>
          <t>Babcock, Steven:
eGGRT GHG Report</t>
        </r>
      </text>
    </comment>
    <comment ref="C13" authorId="0" shapeId="0" xr:uid="{00000000-0006-0000-0400-000012000000}">
      <text>
        <r>
          <rPr>
            <sz val="10"/>
            <rFont val="Arial"/>
            <family val="2"/>
          </rPr>
          <t>Babcock, Steven:
eGGRT GHG Report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31" authorId="0" shapeId="0" xr:uid="{00000000-0006-0000-0500-000001000000}">
      <text>
        <r>
          <rPr>
            <sz val="10"/>
            <rFont val="Arial"/>
            <family val="2"/>
          </rPr>
          <t>Javier Lopez Rosario:
Opero 100% GN</t>
        </r>
      </text>
    </comment>
    <comment ref="B34" authorId="0" shapeId="0" xr:uid="{00000000-0006-0000-0500-000002000000}">
      <text>
        <r>
          <rPr>
            <sz val="10"/>
            <rFont val="Arial"/>
            <family val="2"/>
          </rPr>
          <t>Javier Lopez Rosario:
Opero 100% GN</t>
        </r>
      </text>
    </comment>
    <comment ref="C34" authorId="0" shapeId="0" xr:uid="{00000000-0006-0000-0500-000003000000}">
      <text>
        <r>
          <rPr>
            <sz val="10"/>
            <rFont val="Arial"/>
            <family val="2"/>
          </rPr>
          <t>Javier Lopez Rosario:
Opero en 100% GN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4" authorId="0" shapeId="0" xr:uid="{00000000-0006-0000-0700-000001000000}">
      <text>
        <r>
          <rPr>
            <sz val="10"/>
            <rFont val="Arial"/>
            <family val="2"/>
          </rPr>
          <t>Babcock, Steven:
Vendor guarantee</t>
        </r>
      </text>
    </comment>
    <comment ref="C4" authorId="0" shapeId="0" xr:uid="{00000000-0006-0000-0700-00000A000000}">
      <text>
        <r>
          <rPr>
            <sz val="10"/>
            <rFont val="Arial"/>
            <family val="2"/>
          </rPr>
          <t>Babcock, Steven:
From EPA approved PSD netting analysis</t>
        </r>
      </text>
    </comment>
    <comment ref="B5" authorId="0" shapeId="0" xr:uid="{00000000-0006-0000-0700-000002000000}">
      <text>
        <r>
          <rPr>
            <sz val="10"/>
            <rFont val="Arial"/>
            <family val="2"/>
          </rPr>
          <t>Babcock, Steven:
Vendor gurantee</t>
        </r>
      </text>
    </comment>
    <comment ref="C5" authorId="0" shapeId="0" xr:uid="{00000000-0006-0000-0700-00000B000000}">
      <text>
        <r>
          <rPr>
            <sz val="10"/>
            <rFont val="Arial"/>
            <family val="2"/>
          </rPr>
          <t>Babcock, Steven:
From EPA approved PSD netting analysis</t>
        </r>
      </text>
    </comment>
    <comment ref="B6" authorId="0" shapeId="0" xr:uid="{00000000-0006-0000-0700-000003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C6" authorId="0" shapeId="0" xr:uid="{00000000-0006-0000-0700-00000C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B7" authorId="0" shapeId="0" xr:uid="{00000000-0006-0000-0700-000004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C7" authorId="0" shapeId="0" xr:uid="{00000000-0006-0000-0700-00000D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B8" authorId="0" shapeId="0" xr:uid="{00000000-0006-0000-0700-000005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C8" authorId="0" shapeId="0" xr:uid="{00000000-0006-0000-0700-00000E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B9" authorId="0" shapeId="0" xr:uid="{00000000-0006-0000-0700-000006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C9" authorId="0" shapeId="0" xr:uid="{00000000-0006-0000-0700-00000F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B10" authorId="0" shapeId="0" xr:uid="{00000000-0006-0000-0700-000007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C10" authorId="0" shapeId="0" xr:uid="{00000000-0006-0000-0700-000010000000}">
      <text>
        <r>
          <rPr>
            <sz val="10"/>
            <rFont val="Arial"/>
            <family val="2"/>
          </rPr>
          <t>Babcock, Steven:
AP-42 Section 3.1</t>
        </r>
      </text>
    </comment>
    <comment ref="B11" authorId="0" shapeId="0" xr:uid="{00000000-0006-0000-0700-000008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C11" authorId="0" shapeId="0" xr:uid="{00000000-0006-0000-0700-000011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C12" authorId="0" shapeId="0" xr:uid="{00000000-0006-0000-0700-000012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B13" authorId="0" shapeId="0" xr:uid="{00000000-0006-0000-0700-000009000000}">
      <text>
        <r>
          <rPr>
            <sz val="10"/>
            <rFont val="Arial"/>
            <family val="2"/>
          </rPr>
          <t>Babcock, Steven:
eGGRT GHG Report</t>
        </r>
      </text>
    </comment>
    <comment ref="C13" authorId="0" shapeId="0" xr:uid="{00000000-0006-0000-0700-000013000000}">
      <text>
        <r>
          <rPr>
            <sz val="10"/>
            <rFont val="Arial"/>
            <family val="2"/>
          </rPr>
          <t>Babcock, Steven:
eGGRT GHG Report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4" authorId="0" shapeId="0" xr:uid="{00000000-0006-0000-0800-000001000000}">
      <text>
        <r>
          <rPr>
            <sz val="10"/>
            <rFont val="Arial"/>
            <family val="2"/>
          </rPr>
          <t>Babcock, Steven:
Vendor guarantee</t>
        </r>
      </text>
    </comment>
    <comment ref="C4" authorId="0" shapeId="0" xr:uid="{00000000-0006-0000-0800-00000A000000}">
      <text>
        <r>
          <rPr>
            <sz val="10"/>
            <rFont val="Arial"/>
            <family val="2"/>
          </rPr>
          <t>Babcock, Steven:
From EPA approved PSD netting analysis</t>
        </r>
      </text>
    </comment>
    <comment ref="B5" authorId="0" shapeId="0" xr:uid="{00000000-0006-0000-0800-000002000000}">
      <text>
        <r>
          <rPr>
            <sz val="10"/>
            <rFont val="Arial"/>
            <family val="2"/>
          </rPr>
          <t>Babcock, Steven:
Vendor gurantee</t>
        </r>
      </text>
    </comment>
    <comment ref="C5" authorId="0" shapeId="0" xr:uid="{00000000-0006-0000-0800-00000B000000}">
      <text>
        <r>
          <rPr>
            <sz val="10"/>
            <rFont val="Arial"/>
            <family val="2"/>
          </rPr>
          <t>Babcock, Steven:
From EPA approved PSD netting analysis</t>
        </r>
      </text>
    </comment>
    <comment ref="B6" authorId="0" shapeId="0" xr:uid="{00000000-0006-0000-0800-000003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C6" authorId="0" shapeId="0" xr:uid="{00000000-0006-0000-0800-00000C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B7" authorId="0" shapeId="0" xr:uid="{00000000-0006-0000-0800-000004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C7" authorId="0" shapeId="0" xr:uid="{00000000-0006-0000-0800-00000D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B8" authorId="0" shapeId="0" xr:uid="{00000000-0006-0000-0800-000005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C8" authorId="0" shapeId="0" xr:uid="{00000000-0006-0000-0800-00000E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B9" authorId="0" shapeId="0" xr:uid="{00000000-0006-0000-0800-000006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C9" authorId="0" shapeId="0" xr:uid="{00000000-0006-0000-0800-00000F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B10" authorId="0" shapeId="0" xr:uid="{00000000-0006-0000-0800-000007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C10" authorId="0" shapeId="0" xr:uid="{00000000-0006-0000-0800-000010000000}">
      <text>
        <r>
          <rPr>
            <sz val="10"/>
            <rFont val="Arial"/>
            <family val="2"/>
          </rPr>
          <t>Babcock, Steven:
AP-42 Section 3.1</t>
        </r>
      </text>
    </comment>
    <comment ref="B11" authorId="0" shapeId="0" xr:uid="{00000000-0006-0000-0800-000008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C11" authorId="0" shapeId="0" xr:uid="{00000000-0006-0000-0800-000011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C12" authorId="0" shapeId="0" xr:uid="{00000000-0006-0000-0800-000012000000}">
      <text>
        <r>
          <rPr>
            <sz val="10"/>
            <rFont val="Arial"/>
            <family val="2"/>
          </rPr>
          <t>Babcock, Steven:
Permit Limit PFE-65-0499-0365-I-II-C</t>
        </r>
      </text>
    </comment>
    <comment ref="B13" authorId="0" shapeId="0" xr:uid="{00000000-0006-0000-0800-000009000000}">
      <text>
        <r>
          <rPr>
            <sz val="10"/>
            <rFont val="Arial"/>
            <family val="2"/>
          </rPr>
          <t>Babcock, Steven:
eGGRT GHG Report</t>
        </r>
      </text>
    </comment>
    <comment ref="C13" authorId="0" shapeId="0" xr:uid="{00000000-0006-0000-0800-000013000000}">
      <text>
        <r>
          <rPr>
            <sz val="10"/>
            <rFont val="Arial"/>
            <family val="2"/>
          </rPr>
          <t>Babcock, Steven:
eGGRT GHG Report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4" authorId="0" shapeId="0" xr:uid="{00000000-0006-0000-0D00-000001000000}">
      <text>
        <r>
          <rPr>
            <sz val="10"/>
            <rFont val="Arial"/>
            <family val="2"/>
          </rPr>
          <t>Babcock, Steven:
Permit Limit</t>
        </r>
      </text>
    </comment>
    <comment ref="C4" authorId="0" shapeId="0" xr:uid="{00000000-0006-0000-0D00-00000A000000}">
      <text>
        <r>
          <rPr>
            <sz val="10"/>
            <rFont val="Arial"/>
            <family val="2"/>
          </rPr>
          <t>Babcock, Steven:
Permit Limit</t>
        </r>
      </text>
    </comment>
    <comment ref="B5" authorId="0" shapeId="0" xr:uid="{00000000-0006-0000-0D00-000002000000}">
      <text>
        <r>
          <rPr>
            <sz val="10"/>
            <rFont val="Arial"/>
            <family val="2"/>
          </rPr>
          <t>Babcock, Steven:
Permit Limit</t>
        </r>
      </text>
    </comment>
    <comment ref="C5" authorId="0" shapeId="0" xr:uid="{00000000-0006-0000-0D00-00000B000000}">
      <text>
        <r>
          <rPr>
            <sz val="10"/>
            <rFont val="Arial"/>
            <family val="2"/>
          </rPr>
          <t>Babcock, Steven:
Permit Limit</t>
        </r>
      </text>
    </comment>
    <comment ref="B6" authorId="0" shapeId="0" xr:uid="{00000000-0006-0000-0D00-000003000000}">
      <text>
        <r>
          <rPr>
            <sz val="10"/>
            <rFont val="Arial"/>
            <family val="2"/>
          </rPr>
          <t>Babcock, Steven:
Permit Limit</t>
        </r>
      </text>
    </comment>
    <comment ref="C6" authorId="0" shapeId="0" xr:uid="{00000000-0006-0000-0D00-00000C000000}">
      <text>
        <r>
          <rPr>
            <sz val="10"/>
            <rFont val="Arial"/>
            <family val="2"/>
          </rPr>
          <t>Babcock, Steven:
Permit Limit</t>
        </r>
      </text>
    </comment>
    <comment ref="B7" authorId="0" shapeId="0" xr:uid="{00000000-0006-0000-0D00-000004000000}">
      <text>
        <r>
          <rPr>
            <sz val="10"/>
            <rFont val="Arial"/>
            <family val="2"/>
          </rPr>
          <t>Babcock, Steven:
Permit Limit</t>
        </r>
      </text>
    </comment>
    <comment ref="C7" authorId="0" shapeId="0" xr:uid="{00000000-0006-0000-0D00-00000D000000}">
      <text>
        <r>
          <rPr>
            <sz val="10"/>
            <rFont val="Arial"/>
            <family val="2"/>
          </rPr>
          <t>Babcock, Steven:
Permit Limit</t>
        </r>
      </text>
    </comment>
    <comment ref="B8" authorId="0" shapeId="0" xr:uid="{00000000-0006-0000-0D00-000005000000}">
      <text>
        <r>
          <rPr>
            <sz val="10"/>
            <rFont val="Arial"/>
            <family val="2"/>
          </rPr>
          <t>Babcock, Steven:
Permit Limit</t>
        </r>
      </text>
    </comment>
    <comment ref="C8" authorId="0" shapeId="0" xr:uid="{00000000-0006-0000-0D00-00000E000000}">
      <text>
        <r>
          <rPr>
            <sz val="10"/>
            <rFont val="Arial"/>
            <family val="2"/>
          </rPr>
          <t>Babcock, Steven:
Permit Limit</t>
        </r>
      </text>
    </comment>
    <comment ref="B9" authorId="0" shapeId="0" xr:uid="{00000000-0006-0000-0D00-000006000000}">
      <text>
        <r>
          <rPr>
            <sz val="10"/>
            <rFont val="Arial"/>
            <family val="2"/>
          </rPr>
          <t>Babcock, Steven:
Permit Limit</t>
        </r>
      </text>
    </comment>
    <comment ref="C9" authorId="0" shapeId="0" xr:uid="{00000000-0006-0000-0D00-00000F000000}">
      <text>
        <r>
          <rPr>
            <sz val="10"/>
            <rFont val="Arial"/>
            <family val="2"/>
          </rPr>
          <t>Babcock, Steven:
Permit Limit</t>
        </r>
      </text>
    </comment>
    <comment ref="B10" authorId="0" shapeId="0" xr:uid="{00000000-0006-0000-0D00-000007000000}">
      <text>
        <r>
          <rPr>
            <sz val="10"/>
            <rFont val="Arial"/>
            <family val="2"/>
          </rPr>
          <t>Babcock, Steven:
Permit Limit</t>
        </r>
      </text>
    </comment>
    <comment ref="C10" authorId="0" shapeId="0" xr:uid="{00000000-0006-0000-0D00-000010000000}">
      <text>
        <r>
          <rPr>
            <sz val="10"/>
            <rFont val="Arial"/>
            <family val="2"/>
          </rPr>
          <t>Babcock, Steven:
AP-42 Section 1.3</t>
        </r>
      </text>
    </comment>
    <comment ref="B11" authorId="0" shapeId="0" xr:uid="{00000000-0006-0000-0D00-000008000000}">
      <text>
        <r>
          <rPr>
            <sz val="10"/>
            <rFont val="Arial"/>
            <family val="2"/>
          </rPr>
          <t>Babcock, Steven:
Permit Limit</t>
        </r>
      </text>
    </comment>
    <comment ref="C11" authorId="0" shapeId="0" xr:uid="{00000000-0006-0000-0D00-000011000000}">
      <text>
        <r>
          <rPr>
            <sz val="10"/>
            <rFont val="Arial"/>
            <family val="2"/>
          </rPr>
          <t>Babcock, Steven:
Permit Limit</t>
        </r>
      </text>
    </comment>
    <comment ref="B13" authorId="0" shapeId="0" xr:uid="{00000000-0006-0000-0D00-000009000000}">
      <text>
        <r>
          <rPr>
            <sz val="10"/>
            <rFont val="Arial"/>
            <family val="2"/>
          </rPr>
          <t>Babcock, Steven:
40 CFR 98, Subpart C</t>
        </r>
      </text>
    </comment>
    <comment ref="C13" authorId="0" shapeId="0" xr:uid="{00000000-0006-0000-0D00-000012000000}">
      <text>
        <r>
          <rPr>
            <sz val="10"/>
            <rFont val="Arial"/>
            <family val="2"/>
          </rPr>
          <t>Babcock, Steven:
40 CFR 98, Subpart C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A102" authorId="0" shapeId="0" xr:uid="{00000000-0006-0000-1700-000001000000}">
      <text>
        <r>
          <rPr>
            <sz val="10"/>
            <rFont val="Arial"/>
            <family val="2"/>
          </rPr>
          <t>Contenido calórico del diésel No. 2: 0.138 MMBtu/gal (40 CFR 98, Tabla C-1). Se usa el mismo valor que tenía la hoja del método anterior de Cambalache, que se eliminó. El cálculo de emisiones de Cambalache sale de la hoja 'Cálculos Cambalache (60%)'.</t>
        </r>
      </text>
    </comment>
  </commentList>
</comments>
</file>

<file path=xl/sharedStrings.xml><?xml version="1.0" encoding="utf-8"?>
<sst xmlns="http://schemas.openxmlformats.org/spreadsheetml/2006/main" count="5206" uniqueCount="476">
  <si>
    <t>Inventario de Emisiones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</si>
  <si>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</si>
  <si>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</si>
  <si>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</si>
  <si>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</si>
  <si>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</si>
  <si>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</si>
  <si>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</si>
  <si>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</si>
  <si>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</si>
  <si>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</si>
  <si>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</si>
  <si>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</si>
  <si>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Emisiones (tons/year)</t>
  </si>
  <si>
    <t>Total Emisiones Permisibles (tons/year)</t>
  </si>
  <si>
    <t>Pollutant</t>
  </si>
  <si>
    <t>San Juan</t>
  </si>
  <si>
    <t>PM</t>
  </si>
  <si>
    <t>PM10</t>
  </si>
  <si>
    <t>SO2</t>
  </si>
  <si>
    <t>NOx</t>
  </si>
  <si>
    <t>CO</t>
  </si>
  <si>
    <t>VOC</t>
  </si>
  <si>
    <t>Pb</t>
  </si>
  <si>
    <t>CO2e</t>
  </si>
  <si>
    <t>N/A</t>
  </si>
  <si>
    <t>Total</t>
  </si>
  <si>
    <t>Palo Seco</t>
  </si>
  <si>
    <t>Subtotal</t>
  </si>
  <si>
    <t>Ni Comp</t>
  </si>
  <si>
    <t>Mn Comp</t>
  </si>
  <si>
    <t>Formaldehido</t>
  </si>
  <si>
    <t>Tolueno</t>
  </si>
  <si>
    <t>POM</t>
  </si>
  <si>
    <t>CAPs Total</t>
  </si>
  <si>
    <t>Subtotal CAPs</t>
  </si>
  <si>
    <t>Aguirre</t>
  </si>
  <si>
    <t>PM Total</t>
  </si>
  <si>
    <t>Chloride</t>
  </si>
  <si>
    <t>Costa Sur</t>
  </si>
  <si>
    <t>PM2.5</t>
  </si>
  <si>
    <t>SOx</t>
  </si>
  <si>
    <t>H2SO4</t>
  </si>
  <si>
    <t>Fluoruro</t>
  </si>
  <si>
    <t>Cambalache</t>
  </si>
  <si>
    <t>Mayagüez</t>
  </si>
  <si>
    <t>Dagüao</t>
  </si>
  <si>
    <t>Jobos</t>
  </si>
  <si>
    <t>Vega Baja</t>
  </si>
  <si>
    <t>Yabucoa</t>
  </si>
  <si>
    <t>Total Emisiones</t>
  </si>
  <si>
    <t>Total Permisible</t>
  </si>
  <si>
    <t>Criteria</t>
  </si>
  <si>
    <t>Million MMBtu</t>
  </si>
  <si>
    <t>lb/MMBtu</t>
  </si>
  <si>
    <t>GWh</t>
  </si>
  <si>
    <t>C ton/MWH</t>
  </si>
  <si>
    <t>Toneladas</t>
  </si>
  <si>
    <t>Totales</t>
  </si>
  <si>
    <t>LB/MMBtu Ind,</t>
  </si>
  <si>
    <t>Costa Sur BC Consumption 2024</t>
  </si>
  <si>
    <t>Galones</t>
  </si>
  <si>
    <t>Azufre</t>
  </si>
  <si>
    <t>Barrels</t>
  </si>
  <si>
    <t>year</t>
  </si>
  <si>
    <t>CS3</t>
  </si>
  <si>
    <t>CS4</t>
  </si>
  <si>
    <t>CS5</t>
  </si>
  <si>
    <t>CS6</t>
  </si>
  <si>
    <t>CS #2 FO Consumption 2024</t>
  </si>
  <si>
    <t>SCGT1-1</t>
  </si>
  <si>
    <t>SCGT1-2</t>
  </si>
  <si>
    <t>Costa Sur Natural Gas Consumtion 2024</t>
  </si>
  <si>
    <t>SCF</t>
  </si>
  <si>
    <t>Unit 5</t>
  </si>
  <si>
    <t>Unit 6</t>
  </si>
  <si>
    <t>TOTAL</t>
  </si>
  <si>
    <t>Factores de Emisión AP-42 Section 3.1</t>
  </si>
  <si>
    <t>0.012lb/MMBTU</t>
  </si>
  <si>
    <t>1.01*%S lb/MMBTU</t>
  </si>
  <si>
    <t>0.880 lb/MMBTU</t>
  </si>
  <si>
    <t>0.00041 lb/MMBTU</t>
  </si>
  <si>
    <t>C0</t>
  </si>
  <si>
    <t>0.0033 lb/MMBTU</t>
  </si>
  <si>
    <t>0.0000140 lb MMBTU</t>
  </si>
  <si>
    <t>163.61 lb/MMBtu (40 CFR 98, Subpart C)</t>
  </si>
  <si>
    <t>Combustible #2</t>
  </si>
  <si>
    <t>gal/year</t>
  </si>
  <si>
    <t>Azufre %</t>
  </si>
  <si>
    <t>Cálculos Emisiones PM</t>
  </si>
  <si>
    <t>=</t>
  </si>
  <si>
    <t>lb</t>
  </si>
  <si>
    <t>gal</t>
  </si>
  <si>
    <t>MMBTU</t>
  </si>
  <si>
    <t>ton</t>
  </si>
  <si>
    <t>hr</t>
  </si>
  <si>
    <t>Cálculos Emisiones SOx</t>
  </si>
  <si>
    <t>Cálculos Emisiones NOx</t>
  </si>
  <si>
    <t>Cálculos Emisiones VOC</t>
  </si>
  <si>
    <t>Cálculos Emisiones CO</t>
  </si>
  <si>
    <t>Cálculos Emisiones Pb</t>
  </si>
  <si>
    <t>Cálculos Emisiones CO2e</t>
  </si>
  <si>
    <t>Cómputo de Emisiones Actuales para Bunker C y Gas Natural - Costa Sur year 2024 - Unidad 5*</t>
  </si>
  <si>
    <t>Parametro</t>
  </si>
  <si>
    <t>Factor de Emisión
Combustible Natural Gas</t>
  </si>
  <si>
    <t>Factor de Emisión
Combustible No. 6 Oil</t>
  </si>
  <si>
    <t>Emisiones Actuales (ton/year)</t>
  </si>
  <si>
    <t>Emisiones Actuales (lb/hr)</t>
  </si>
  <si>
    <t>Ecuación para el Cómputo</t>
  </si>
  <si>
    <t>ton/year =</t>
  </si>
  <si>
    <t>[Consumo de Combustible #6 en galones/year) * ( Valor Calorífico BC 0.15 MMBtu/gal)</t>
  </si>
  <si>
    <t>+ (Consumo Gas Natural SCF/year) * (Valor Calorífico GN 1,040 MMBtu/SCF*10^6)]</t>
  </si>
  <si>
    <t>* FE en lbs/MMBtu * 1 ton/2,000 lbs</t>
  </si>
  <si>
    <t>157*%S</t>
  </si>
  <si>
    <t>lbs/hr =</t>
  </si>
  <si>
    <t xml:space="preserve">(Toneladas Contaminante / year) * (1 year / 8,760 hr) * (2000 lb / ton) </t>
  </si>
  <si>
    <t>lbs/gal</t>
  </si>
  <si>
    <t>lbs/scf</t>
  </si>
  <si>
    <t>25.618 lbs/gal</t>
  </si>
  <si>
    <t>0.1205 lbs/SCF</t>
  </si>
  <si>
    <t>SCF/year</t>
  </si>
  <si>
    <t>#6 Azufre =</t>
  </si>
  <si>
    <t>%</t>
  </si>
  <si>
    <t>NOx =</t>
  </si>
  <si>
    <t xml:space="preserve">galones  </t>
  </si>
  <si>
    <t xml:space="preserve">MMBtu            </t>
  </si>
  <si>
    <t>*</t>
  </si>
  <si>
    <t xml:space="preserve">lbs         </t>
  </si>
  <si>
    <t>+</t>
  </si>
  <si>
    <t xml:space="preserve">SCF       </t>
  </si>
  <si>
    <t xml:space="preserve">MMBtu   </t>
  </si>
  <si>
    <t>MMBtu</t>
  </si>
  <si>
    <t>lbs</t>
  </si>
  <si>
    <t>ton/year</t>
  </si>
  <si>
    <t>lb/hr</t>
  </si>
  <si>
    <t>CO =</t>
  </si>
  <si>
    <t>VOC =</t>
  </si>
  <si>
    <t>PM =</t>
  </si>
  <si>
    <t>PM10 =</t>
  </si>
  <si>
    <t>PM2.5 =</t>
  </si>
  <si>
    <t>SO2 =</t>
  </si>
  <si>
    <t>gals</t>
  </si>
  <si>
    <t>H2SO4 =</t>
  </si>
  <si>
    <t>Pb =</t>
  </si>
  <si>
    <t>CO2e =</t>
  </si>
  <si>
    <t>Nota:</t>
  </si>
  <si>
    <t>* La formula y los factores de emisión utilizados son los aprobados en la última revisión del permiso</t>
  </si>
  <si>
    <t xml:space="preserve">de construcción PFE-31-0810-0455-II-C, con fecha del 21 de DICIEMBRE de 2012, para la quema dual </t>
  </si>
  <si>
    <t>de combustible 100% Bunker C y 100% Gas Natural, según corresponda.</t>
  </si>
  <si>
    <t>Cómputo de Emisiones Actuales para Bunker C y Gas Natural - Costa Sur year 2024 - Unidad 6*</t>
  </si>
  <si>
    <t>San Juan BC Consumption 2024</t>
  </si>
  <si>
    <t>SJ7</t>
  </si>
  <si>
    <t>SJ8</t>
  </si>
  <si>
    <t>SJ9</t>
  </si>
  <si>
    <t>SJ10</t>
  </si>
  <si>
    <t>***</t>
  </si>
  <si>
    <t>SJ #2FO Consumption 2024</t>
  </si>
  <si>
    <t>San Juan Natural Gas Consumtion 2024</t>
  </si>
  <si>
    <t>Horas</t>
  </si>
  <si>
    <t>SJCC5</t>
  </si>
  <si>
    <t>SJCC6</t>
  </si>
  <si>
    <t>Cómputo de Emisiones Actuales  year 2024 - San Juan 7-10</t>
  </si>
  <si>
    <t>Factores de Emisión de acuerdo a Permiso Título V</t>
  </si>
  <si>
    <t>0.040    lbs/MMBtu</t>
  </si>
  <si>
    <t>MATS Emission Limit + AP-42 Section 1.3 Condensable PM</t>
  </si>
  <si>
    <t>0.030     lbs/MMBtu</t>
  </si>
  <si>
    <t>MATS Emission Limit</t>
  </si>
  <si>
    <t>157*%S lbs/1000gal</t>
  </si>
  <si>
    <t xml:space="preserve">AP-42 Section 1.3 </t>
  </si>
  <si>
    <t>0.0405    lbs/MMBtu</t>
  </si>
  <si>
    <t>NOx (7&amp;8)</t>
  </si>
  <si>
    <t>47        lbs/1000gal</t>
  </si>
  <si>
    <t>AP-42 Section 1.3 wall fired boilers</t>
  </si>
  <si>
    <t>NOx (9&amp;10)</t>
  </si>
  <si>
    <t>32       lbs/1000gal</t>
  </si>
  <si>
    <t>AP-42 Section 1.3 tangential fired boilers</t>
  </si>
  <si>
    <t>0.76        lbs/1000gal</t>
  </si>
  <si>
    <t>5             lbs/1000gal</t>
  </si>
  <si>
    <t>0.00151   lbs/1000gal</t>
  </si>
  <si>
    <t>24.891 lbs/gal</t>
  </si>
  <si>
    <t>eGGRT GHG Report</t>
  </si>
  <si>
    <t>Combustible #6</t>
  </si>
  <si>
    <t>gal/year 7&amp;8</t>
  </si>
  <si>
    <t>gal/year 9&amp;10</t>
  </si>
  <si>
    <t>% Azufre</t>
  </si>
  <si>
    <t>NO INCLUIR EN PRINT OUT"=('San Juan'!J17+'San Juan'!K17+'San Juan'!L17+'San Juan'!M17)/4" se saco del promedio a la u-10 ya que estubo apagada</t>
  </si>
  <si>
    <t>Cálculos Emisiones PM10</t>
  </si>
  <si>
    <t>Cálculos Emisiones H2SO4</t>
  </si>
  <si>
    <t>Cálculos Emisiones SO2</t>
  </si>
  <si>
    <t>NOTA PARA EFECTOS DE CALCULO SE SUBSTITUYO EL PROMEDIO DE AZUFRE POR EL CALCULO A MANO = .47; LA CELDA DEBE SER =B14</t>
  </si>
  <si>
    <t>Cálculos Emisiones Nox (7&amp;8)</t>
  </si>
  <si>
    <t>Cálculos Emisiones Nox (9&amp;10)</t>
  </si>
  <si>
    <t>Cómputo de Emisiones Actuales para Distillate Oil y Gas Natural - San Juan year 2024 - Unidad 5</t>
  </si>
  <si>
    <t>Factor de Emisión
Combustible No. 2 Oil</t>
  </si>
  <si>
    <t>[Consumo de Combustible #6 en galones/year) * ( Valor Calorífico BC 0.138 MMBtu/gal)</t>
  </si>
  <si>
    <t>+ (Consumo Gas Natural SCF/year) * (Valor Calorífico GN 1,020 MMBtu/SCF*10^6)]</t>
  </si>
  <si>
    <t>1.01*%S</t>
  </si>
  <si>
    <t>22.578 lbs/gal</t>
  </si>
  <si>
    <t>#2 Azufre =</t>
  </si>
  <si>
    <t>Cómputo de Emisiones Actuales para Distillate Oil y Gas Natural - San Juan year 2024 - Unidad 6</t>
  </si>
  <si>
    <t>Aguirre BC Consumption 2024</t>
  </si>
  <si>
    <t>Azufre % por peso</t>
  </si>
  <si>
    <t>Total
gal/year</t>
  </si>
  <si>
    <t>AG-1</t>
  </si>
  <si>
    <t>AG-2</t>
  </si>
  <si>
    <t>avg</t>
  </si>
  <si>
    <t>Aguirre CC #2 FO Consumption 2024</t>
  </si>
  <si>
    <t>Azufre Average</t>
  </si>
  <si>
    <t>CC1-1</t>
  </si>
  <si>
    <t>CC1-2</t>
  </si>
  <si>
    <t>CC1-3</t>
  </si>
  <si>
    <t>CC1-4</t>
  </si>
  <si>
    <t>CC2-1</t>
  </si>
  <si>
    <t>CC2-2</t>
  </si>
  <si>
    <t>CC2-3</t>
  </si>
  <si>
    <t>CC2-4</t>
  </si>
  <si>
    <t>Aguirre Turbines #2 FO Consumption 2024</t>
  </si>
  <si>
    <t>AGGT2-1</t>
  </si>
  <si>
    <t>AGGT2-2</t>
  </si>
  <si>
    <t>Ejemplo Cómputo de Emisiones year 2024 - Termoleléctrica Aguirre  1 y Aguirre 2</t>
  </si>
  <si>
    <t>Ejemplo Cómputo de Emisiones year 2024 - Aguirre (Ciclo Combinado + Turbinas de Gas)</t>
  </si>
  <si>
    <t>Factores de Emisión AP-42 Section 1.3</t>
  </si>
  <si>
    <t>(9.19)(%S) + 3.22 lb/1000gal</t>
  </si>
  <si>
    <t>0.012          lb/MMBTU</t>
  </si>
  <si>
    <t>157*%S lb/1000gal</t>
  </si>
  <si>
    <t>1.01*%S     lb/MMBTU</t>
  </si>
  <si>
    <t>0.33 lb/MMBtu (CD Relatively Maintained NOx Target)</t>
  </si>
  <si>
    <t>0.880          lb/MMBTU</t>
  </si>
  <si>
    <t>0.76 lb/1000gal</t>
  </si>
  <si>
    <t>0.00041      lb/MMBTU</t>
  </si>
  <si>
    <t>5 lb/1000gal</t>
  </si>
  <si>
    <t>0.0033        lb/MMBTU</t>
  </si>
  <si>
    <t>0.00151 lb/1000gal</t>
  </si>
  <si>
    <t>0.0000140   lb/MMBTU</t>
  </si>
  <si>
    <t>25.036 lb/gal</t>
  </si>
  <si>
    <t>40 CFR 98</t>
  </si>
  <si>
    <t>22.578 lb/gal</t>
  </si>
  <si>
    <t>0.15 MMBtu</t>
  </si>
  <si>
    <t>Palo Seco BC Consumption 2024</t>
  </si>
  <si>
    <t>Gallons</t>
  </si>
  <si>
    <t>PS-1</t>
  </si>
  <si>
    <t>PS-2</t>
  </si>
  <si>
    <t>PS-3</t>
  </si>
  <si>
    <t>PS-4</t>
  </si>
  <si>
    <t>Total Galones</t>
  </si>
  <si>
    <t>Total
(Barriles/yr)</t>
  </si>
  <si>
    <t>Palo Seco #2 FO Consumtion 2024</t>
  </si>
  <si>
    <t>PSGT1-1</t>
  </si>
  <si>
    <t>PSGT1-2</t>
  </si>
  <si>
    <t>PSGT2-1</t>
  </si>
  <si>
    <t>PSGT2-2</t>
  </si>
  <si>
    <t>PSGT3-1</t>
  </si>
  <si>
    <t>PSGT3-2</t>
  </si>
  <si>
    <t>Total
(gal/yr)</t>
  </si>
  <si>
    <t>Palo Seco MobilePacs</t>
  </si>
  <si>
    <t>Gallons Distillate</t>
  </si>
  <si>
    <t>SCF Natural Gas</t>
  </si>
  <si>
    <t>PSMP1</t>
  </si>
  <si>
    <t>PSMP2</t>
  </si>
  <si>
    <t>PSMP3</t>
  </si>
  <si>
    <t>MP1</t>
  </si>
  <si>
    <t>MP2</t>
  </si>
  <si>
    <t>MP3</t>
  </si>
  <si>
    <t>Cómputo de Emisiones Actuales year 2024 - Palo Seco (Termo) - Unidades 1 a 4</t>
  </si>
  <si>
    <t>Cómputo de Emisiones Actuales year 2024 - Palo Seco (Turbinas) - Bloques 1 a 3</t>
  </si>
  <si>
    <t>0.36 lb/MMBtu (CD Relatively Maintained NOx Target)</t>
  </si>
  <si>
    <t>0.88 lb/MMBTU</t>
  </si>
  <si>
    <t>0.00041 l/MMBTU</t>
  </si>
  <si>
    <t>HAP,s (Pb)</t>
  </si>
  <si>
    <t>0.000014 lb MMBTU</t>
  </si>
  <si>
    <t>24.632 lb/gal</t>
  </si>
  <si>
    <t>Cómputo de Emisiones Actuales para Distillate OIl y Gas Natural - Palo Seco year 2024 - MobilePacs</t>
  </si>
  <si>
    <t>[Consumo de Combustible #2 en galones/year) * ( Valor Calorífico BC 0.138 MMBtu/gal)</t>
  </si>
  <si>
    <t>+ (Consumo Gas Natural SCF/year) * (Valor Calorífico GN 1,026 MMBtu/SCF*10^6)]</t>
  </si>
  <si>
    <t xml:space="preserve">de construcción PFE-31-0810-0455-II-C, con fecha del 21 de marzo de 2012, para la quema dual </t>
  </si>
  <si>
    <t>Vega Baja FO#2 2024</t>
  </si>
  <si>
    <t>Daguao FO#2 2024</t>
  </si>
  <si>
    <t>YabucoaFO#2 2024</t>
  </si>
  <si>
    <t xml:space="preserve"> % Azufre</t>
  </si>
  <si>
    <t>VBGT1-1</t>
  </si>
  <si>
    <t>VBGT1-2</t>
  </si>
  <si>
    <t>DAGT1-1</t>
  </si>
  <si>
    <t>DAGT1-2</t>
  </si>
  <si>
    <t>Mon th</t>
  </si>
  <si>
    <t>YAGT1-1</t>
  </si>
  <si>
    <t>YAGT1-2</t>
  </si>
  <si>
    <t>JOGT1-1</t>
  </si>
  <si>
    <t>JOGT1-2</t>
  </si>
  <si>
    <t>DAGGT1-1</t>
  </si>
  <si>
    <t>DAGGT1-2</t>
  </si>
  <si>
    <t>MAG-5</t>
  </si>
  <si>
    <t>MAG-6</t>
  </si>
  <si>
    <t>MAG-7</t>
  </si>
  <si>
    <t>MAG-8</t>
  </si>
  <si>
    <t>PROMEDIO ANNUAL</t>
  </si>
  <si>
    <t>Total gal/yr</t>
  </si>
  <si>
    <t>Mayaguez FO#2 2024</t>
  </si>
  <si>
    <t>Cambalache FO#2 2024</t>
  </si>
  <si>
    <t>CAMB 1</t>
  </si>
  <si>
    <t>CAMB 2</t>
  </si>
  <si>
    <t>CAMB 3</t>
  </si>
  <si>
    <t xml:space="preserve">                                                                                                                                                 </t>
  </si>
  <si>
    <t>Cómputo de Emisiones 2024 - Central Cambalache Unidad 2</t>
  </si>
  <si>
    <t>Cómputo de Emisiones 2024 - Central Cambalache Unidad 3</t>
  </si>
  <si>
    <t>Horas de Operacion @ 60 %</t>
  </si>
  <si>
    <t>Cambalache 1</t>
  </si>
  <si>
    <t>Cambalache 2</t>
  </si>
  <si>
    <t>Cambalache 3</t>
  </si>
  <si>
    <t>Cálculos con los Factores de Limite PSD (July 5, 2006)</t>
  </si>
  <si>
    <t>PM10        =</t>
  </si>
  <si>
    <t>[(51 lb/hr @100% carga * horas @100% carga)+(51 lb/hr @60% carga1 *  horas @ 60%carga)]/(2000 ton/lb)</t>
  </si>
  <si>
    <t>SOx         =</t>
  </si>
  <si>
    <t>[(137 lb/hr @100% carga * horas @100% carga)+(137 lb/hr @60% carga1 *  horas @60% carga)]/(2000 ton/lb)</t>
  </si>
  <si>
    <t>CEMS</t>
  </si>
  <si>
    <t>VOC        =</t>
  </si>
  <si>
    <t>[(13 lb/hr @100% carga * horas @100% carga)+(11 lb/hr @60% carga1 *  horas @60% carga)]/(2000 ton/lb)</t>
  </si>
  <si>
    <t>Pb           =</t>
  </si>
  <si>
    <t>[(0.023 lb/hr @100% carga*horas @100% carga)+(0.016 lb/hr @60% carga1*horas @60% carga)]/(2000 ton/lb)</t>
  </si>
  <si>
    <t>Combustible</t>
  </si>
  <si>
    <t>Hrs @100% Carga</t>
  </si>
  <si>
    <t>hrs</t>
  </si>
  <si>
    <t>Hrs @60% Carga</t>
  </si>
  <si>
    <t>Horas de Operacion @ 100 %</t>
  </si>
  <si>
    <t xml:space="preserve">horas     </t>
  </si>
  <si>
    <t>horas</t>
  </si>
  <si>
    <t>Cambalache Emissions 2024
As reported in CEMS</t>
  </si>
  <si>
    <t>NOx (lb)</t>
  </si>
  <si>
    <t>CO (lb)</t>
  </si>
  <si>
    <t>NOx (lb) UNIT 2</t>
  </si>
  <si>
    <t>NOx (lb) UNIT 3</t>
  </si>
  <si>
    <t>TOTAL U-2 &amp; 3</t>
  </si>
  <si>
    <t>CO (lb) UNIT 2</t>
  </si>
  <si>
    <t>CO (lb) UNIT 3</t>
  </si>
  <si>
    <t>Total (lb/yr)</t>
  </si>
  <si>
    <t>Total (ton/yr)</t>
  </si>
  <si>
    <t>TOTAL COMBINED</t>
  </si>
  <si>
    <t>Cómputo de Emisiones Actuales year 2024- Daguao Unidad 1</t>
  </si>
  <si>
    <t>Cómputo de Emisiones Actuales year 2024- Daguao Unidad 2</t>
  </si>
  <si>
    <t>0.012 lb/MMBTU</t>
  </si>
  <si>
    <t>gal/yr</t>
  </si>
  <si>
    <t>galones</t>
  </si>
  <si>
    <t>Cómputo de Emisiones Actuales year 2024 - YAGT1-1</t>
  </si>
  <si>
    <t>Cómputo de Emisiones Actuales year 2024 - YAGT1-2</t>
  </si>
  <si>
    <t>AP-42 Fifth Edition, Volume I, Chapter 3.1</t>
  </si>
  <si>
    <t>Stationary Internal Combustion Sources</t>
  </si>
  <si>
    <t>lb/MMBTU</t>
  </si>
  <si>
    <t>*S lb/MMBTU</t>
  </si>
  <si>
    <t>(Unidades limitadas a 2,600 hrs de operación anual)</t>
  </si>
  <si>
    <t>Cómputo de Emisiones Actuales year 2024 - Vega Baja VBGT1-1</t>
  </si>
  <si>
    <t>Cómputo de Emisiones Actuales year 2024 - Vega Baja VBGT1-2</t>
  </si>
  <si>
    <t xml:space="preserve">AP-42, Fifth Edition, Volume I, Chapter 3.1: </t>
  </si>
  <si>
    <t>Cómputo de Emisiones Actuales year 2024 - JOGT1-1</t>
  </si>
  <si>
    <t>Cómputo de Emisiones Actuales year 2024 - JOGT1-2</t>
  </si>
  <si>
    <t>(Units limited to 2,600 hrs of operation per year)</t>
  </si>
  <si>
    <t>Cómputo de Emisiones Actuales year 2024- Mayagüez MAYGT5</t>
  </si>
  <si>
    <t>Cómputo de Emisiones Actuales year 2024- Mayagüez MAYGT6</t>
  </si>
  <si>
    <t>Cómputo de Emisiones Actuales year 2024- Mayagüez MAYGT7</t>
  </si>
  <si>
    <t>Cómputo de Emisiones Actuales year 2024- Mayagüez MAYGT8</t>
  </si>
  <si>
    <t>Factores de Emisión AP-42 Sect. 3.1</t>
  </si>
  <si>
    <t>0.288 lb/MMBTU</t>
  </si>
  <si>
    <t>Permit Limit (PFE-50-0307-0286-I-II-C)</t>
  </si>
  <si>
    <t>gals/year</t>
  </si>
  <si>
    <t>Emisiones mensuales 2024</t>
  </si>
  <si>
    <t>Concepto</t>
  </si>
  <si>
    <t>Unidad</t>
  </si>
  <si>
    <t>SOx / SO2</t>
  </si>
  <si>
    <t>Detalle por instalación: entradas mensuales y emisiones calculadas</t>
  </si>
  <si>
    <t>Costa Sur 5 y 6</t>
  </si>
  <si>
    <t>CS5 combustible #6</t>
  </si>
  <si>
    <t>CS5 gas natural</t>
  </si>
  <si>
    <t>CS5 azufre #6</t>
  </si>
  <si>
    <t>% peso</t>
  </si>
  <si>
    <t>CS6 combustible #6</t>
  </si>
  <si>
    <t>CS6 gas natural</t>
  </si>
  <si>
    <t>CS6 azufre #6</t>
  </si>
  <si>
    <t>Costa Sur turbinas 1-1 y 1-2</t>
  </si>
  <si>
    <t>Azufre #2 ponderado</t>
  </si>
  <si>
    <t>Vapor 7–8 combustible #6</t>
  </si>
  <si>
    <t>Vapor 9–10 combustible #6</t>
  </si>
  <si>
    <t>Azufre vapor ponderado</t>
  </si>
  <si>
    <t>SJ5 combustible #2</t>
  </si>
  <si>
    <t>SJ5 gas natural</t>
  </si>
  <si>
    <t>SJ5 azufre #2</t>
  </si>
  <si>
    <t>SJ6 combustible #2</t>
  </si>
  <si>
    <t>SJ6 gas natural</t>
  </si>
  <si>
    <t>SJ6 azufre #2</t>
  </si>
  <si>
    <t>Azufre #6 ponderado</t>
  </si>
  <si>
    <t>Combustible #2 CC y turbinas</t>
  </si>
  <si>
    <t>Palo Seco (incluye MobilePacs)</t>
  </si>
  <si>
    <t>Turbinas combustible #2</t>
  </si>
  <si>
    <t>Turbinas azufre #2 ponderado</t>
  </si>
  <si>
    <t>MPs combustible #2</t>
  </si>
  <si>
    <t>MPs campo gas (validar)</t>
  </si>
  <si>
    <t>Unidad 2 combustible #2</t>
  </si>
  <si>
    <t>Unidad 2 horas al 100%</t>
  </si>
  <si>
    <t>h</t>
  </si>
  <si>
    <t>Unidad 2 horas al 60%</t>
  </si>
  <si>
    <t>Unidad 3 combustible #2</t>
  </si>
  <si>
    <t>Unidad 3 horas al 100%</t>
  </si>
  <si>
    <t>Unidad 3 horas al 60%</t>
  </si>
  <si>
    <t>NOx medido CEMS</t>
  </si>
  <si>
    <t>CO medido CEMS</t>
  </si>
  <si>
    <t>Daguao</t>
  </si>
  <si>
    <t>Unidad 1 combustible #2</t>
  </si>
  <si>
    <t>Unidad 1 azufre #2</t>
  </si>
  <si>
    <t>Unidad 2 azufre #2</t>
  </si>
  <si>
    <t>Unidad 5 combustible #2</t>
  </si>
  <si>
    <t>Unidad 5 azufre #2</t>
  </si>
  <si>
    <t>Unidad 6 combustible #2</t>
  </si>
  <si>
    <t>Unidad 6 azufre #2</t>
  </si>
  <si>
    <t>Unidad 7 combustible #2</t>
  </si>
  <si>
    <t>Unidad 7 azufre #2</t>
  </si>
  <si>
    <t>Unidad 8 combustible #2</t>
  </si>
  <si>
    <t>Unidad 8 azufre #2</t>
  </si>
  <si>
    <t>Tasas de emisión 2024</t>
  </si>
  <si>
    <t>Ene</t>
  </si>
  <si>
    <t>Feb</t>
  </si>
  <si>
    <t>Mar</t>
  </si>
  <si>
    <t>Abr</t>
  </si>
  <si>
    <t>Jun</t>
  </si>
  <si>
    <t>Jul</t>
  </si>
  <si>
    <t>Ago</t>
  </si>
  <si>
    <t>Sep</t>
  </si>
  <si>
    <t>Oct</t>
  </si>
  <si>
    <t>Nov</t>
  </si>
  <si>
    <t>Dic</t>
  </si>
  <si>
    <t>CO2e (complementario)</t>
  </si>
  <si>
    <t>Combustible incluido en cada tasa (MMBtu)</t>
  </si>
  <si>
    <t>Alcance general documentado</t>
  </si>
  <si>
    <t>Fuentes del agregado PM</t>
  </si>
  <si>
    <t>Fuentes del agregado PM10</t>
  </si>
  <si>
    <t>Fuentes del agregado PM2.5</t>
  </si>
  <si>
    <t>Fuentes del agregado H2SO4</t>
  </si>
  <si>
    <t>Emisiones tomadas de la hoja mensual (ton)</t>
  </si>
  <si>
    <t>ton cortas</t>
  </si>
  <si>
    <t>Emisiones usadas para calcular las tasas (ton)</t>
  </si>
  <si>
    <t>Factores del gas de MobilePacs</t>
  </si>
  <si>
    <t>Libras por tonelada corta</t>
  </si>
  <si>
    <t>lb/ton</t>
  </si>
  <si>
    <t>Btu por MMBtu</t>
  </si>
  <si>
    <t>Btu/MMBtu</t>
  </si>
  <si>
    <t>Galones por barril</t>
  </si>
  <si>
    <t>gal/bbl</t>
  </si>
  <si>
    <t>Cantidad de combustible consumido</t>
  </si>
  <si>
    <t>Costa Sur 5 · Bunker C</t>
  </si>
  <si>
    <t>Costa Sur 5 · gas natural</t>
  </si>
  <si>
    <t>Costa Sur 6 · Bunker C</t>
  </si>
  <si>
    <t>Costa Sur 6 · gas natural</t>
  </si>
  <si>
    <t>Costa Sur turbinas · diésel</t>
  </si>
  <si>
    <t>San Juan vapor · Bunker C</t>
  </si>
  <si>
    <t>San Juan 5 · diésel</t>
  </si>
  <si>
    <t>San Juan 5 · gas natural</t>
  </si>
  <si>
    <t>San Juan 6 · diésel</t>
  </si>
  <si>
    <t>San Juan 6 · gas natural</t>
  </si>
  <si>
    <t>Aguirre vapor · Bunker C</t>
  </si>
  <si>
    <t>Aguirre CC y turbinas · diésel</t>
  </si>
  <si>
    <t>Palo Seco vapor · Bunker C</t>
  </si>
  <si>
    <t>Palo Seco turbinas · diésel</t>
  </si>
  <si>
    <t>MobilePacs · diésel</t>
  </si>
  <si>
    <t>MobilePacs · gas natural</t>
  </si>
  <si>
    <t>Cambalache · diésel, ambas unidades</t>
  </si>
  <si>
    <t>Daguao · diésel</t>
  </si>
  <si>
    <t>Yabucoa · diésel</t>
  </si>
  <si>
    <t>Vega Baja · diésel</t>
  </si>
  <si>
    <t>Jobos · diésel</t>
  </si>
  <si>
    <t>Mayagüez · diésel</t>
  </si>
  <si>
    <t>Energía por unidad de combustible</t>
  </si>
  <si>
    <t>MMBtu/gal</t>
  </si>
  <si>
    <t>Btu/SCF</t>
  </si>
  <si>
    <t>Cantidad × energía por unidad = MMBtu</t>
  </si>
  <si>
    <t xml:space="preserve">Cómputo de Emisiones Actuales - Costa Sur (Turbinas 1-1 &amp; 1-2) DICIEMBRE </t>
  </si>
  <si>
    <t>Consumo #6  =</t>
  </si>
  <si>
    <t>Consumo NG  =</t>
  </si>
  <si>
    <t>Consumo #2  =</t>
  </si>
  <si>
    <t xml:space="preserve">Jobos FO#2 </t>
  </si>
  <si>
    <t>yearly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</si>
</sst>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9">
    <numFmt numFmtId="164" formatCode="_(* #,##0.00_);_(* \(#,##0.00\);_(* \-??_);_(@_)"/>
    <numFmt numFmtId="165" formatCode="#,##0.0000_);[Red]\(#,##0.0000\)"/>
    <numFmt numFmtId="166" formatCode="#,##0.000_);[Red]\(#,##0.000\)"/>
    <numFmt numFmtId="167" formatCode="mmm\-yyyy"/>
    <numFmt numFmtId="168" formatCode="#,##0.0000"/>
    <numFmt numFmtId="169" formatCode="#,##0.00000"/>
    <numFmt numFmtId="170" formatCode="0.0000"/>
    <numFmt numFmtId="171" formatCode="0.000"/>
    <numFmt numFmtId="172" formatCode="00000"/>
    <numFmt numFmtId="173" formatCode="#,##0.000"/>
    <numFmt numFmtId="174" formatCode="0.0"/>
    <numFmt numFmtId="175" formatCode="0.00000"/>
    <numFmt numFmtId="176" formatCode="&quot;ene&quot;"/>
    <numFmt numFmtId="177" formatCode="&quot;feb&quot;"/>
    <numFmt numFmtId="178" formatCode="&quot;mar&quot;"/>
    <numFmt numFmtId="179" formatCode="&quot;abr&quot;"/>
    <numFmt numFmtId="180" formatCode="&quot;may&quot;"/>
    <numFmt numFmtId="181" formatCode="&quot;jun&quot;"/>
    <numFmt numFmtId="182" formatCode="&quot;jul&quot;"/>
    <numFmt numFmtId="183" formatCode="&quot;ago&quot;"/>
    <numFmt numFmtId="184" formatCode="&quot;sep&quot;"/>
    <numFmt numFmtId="185" formatCode="&quot;oct&quot;"/>
    <numFmt numFmtId="186" formatCode="&quot;nov&quot;"/>
    <numFmt numFmtId="187" formatCode="&quot;dic&quot;"/>
    <numFmt numFmtId="188" formatCode="#,##0.000;[Red]\(#,##0.000\);0.000"/>
    <numFmt numFmtId="189" formatCode="0.000000"/>
    <numFmt numFmtId="190" formatCode="0.00000000"/>
    <numFmt numFmtId="191" formatCode="#,##0.000000"/>
    <numFmt numFmtId="192" formatCode="0.000000000"/>
  </numFmts>
  <fonts count="43" x14ac:knownFonts="1">
    <font>
      <sz val="10"/>
      <name val="Arial"/>
      <family val="2"/>
      <charset val="1"/>
    </font>
    <font>
      <sz val="11"/>
      <color theme="1"/>
      <name val="Calibri"/>
      <charset val="1"/>
    </font>
    <font>
      <sz val="11"/>
      <color theme="0"/>
      <name val="Calibri"/>
      <charset val="1"/>
    </font>
    <font>
      <sz val="11"/>
      <color rgb="FF9C0006"/>
      <name val="Calibri"/>
      <charset val="1"/>
    </font>
    <font>
      <b/>
      <sz val="11"/>
      <color rgb="FFFA7D00"/>
      <name val="Calibri"/>
      <charset val="1"/>
    </font>
    <font>
      <b/>
      <sz val="11"/>
      <color theme="0"/>
      <name val="Calibri"/>
      <charset val="1"/>
    </font>
    <font>
      <sz val="10"/>
      <name val="Arial"/>
      <charset val="1"/>
    </font>
    <font>
      <i/>
      <sz val="11"/>
      <color rgb="FF7F7F7F"/>
      <name val="Calibri"/>
      <charset val="1"/>
    </font>
    <font>
      <sz val="11"/>
      <color rgb="FF006100"/>
      <name val="Calibri"/>
      <charset val="1"/>
    </font>
    <font>
      <b/>
      <sz val="15"/>
      <color theme="3"/>
      <name val="Calibri"/>
      <charset val="1"/>
    </font>
    <font>
      <b/>
      <sz val="13"/>
      <color theme="3"/>
      <name val="Calibri"/>
      <charset val="1"/>
    </font>
    <font>
      <b/>
      <sz val="11"/>
      <color theme="3"/>
      <name val="Calibri"/>
      <charset val="1"/>
    </font>
    <font>
      <sz val="11"/>
      <color rgb="FF3F3F76"/>
      <name val="Calibri"/>
      <charset val="1"/>
    </font>
    <font>
      <sz val="11"/>
      <color rgb="FFFA7D00"/>
      <name val="Calibri"/>
      <charset val="1"/>
    </font>
    <font>
      <sz val="11"/>
      <color rgb="FF9C6500"/>
      <name val="Calibri"/>
      <charset val="1"/>
    </font>
    <font>
      <b/>
      <sz val="11"/>
      <color rgb="FF3F3F3F"/>
      <name val="Calibri"/>
      <charset val="1"/>
    </font>
    <font>
      <b/>
      <sz val="18"/>
      <color theme="3"/>
      <name val="Cambria"/>
      <charset val="1"/>
    </font>
    <font>
      <b/>
      <sz val="11"/>
      <color theme="1"/>
      <name val="Calibri"/>
      <charset val="1"/>
    </font>
    <font>
      <sz val="11"/>
      <color rgb="FFFF0000"/>
      <name val="Calibri"/>
      <charset val="1"/>
    </font>
    <font>
      <b/>
      <u/>
      <sz val="14"/>
      <color theme="1"/>
      <name val="Calibri"/>
      <family val="2"/>
      <charset val="1"/>
    </font>
    <font>
      <sz val="11"/>
      <color theme="1"/>
      <name val="Calibri"/>
      <family val="2"/>
      <charset val="1"/>
    </font>
    <font>
      <b/>
      <sz val="14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10"/>
      <color theme="1"/>
      <name val="Calibri"/>
      <family val="2"/>
      <charset val="1"/>
    </font>
    <font>
      <b/>
      <sz val="11"/>
      <name val="Calibri"/>
      <charset val="1"/>
    </font>
    <font>
      <sz val="10"/>
      <name val="Arial"/>
      <family val="2"/>
    </font>
    <font>
      <sz val="11"/>
      <name val="Calibri"/>
      <charset val="1"/>
    </font>
    <font>
      <sz val="11"/>
      <color rgb="FF000000"/>
      <name val="Calibri"/>
      <charset val="1"/>
    </font>
    <font>
      <sz val="11"/>
      <name val="Arial"/>
      <charset val="1"/>
    </font>
    <font>
      <b/>
      <sz val="11"/>
      <name val="Arial"/>
      <charset val="1"/>
    </font>
    <font>
      <b/>
      <sz val="10"/>
      <name val="Arial"/>
      <charset val="1"/>
    </font>
    <font>
      <b/>
      <sz val="10"/>
      <color theme="0"/>
      <name val="Arial"/>
      <charset val="1"/>
    </font>
    <font>
      <b/>
      <sz val="11"/>
      <color rgb="FFFF0000"/>
      <name val="Calibri"/>
      <charset val="1"/>
    </font>
    <font>
      <b/>
      <sz val="10"/>
      <color theme="1"/>
      <name val="Arial"/>
      <charset val="1"/>
    </font>
    <font>
      <b/>
      <sz val="11"/>
      <color rgb="FF000000"/>
      <name val="Calibri"/>
      <charset val="1"/>
    </font>
    <font>
      <sz val="8"/>
      <name val="Arial"/>
      <charset val="1"/>
    </font>
    <font>
      <sz val="10"/>
      <color theme="1"/>
      <name val="Arial"/>
      <charset val="1"/>
    </font>
    <font>
      <b/>
      <sz val="10"/>
      <color rgb="FFFF0000"/>
      <name val="Arial"/>
      <charset val="1"/>
    </font>
    <font>
      <b/>
      <sz val="10"/>
      <color rgb="FF222222"/>
      <name val="Poppins"/>
      <charset val="1"/>
    </font>
    <font>
      <sz val="10"/>
      <color rgb="FF222222"/>
      <name val="Poppins"/>
      <charset val="1"/>
    </font>
    <font>
      <sz val="11"/>
      <color rgb="FF222222"/>
      <name val="Calibri"/>
      <charset val="1"/>
    </font>
    <font>
      <sz val="10"/>
      <color theme="1"/>
      <name val="Poppins"/>
      <charset val="1"/>
    </font>
    <font>
      <i/>
      <sz val="10"/>
      <color rgb="FF222222"/>
      <name val="Poppins"/>
      <charset val="1"/>
    </font>
  </fonts>
  <fills count="41">
    <fill>
      <patternFill patternType="none"/>
    </fill>
    <fill>
      <patternFill patternType="gray125"/>
    </fill>
    <fill>
      <patternFill patternType="solid">
        <fgColor theme="4" tint="0.79979857783745845"/>
        <bgColor rgb="FFE0E8EE"/>
      </patternFill>
    </fill>
    <fill>
      <patternFill patternType="solid">
        <fgColor theme="5" tint="0.79979857783745845"/>
        <bgColor rgb="FFE6E0EC"/>
      </patternFill>
    </fill>
    <fill>
      <patternFill patternType="solid">
        <fgColor theme="6" tint="0.79979857783745845"/>
        <bgColor rgb="FFECF1F5"/>
      </patternFill>
    </fill>
    <fill>
      <patternFill patternType="solid">
        <fgColor theme="7" tint="0.79979857783745845"/>
        <bgColor rgb="FFE7E6E6"/>
      </patternFill>
    </fill>
    <fill>
      <patternFill patternType="solid">
        <fgColor theme="8" tint="0.79979857783745845"/>
        <bgColor rgb="FFE0E8EE"/>
      </patternFill>
    </fill>
    <fill>
      <patternFill patternType="solid">
        <fgColor theme="9" tint="0.79979857783745845"/>
        <bgColor rgb="FFFFF1CC"/>
      </patternFill>
    </fill>
    <fill>
      <patternFill patternType="solid">
        <fgColor theme="4" tint="0.59978026673177287"/>
        <bgColor rgb="FFB7DEE8"/>
      </patternFill>
    </fill>
    <fill>
      <patternFill patternType="solid">
        <fgColor theme="5" tint="0.59978026673177287"/>
        <bgColor rgb="FFFAC090"/>
      </patternFill>
    </fill>
    <fill>
      <patternFill patternType="solid">
        <fgColor theme="6" tint="0.59978026673177287"/>
        <bgColor rgb="FFD9D9D9"/>
      </patternFill>
    </fill>
    <fill>
      <patternFill patternType="solid">
        <fgColor theme="7" tint="0.59978026673177287"/>
        <bgColor rgb="FFC0C0C0"/>
      </patternFill>
    </fill>
    <fill>
      <patternFill patternType="solid">
        <fgColor theme="8" tint="0.59978026673177287"/>
        <bgColor rgb="FFB9CDE5"/>
      </patternFill>
    </fill>
    <fill>
      <patternFill patternType="solid">
        <fgColor theme="9" tint="0.59978026673177287"/>
        <bgColor rgb="FFFFCC99"/>
      </patternFill>
    </fill>
    <fill>
      <patternFill patternType="solid">
        <fgColor theme="4" tint="0.39979247413556324"/>
        <bgColor rgb="FFA7C0DE"/>
      </patternFill>
    </fill>
    <fill>
      <patternFill patternType="solid">
        <fgColor theme="5" tint="0.39979247413556324"/>
        <bgColor rgb="FFB3A2C7"/>
      </patternFill>
    </fill>
    <fill>
      <patternFill patternType="solid">
        <fgColor theme="6" tint="0.39979247413556324"/>
        <bgColor rgb="FFD7E4BD"/>
      </patternFill>
    </fill>
    <fill>
      <patternFill patternType="solid">
        <fgColor theme="7" tint="0.39979247413556324"/>
        <bgColor rgb="FFA9A9A9"/>
      </patternFill>
    </fill>
    <fill>
      <patternFill patternType="solid">
        <fgColor theme="8" tint="0.39979247413556324"/>
        <bgColor rgb="FFA7C0DE"/>
      </patternFill>
    </fill>
    <fill>
      <patternFill patternType="solid">
        <fgColor theme="9" tint="0.39979247413556324"/>
        <bgColor rgb="FFFFCC99"/>
      </patternFill>
    </fill>
    <fill>
      <patternFill patternType="solid">
        <fgColor theme="4"/>
        <bgColor rgb="FF4BACC6"/>
      </patternFill>
    </fill>
    <fill>
      <patternFill patternType="solid">
        <fgColor theme="5"/>
        <bgColor rgb="FF9C6500"/>
      </patternFill>
    </fill>
    <fill>
      <patternFill patternType="solid">
        <fgColor theme="6"/>
        <bgColor rgb="FFA9A9A9"/>
      </patternFill>
    </fill>
    <fill>
      <patternFill patternType="solid">
        <fgColor theme="7"/>
        <bgColor rgb="FF7F7F7F"/>
      </patternFill>
    </fill>
    <fill>
      <patternFill patternType="solid">
        <fgColor theme="8"/>
        <bgColor rgb="FF4F81BD"/>
      </patternFill>
    </fill>
    <fill>
      <patternFill patternType="solid">
        <fgColor theme="9"/>
        <bgColor rgb="FFFA7D00"/>
      </patternFill>
    </fill>
    <fill>
      <patternFill patternType="solid">
        <fgColor rgb="FFFFC7CE"/>
        <bgColor rgb="FFFCD5B5"/>
      </patternFill>
    </fill>
    <fill>
      <patternFill patternType="solid">
        <fgColor rgb="FFF2F2F2"/>
        <bgColor rgb="FFF1F5F7"/>
      </patternFill>
    </fill>
    <fill>
      <patternFill patternType="solid">
        <fgColor rgb="FFA9A9A9"/>
        <bgColor rgb="FFB3A2C7"/>
      </patternFill>
    </fill>
    <fill>
      <patternFill patternType="solid">
        <fgColor rgb="FFC6EFCE"/>
        <bgColor rgb="FFD7E4BD"/>
      </patternFill>
    </fill>
    <fill>
      <patternFill patternType="solid">
        <fgColor rgb="FFFFCC99"/>
        <bgColor rgb="FFFAC090"/>
      </patternFill>
    </fill>
    <fill>
      <patternFill patternType="solid">
        <fgColor rgb="FFFFEB9C"/>
        <bgColor rgb="FFFFF1CC"/>
      </patternFill>
    </fill>
    <fill>
      <patternFill patternType="solid">
        <fgColor rgb="FFFFFFCC"/>
        <bgColor rgb="FFFFF1CC"/>
      </patternFill>
    </fill>
    <fill>
      <patternFill patternType="solid">
        <fgColor theme="0"/>
        <bgColor rgb="FFF1F5F7"/>
      </patternFill>
    </fill>
    <fill>
      <patternFill patternType="solid">
        <fgColor theme="0" tint="-0.14999847407452621"/>
        <bgColor rgb="FFE6E0EC"/>
      </patternFill>
    </fill>
    <fill>
      <patternFill patternType="solid">
        <fgColor rgb="FFFFFF00"/>
        <bgColor rgb="FFFFEB9C"/>
      </patternFill>
    </fill>
    <fill>
      <patternFill patternType="solid">
        <fgColor rgb="FFECF1F5"/>
        <bgColor rgb="FFE9EFF5"/>
      </patternFill>
    </fill>
    <fill>
      <patternFill patternType="solid">
        <fgColor rgb="FFF1F5F7"/>
        <bgColor rgb="FFF2F2F2"/>
      </patternFill>
    </fill>
    <fill>
      <patternFill patternType="solid">
        <fgColor rgb="FFE7E6E6"/>
        <bgColor rgb="FFE0E8EE"/>
      </patternFill>
    </fill>
    <fill>
      <patternFill patternType="solid">
        <fgColor rgb="FFE0E8EE"/>
        <bgColor rgb="FFDCE6F2"/>
      </patternFill>
    </fill>
    <fill>
      <patternFill patternType="solid">
        <fgColor rgb="FFE9EFF5"/>
        <bgColor rgb="FFECF1F5"/>
      </patternFill>
    </fill>
  </fills>
  <borders count="10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77111117893003"/>
      </bottom>
      <diagonal/>
    </border>
    <border>
      <left/>
      <right/>
      <top/>
      <bottom style="medium">
        <color theme="4" tint="0.39979247413556324"/>
      </bottom>
      <diagonal/>
    </border>
    <border>
      <left/>
      <right/>
      <top/>
      <bottom style="double">
        <color rgb="FFFA7D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 diagonalDown="1">
      <left style="medium">
        <color auto="1"/>
      </left>
      <right style="thin">
        <color auto="1"/>
      </right>
      <top style="medium">
        <color auto="1"/>
      </top>
      <bottom style="thin">
        <color rgb="FFC0C0C0"/>
      </bottom>
      <diagonal style="medium">
        <color auto="1"/>
      </diagonal>
    </border>
    <border diagonalDown="1">
      <left style="thin">
        <color auto="1"/>
      </left>
      <right style="thin">
        <color auto="1"/>
      </right>
      <top style="medium">
        <color auto="1"/>
      </top>
      <bottom style="thin">
        <color rgb="FFC0C0C0"/>
      </bottom>
      <diagonal style="medium">
        <color auto="1"/>
      </diagonal>
    </border>
    <border diagonalDown="1">
      <left style="thin">
        <color auto="1"/>
      </left>
      <right style="medium">
        <color auto="1"/>
      </right>
      <top style="medium">
        <color auto="1"/>
      </top>
      <bottom style="thin">
        <color rgb="FFC0C0C0"/>
      </bottom>
      <diagonal style="medium">
        <color auto="1"/>
      </diagonal>
    </border>
    <border diagonalDown="1">
      <left style="medium">
        <color auto="1"/>
      </left>
      <right style="thin">
        <color auto="1"/>
      </right>
      <top style="thin">
        <color rgb="FFC0C0C0"/>
      </top>
      <bottom style="thin">
        <color rgb="FFC0C0C0"/>
      </bottom>
      <diagonal style="medium">
        <color auto="1"/>
      </diagonal>
    </border>
    <border diagonalDown="1">
      <left style="thin">
        <color auto="1"/>
      </left>
      <right style="thin">
        <color auto="1"/>
      </right>
      <top style="thin">
        <color rgb="FFC0C0C0"/>
      </top>
      <bottom style="thin">
        <color rgb="FFC0C0C0"/>
      </bottom>
      <diagonal style="medium">
        <color auto="1"/>
      </diagonal>
    </border>
    <border diagonalDown="1">
      <left style="thin">
        <color auto="1"/>
      </left>
      <right style="medium">
        <color auto="1"/>
      </right>
      <top style="thin">
        <color rgb="FFC0C0C0"/>
      </top>
      <bottom style="thin">
        <color rgb="FFC0C0C0"/>
      </bottom>
      <diagonal style="medium">
        <color auto="1"/>
      </diagonal>
    </border>
    <border>
      <left style="medium">
        <color auto="1"/>
      </left>
      <right style="thin">
        <color auto="1"/>
      </right>
      <top style="thin">
        <color rgb="FFC0C0C0"/>
      </top>
      <bottom style="thin">
        <color rgb="FFC0C0C0"/>
      </bottom>
      <diagonal/>
    </border>
    <border>
      <left style="thin">
        <color auto="1"/>
      </left>
      <right style="thin">
        <color auto="1"/>
      </right>
      <top style="thin">
        <color rgb="FFC0C0C0"/>
      </top>
      <bottom style="thin">
        <color rgb="FFC0C0C0"/>
      </bottom>
      <diagonal/>
    </border>
    <border>
      <left style="thin">
        <color auto="1"/>
      </left>
      <right style="medium">
        <color auto="1"/>
      </right>
      <top style="thin">
        <color rgb="FFC0C0C0"/>
      </top>
      <bottom style="thin">
        <color rgb="FFC0C0C0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C0C0C0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C0C0C0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C0C0C0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double">
        <color rgb="FF22394D"/>
      </bottom>
      <diagonal/>
    </border>
    <border>
      <left/>
      <right/>
      <top style="double">
        <color rgb="FF22394D"/>
      </top>
      <bottom/>
      <diagonal/>
    </border>
    <border>
      <left/>
      <right/>
      <top/>
      <bottom style="thin">
        <color rgb="FF233E5B"/>
      </bottom>
      <diagonal/>
    </border>
  </borders>
  <cellStyleXfs count="48">
    <xf numFmtId="0" fontId="0" fillId="0" borderId="0"/>
    <xf numFmtId="0" fontId="1" fillId="2" borderId="0"/>
    <xf numFmtId="0" fontId="1" fillId="3" borderId="0"/>
    <xf numFmtId="0" fontId="1" fillId="4" borderId="0"/>
    <xf numFmtId="0" fontId="1" fillId="5" borderId="0"/>
    <xf numFmtId="0" fontId="1" fillId="6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11" borderId="0"/>
    <xf numFmtId="0" fontId="1" fillId="12" borderId="0"/>
    <xf numFmtId="0" fontId="1" fillId="13" borderId="0"/>
    <xf numFmtId="0" fontId="2" fillId="14" borderId="0"/>
    <xf numFmtId="0" fontId="2" fillId="15" borderId="0"/>
    <xf numFmtId="0" fontId="2" fillId="16" borderId="0"/>
    <xf numFmtId="0" fontId="2" fillId="17" borderId="0"/>
    <xf numFmtId="0" fontId="2" fillId="18" borderId="0"/>
    <xf numFmtId="0" fontId="2" fillId="19" borderId="0"/>
    <xf numFmtId="0" fontId="2" fillId="20" borderId="0"/>
    <xf numFmtId="0" fontId="2" fillId="21" borderId="0"/>
    <xf numFmtId="0" fontId="2" fillId="22" borderId="0"/>
    <xf numFmtId="0" fontId="2" fillId="23" borderId="0"/>
    <xf numFmtId="0" fontId="2" fillId="24" borderId="0"/>
    <xf numFmtId="0" fontId="2" fillId="25" borderId="0"/>
    <xf numFmtId="0" fontId="3" fillId="26" borderId="0"/>
    <xf numFmtId="0" fontId="4" fillId="27" borderId="1"/>
    <xf numFmtId="0" fontId="5" fillId="28" borderId="2"/>
    <xf numFmtId="164" fontId="6" fillId="0" borderId="0"/>
    <xf numFmtId="0" fontId="7" fillId="0" borderId="0"/>
    <xf numFmtId="0" fontId="8" fillId="29" borderId="0"/>
    <xf numFmtId="0" fontId="9" fillId="0" borderId="3"/>
    <xf numFmtId="0" fontId="10" fillId="0" borderId="4"/>
    <xf numFmtId="0" fontId="11" fillId="0" borderId="5"/>
    <xf numFmtId="0" fontId="11" fillId="0" borderId="0"/>
    <xf numFmtId="0" fontId="12" fillId="30" borderId="1"/>
    <xf numFmtId="0" fontId="13" fillId="0" borderId="6"/>
    <xf numFmtId="0" fontId="14" fillId="31" borderId="0"/>
    <xf numFmtId="0" fontId="6" fillId="0" borderId="0">
      <alignment vertical="top"/>
    </xf>
    <xf numFmtId="0" fontId="1" fillId="0" borderId="0"/>
    <xf numFmtId="0" fontId="6" fillId="0" borderId="0">
      <alignment vertical="top"/>
    </xf>
    <xf numFmtId="0" fontId="6" fillId="0" borderId="0">
      <alignment vertical="top"/>
    </xf>
    <xf numFmtId="0" fontId="1" fillId="32" borderId="7"/>
    <xf numFmtId="0" fontId="15" fillId="27" borderId="8"/>
    <xf numFmtId="9" fontId="6" fillId="0" borderId="0"/>
    <xf numFmtId="0" fontId="16" fillId="0" borderId="0"/>
    <xf numFmtId="0" fontId="17" fillId="0" borderId="9"/>
    <xf numFmtId="0" fontId="18" fillId="0" borderId="0"/>
  </cellStyleXfs>
  <cellXfs count="631">
    <xf numFmtId="0" fontId="0" fillId="0" borderId="0" xfId="0"/>
    <xf numFmtId="0" fontId="6" fillId="0" borderId="44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24" fillId="33" borderId="14" xfId="0" applyFont="1" applyFill="1" applyBorder="1" applyAlignment="1">
      <alignment horizontal="center"/>
    </xf>
    <xf numFmtId="0" fontId="24" fillId="33" borderId="13" xfId="0" applyFont="1" applyFill="1" applyBorder="1" applyAlignment="1">
      <alignment horizontal="center"/>
    </xf>
    <xf numFmtId="0" fontId="19" fillId="0" borderId="0" xfId="0" applyFont="1"/>
    <xf numFmtId="0" fontId="20" fillId="0" borderId="0" xfId="0" applyFont="1"/>
    <xf numFmtId="0" fontId="21" fillId="0" borderId="0" xfId="0" applyFont="1"/>
    <xf numFmtId="40" fontId="19" fillId="0" borderId="0" xfId="0" applyNumberFormat="1" applyFont="1" applyAlignment="1">
      <alignment horizontal="center"/>
    </xf>
    <xf numFmtId="40" fontId="19" fillId="0" borderId="0" xfId="0" applyNumberFormat="1" applyFont="1" applyAlignment="1">
      <alignment horizontal="center" wrapText="1"/>
    </xf>
    <xf numFmtId="0" fontId="22" fillId="0" borderId="0" xfId="0" applyFont="1"/>
    <xf numFmtId="40" fontId="21" fillId="0" borderId="0" xfId="0" applyNumberFormat="1" applyFont="1"/>
    <xf numFmtId="40" fontId="23" fillId="0" borderId="0" xfId="0" applyNumberFormat="1" applyFont="1"/>
    <xf numFmtId="40" fontId="20" fillId="0" borderId="0" xfId="0" applyNumberFormat="1" applyFont="1"/>
    <xf numFmtId="0" fontId="20" fillId="0" borderId="0" xfId="0" applyFont="1" applyAlignment="1">
      <alignment horizontal="right"/>
    </xf>
    <xf numFmtId="0" fontId="24" fillId="0" borderId="0" xfId="0" applyFont="1"/>
    <xf numFmtId="40" fontId="21" fillId="0" borderId="10" xfId="0" applyNumberFormat="1" applyFont="1" applyBorder="1"/>
    <xf numFmtId="40" fontId="21" fillId="0" borderId="11" xfId="0" applyNumberFormat="1" applyFont="1" applyBorder="1"/>
    <xf numFmtId="165" fontId="20" fillId="0" borderId="0" xfId="0" applyNumberFormat="1" applyFont="1" applyAlignment="1">
      <alignment horizontal="right"/>
    </xf>
    <xf numFmtId="40" fontId="22" fillId="0" borderId="12" xfId="0" applyNumberFormat="1" applyFont="1" applyBorder="1"/>
    <xf numFmtId="40" fontId="22" fillId="0" borderId="12" xfId="0" applyNumberFormat="1" applyFont="1" applyBorder="1" applyAlignment="1">
      <alignment horizontal="right"/>
    </xf>
    <xf numFmtId="40" fontId="22" fillId="0" borderId="11" xfId="0" applyNumberFormat="1" applyFont="1" applyBorder="1"/>
    <xf numFmtId="166" fontId="20" fillId="0" borderId="0" xfId="0" applyNumberFormat="1" applyFont="1"/>
    <xf numFmtId="166" fontId="20" fillId="0" borderId="0" xfId="0" applyNumberFormat="1" applyFont="1" applyAlignment="1">
      <alignment horizontal="right"/>
    </xf>
    <xf numFmtId="165" fontId="20" fillId="0" borderId="0" xfId="0" applyNumberFormat="1" applyFont="1"/>
    <xf numFmtId="40" fontId="21" fillId="0" borderId="0" xfId="0" applyNumberFormat="1" applyFont="1" applyAlignment="1">
      <alignment horizontal="center"/>
    </xf>
    <xf numFmtId="40" fontId="20" fillId="0" borderId="0" xfId="0" applyNumberFormat="1" applyFont="1" applyAlignment="1">
      <alignment horizontal="right"/>
    </xf>
    <xf numFmtId="40" fontId="21" fillId="0" borderId="10" xfId="0" applyNumberFormat="1" applyFont="1" applyBorder="1" applyAlignment="1">
      <alignment horizontal="right"/>
    </xf>
    <xf numFmtId="0" fontId="26" fillId="33" borderId="0" xfId="0" applyFont="1" applyFill="1"/>
    <xf numFmtId="0" fontId="24" fillId="33" borderId="13" xfId="0" applyFont="1" applyFill="1" applyBorder="1"/>
    <xf numFmtId="0" fontId="24" fillId="33" borderId="16" xfId="0" applyFont="1" applyFill="1" applyBorder="1" applyAlignment="1">
      <alignment horizontal="center"/>
    </xf>
    <xf numFmtId="0" fontId="24" fillId="33" borderId="17" xfId="0" applyFont="1" applyFill="1" applyBorder="1" applyAlignment="1">
      <alignment horizontal="center"/>
    </xf>
    <xf numFmtId="0" fontId="24" fillId="33" borderId="18" xfId="0" applyFont="1" applyFill="1" applyBorder="1" applyAlignment="1">
      <alignment horizontal="center"/>
    </xf>
    <xf numFmtId="0" fontId="24" fillId="33" borderId="19" xfId="0" applyFont="1" applyFill="1" applyBorder="1" applyAlignment="1">
      <alignment horizontal="center"/>
    </xf>
    <xf numFmtId="0" fontId="24" fillId="33" borderId="20" xfId="0" applyFont="1" applyFill="1" applyBorder="1" applyAlignment="1">
      <alignment horizontal="center"/>
    </xf>
    <xf numFmtId="167" fontId="26" fillId="0" borderId="21" xfId="0" applyNumberFormat="1" applyFont="1" applyBorder="1" applyAlignment="1">
      <alignment horizontal="center" wrapText="1"/>
    </xf>
    <xf numFmtId="4" fontId="26" fillId="33" borderId="21" xfId="0" applyNumberFormat="1" applyFont="1" applyFill="1" applyBorder="1" applyAlignment="1">
      <alignment horizontal="center" wrapText="1"/>
    </xf>
    <xf numFmtId="4" fontId="26" fillId="0" borderId="22" xfId="0" applyNumberFormat="1" applyFont="1" applyBorder="1" applyAlignment="1">
      <alignment horizontal="center" wrapText="1"/>
    </xf>
    <xf numFmtId="4" fontId="26" fillId="0" borderId="23" xfId="0" applyNumberFormat="1" applyFont="1" applyBorder="1" applyAlignment="1">
      <alignment horizontal="center" wrapText="1"/>
    </xf>
    <xf numFmtId="4" fontId="26" fillId="33" borderId="24" xfId="0" applyNumberFormat="1" applyFont="1" applyFill="1" applyBorder="1" applyAlignment="1">
      <alignment horizontal="center" wrapText="1"/>
    </xf>
    <xf numFmtId="4" fontId="26" fillId="33" borderId="25" xfId="0" applyNumberFormat="1" applyFont="1" applyFill="1" applyBorder="1" applyAlignment="1">
      <alignment horizontal="center" wrapText="1"/>
    </xf>
    <xf numFmtId="167" fontId="26" fillId="0" borderId="26" xfId="0" applyNumberFormat="1" applyFont="1" applyBorder="1" applyAlignment="1">
      <alignment horizontal="center" wrapText="1"/>
    </xf>
    <xf numFmtId="4" fontId="26" fillId="33" borderId="26" xfId="0" applyNumberFormat="1" applyFont="1" applyFill="1" applyBorder="1" applyAlignment="1">
      <alignment horizontal="center" wrapText="1"/>
    </xf>
    <xf numFmtId="4" fontId="26" fillId="0" borderId="27" xfId="0" applyNumberFormat="1" applyFont="1" applyBorder="1" applyAlignment="1">
      <alignment horizontal="center" wrapText="1"/>
    </xf>
    <xf numFmtId="4" fontId="26" fillId="0" borderId="28" xfId="0" applyNumberFormat="1" applyFont="1" applyBorder="1" applyAlignment="1">
      <alignment horizontal="center" wrapText="1"/>
    </xf>
    <xf numFmtId="4" fontId="26" fillId="33" borderId="29" xfId="0" applyNumberFormat="1" applyFont="1" applyFill="1" applyBorder="1" applyAlignment="1">
      <alignment horizontal="center" wrapText="1"/>
    </xf>
    <xf numFmtId="4" fontId="26" fillId="0" borderId="30" xfId="0" applyNumberFormat="1" applyFont="1" applyBorder="1" applyAlignment="1">
      <alignment horizontal="center" wrapText="1"/>
    </xf>
    <xf numFmtId="4" fontId="26" fillId="33" borderId="31" xfId="0" applyNumberFormat="1" applyFont="1" applyFill="1" applyBorder="1" applyAlignment="1">
      <alignment horizontal="center" wrapText="1"/>
    </xf>
    <xf numFmtId="167" fontId="26" fillId="0" borderId="32" xfId="0" applyNumberFormat="1" applyFont="1" applyBorder="1" applyAlignment="1">
      <alignment horizontal="center" wrapText="1"/>
    </xf>
    <xf numFmtId="4" fontId="26" fillId="33" borderId="32" xfId="0" applyNumberFormat="1" applyFont="1" applyFill="1" applyBorder="1" applyAlignment="1">
      <alignment horizontal="center" wrapText="1"/>
    </xf>
    <xf numFmtId="4" fontId="26" fillId="0" borderId="33" xfId="0" applyNumberFormat="1" applyFont="1" applyBorder="1" applyAlignment="1">
      <alignment horizontal="center" wrapText="1"/>
    </xf>
    <xf numFmtId="4" fontId="26" fillId="0" borderId="34" xfId="0" applyNumberFormat="1" applyFont="1" applyBorder="1" applyAlignment="1">
      <alignment horizontal="center" wrapText="1"/>
    </xf>
    <xf numFmtId="4" fontId="26" fillId="33" borderId="35" xfId="0" applyNumberFormat="1" applyFont="1" applyFill="1" applyBorder="1" applyAlignment="1">
      <alignment horizontal="center" wrapText="1"/>
    </xf>
    <xf numFmtId="4" fontId="24" fillId="33" borderId="13" xfId="0" applyNumberFormat="1" applyFont="1" applyFill="1" applyBorder="1" applyAlignment="1">
      <alignment horizontal="center"/>
    </xf>
    <xf numFmtId="4" fontId="24" fillId="0" borderId="13" xfId="0" applyNumberFormat="1" applyFont="1" applyBorder="1" applyAlignment="1">
      <alignment horizontal="center"/>
    </xf>
    <xf numFmtId="2" fontId="24" fillId="33" borderId="13" xfId="0" applyNumberFormat="1" applyFont="1" applyFill="1" applyBorder="1" applyAlignment="1">
      <alignment horizontal="center"/>
    </xf>
    <xf numFmtId="2" fontId="24" fillId="0" borderId="36" xfId="0" applyNumberFormat="1" applyFont="1" applyBorder="1" applyAlignment="1">
      <alignment horizontal="center"/>
    </xf>
    <xf numFmtId="4" fontId="26" fillId="33" borderId="0" xfId="0" applyNumberFormat="1" applyFont="1" applyFill="1"/>
    <xf numFmtId="167" fontId="26" fillId="33" borderId="21" xfId="0" applyNumberFormat="1" applyFont="1" applyFill="1" applyBorder="1" applyAlignment="1">
      <alignment horizontal="center" wrapText="1"/>
    </xf>
    <xf numFmtId="4" fontId="26" fillId="0" borderId="21" xfId="0" applyNumberFormat="1" applyFont="1" applyBorder="1" applyAlignment="1">
      <alignment horizontal="center" wrapText="1"/>
    </xf>
    <xf numFmtId="168" fontId="27" fillId="0" borderId="21" xfId="0" applyNumberFormat="1" applyFont="1" applyBorder="1" applyAlignment="1">
      <alignment horizontal="center" wrapText="1"/>
    </xf>
    <xf numFmtId="4" fontId="26" fillId="33" borderId="39" xfId="0" applyNumberFormat="1" applyFont="1" applyFill="1" applyBorder="1" applyAlignment="1">
      <alignment horizontal="center" wrapText="1"/>
    </xf>
    <xf numFmtId="167" fontId="26" fillId="33" borderId="26" xfId="0" applyNumberFormat="1" applyFont="1" applyFill="1" applyBorder="1" applyAlignment="1">
      <alignment horizontal="center" wrapText="1"/>
    </xf>
    <xf numFmtId="4" fontId="26" fillId="0" borderId="26" xfId="0" applyNumberFormat="1" applyFont="1" applyBorder="1" applyAlignment="1">
      <alignment horizontal="center" wrapText="1"/>
    </xf>
    <xf numFmtId="168" fontId="27" fillId="0" borderId="26" xfId="0" applyNumberFormat="1" applyFont="1" applyBorder="1" applyAlignment="1">
      <alignment horizontal="center" wrapText="1"/>
    </xf>
    <xf numFmtId="167" fontId="26" fillId="33" borderId="32" xfId="0" applyNumberFormat="1" applyFont="1" applyFill="1" applyBorder="1" applyAlignment="1">
      <alignment horizontal="center" wrapText="1"/>
    </xf>
    <xf numFmtId="4" fontId="26" fillId="0" borderId="32" xfId="0" applyNumberFormat="1" applyFont="1" applyBorder="1" applyAlignment="1">
      <alignment horizontal="center" wrapText="1"/>
    </xf>
    <xf numFmtId="168" fontId="27" fillId="0" borderId="32" xfId="0" applyNumberFormat="1" applyFont="1" applyBorder="1" applyAlignment="1">
      <alignment horizontal="center" wrapText="1"/>
    </xf>
    <xf numFmtId="4" fontId="17" fillId="0" borderId="13" xfId="0" applyNumberFormat="1" applyFont="1" applyBorder="1" applyAlignment="1">
      <alignment horizontal="center"/>
    </xf>
    <xf numFmtId="169" fontId="17" fillId="0" borderId="13" xfId="0" applyNumberFormat="1" applyFont="1" applyBorder="1" applyAlignment="1">
      <alignment horizontal="center"/>
    </xf>
    <xf numFmtId="2" fontId="26" fillId="33" borderId="0" xfId="0" applyNumberFormat="1" applyFont="1" applyFill="1"/>
    <xf numFmtId="4" fontId="28" fillId="0" borderId="21" xfId="0" applyNumberFormat="1" applyFont="1" applyBorder="1" applyAlignment="1">
      <alignment horizontal="center"/>
    </xf>
    <xf numFmtId="170" fontId="26" fillId="0" borderId="21" xfId="0" applyNumberFormat="1" applyFont="1" applyBorder="1" applyAlignment="1">
      <alignment horizontal="center"/>
    </xf>
    <xf numFmtId="4" fontId="28" fillId="0" borderId="26" xfId="0" applyNumberFormat="1" applyFont="1" applyBorder="1" applyAlignment="1">
      <alignment horizontal="center"/>
    </xf>
    <xf numFmtId="170" fontId="26" fillId="0" borderId="26" xfId="0" applyNumberFormat="1" applyFont="1" applyBorder="1" applyAlignment="1">
      <alignment horizontal="center"/>
    </xf>
    <xf numFmtId="4" fontId="28" fillId="34" borderId="26" xfId="0" applyNumberFormat="1" applyFont="1" applyFill="1" applyBorder="1" applyAlignment="1">
      <alignment horizontal="center"/>
    </xf>
    <xf numFmtId="170" fontId="26" fillId="34" borderId="26" xfId="0" applyNumberFormat="1" applyFont="1" applyFill="1" applyBorder="1" applyAlignment="1">
      <alignment horizontal="center"/>
    </xf>
    <xf numFmtId="4" fontId="28" fillId="34" borderId="32" xfId="0" applyNumberFormat="1" applyFont="1" applyFill="1" applyBorder="1" applyAlignment="1">
      <alignment horizontal="center"/>
    </xf>
    <xf numFmtId="170" fontId="26" fillId="34" borderId="32" xfId="0" applyNumberFormat="1" applyFont="1" applyFill="1" applyBorder="1" applyAlignment="1">
      <alignment horizontal="center"/>
    </xf>
    <xf numFmtId="4" fontId="29" fillId="33" borderId="13" xfId="0" applyNumberFormat="1" applyFont="1" applyFill="1" applyBorder="1" applyAlignment="1">
      <alignment horizontal="center"/>
    </xf>
    <xf numFmtId="170" fontId="24" fillId="0" borderId="13" xfId="0" applyNumberFormat="1" applyFont="1" applyBorder="1" applyAlignment="1">
      <alignment horizontal="center"/>
    </xf>
    <xf numFmtId="0" fontId="30" fillId="0" borderId="0" xfId="0" applyFont="1"/>
    <xf numFmtId="0" fontId="17" fillId="0" borderId="0" xfId="0" applyFont="1" applyAlignment="1">
      <alignment horizontal="center"/>
    </xf>
    <xf numFmtId="1" fontId="1" fillId="0" borderId="0" xfId="0" applyNumberFormat="1" applyFont="1"/>
    <xf numFmtId="4" fontId="1" fillId="0" borderId="0" xfId="0" applyNumberFormat="1" applyFont="1" applyAlignment="1">
      <alignment horizontal="center" vertical="center"/>
    </xf>
    <xf numFmtId="0" fontId="6" fillId="0" borderId="0" xfId="0" applyFont="1"/>
    <xf numFmtId="168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4" fontId="1" fillId="0" borderId="41" xfId="0" applyNumberFormat="1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2" fontId="1" fillId="0" borderId="0" xfId="0" applyNumberFormat="1" applyFont="1"/>
    <xf numFmtId="0" fontId="1" fillId="0" borderId="42" xfId="0" applyFont="1" applyBorder="1" applyAlignment="1">
      <alignment horizontal="center"/>
    </xf>
    <xf numFmtId="0" fontId="1" fillId="0" borderId="0" xfId="0" applyFont="1" applyAlignment="1">
      <alignment horizontal="right" vertical="center"/>
    </xf>
    <xf numFmtId="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171" fontId="1" fillId="0" borderId="41" xfId="0" applyNumberFormat="1" applyFont="1" applyBorder="1" applyAlignment="1">
      <alignment horizontal="center" vertical="center"/>
    </xf>
    <xf numFmtId="171" fontId="1" fillId="0" borderId="0" xfId="0" applyNumberFormat="1" applyFont="1"/>
    <xf numFmtId="171" fontId="1" fillId="0" borderId="0" xfId="0" applyNumberFormat="1" applyFont="1" applyAlignment="1">
      <alignment horizontal="center" vertical="center"/>
    </xf>
    <xf numFmtId="170" fontId="1" fillId="0" borderId="0" xfId="0" applyNumberFormat="1" applyFont="1"/>
    <xf numFmtId="170" fontId="1" fillId="0" borderId="0" xfId="0" applyNumberFormat="1" applyFont="1" applyAlignment="1">
      <alignment horizontal="center" vertical="center"/>
    </xf>
    <xf numFmtId="170" fontId="1" fillId="0" borderId="4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0" fillId="0" borderId="46" xfId="0" applyFont="1" applyBorder="1" applyAlignment="1">
      <alignment horizontal="center" vertical="center"/>
    </xf>
    <xf numFmtId="0" fontId="30" fillId="0" borderId="47" xfId="0" applyFont="1" applyBorder="1" applyAlignment="1">
      <alignment horizontal="center" vertical="center" wrapText="1"/>
    </xf>
    <xf numFmtId="0" fontId="30" fillId="0" borderId="20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4" fontId="6" fillId="0" borderId="41" xfId="0" applyNumberFormat="1" applyFont="1" applyBorder="1" applyAlignment="1">
      <alignment horizontal="center" vertical="center"/>
    </xf>
    <xf numFmtId="4" fontId="6" fillId="0" borderId="28" xfId="0" applyNumberFormat="1" applyFont="1" applyBorder="1" applyAlignment="1">
      <alignment horizontal="center" vertical="center"/>
    </xf>
    <xf numFmtId="4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0" fontId="6" fillId="0" borderId="4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4" fontId="6" fillId="0" borderId="50" xfId="0" applyNumberFormat="1" applyFont="1" applyBorder="1" applyAlignment="1">
      <alignment horizontal="center" vertical="center"/>
    </xf>
    <xf numFmtId="4" fontId="6" fillId="0" borderId="30" xfId="0" applyNumberFormat="1" applyFont="1" applyBorder="1" applyAlignment="1">
      <alignment horizontal="center" vertical="center"/>
    </xf>
    <xf numFmtId="49" fontId="30" fillId="0" borderId="0" xfId="0" applyNumberFormat="1" applyFont="1" applyAlignment="1">
      <alignment vertical="center"/>
    </xf>
    <xf numFmtId="49" fontId="6" fillId="0" borderId="51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vertical="center"/>
    </xf>
    <xf numFmtId="4" fontId="6" fillId="0" borderId="30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35" borderId="0" xfId="0" applyFont="1" applyFill="1"/>
    <xf numFmtId="0" fontId="6" fillId="0" borderId="51" xfId="0" applyFont="1" applyBorder="1" applyAlignment="1">
      <alignment horizontal="right" vertical="center"/>
    </xf>
    <xf numFmtId="11" fontId="6" fillId="0" borderId="50" xfId="0" applyNumberFormat="1" applyFont="1" applyBorder="1" applyAlignment="1">
      <alignment horizontal="center" vertical="center"/>
    </xf>
    <xf numFmtId="3" fontId="6" fillId="0" borderId="50" xfId="0" applyNumberFormat="1" applyFont="1" applyBorder="1" applyAlignment="1">
      <alignment horizontal="center" vertical="center"/>
    </xf>
    <xf numFmtId="3" fontId="6" fillId="0" borderId="30" xfId="0" applyNumberFormat="1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4" fontId="6" fillId="0" borderId="54" xfId="0" applyNumberFormat="1" applyFont="1" applyBorder="1" applyAlignment="1">
      <alignment horizontal="center" vertical="center"/>
    </xf>
    <xf numFmtId="4" fontId="6" fillId="0" borderId="55" xfId="0" applyNumberFormat="1" applyFont="1" applyBorder="1" applyAlignment="1">
      <alignment horizontal="center" vertical="center"/>
    </xf>
    <xf numFmtId="49" fontId="6" fillId="0" borderId="56" xfId="0" applyNumberFormat="1" applyFont="1" applyBorder="1" applyAlignment="1">
      <alignment vertical="center"/>
    </xf>
    <xf numFmtId="0" fontId="6" fillId="0" borderId="0" xfId="0" applyFont="1" applyAlignment="1">
      <alignment horizontal="right" wrapText="1"/>
    </xf>
    <xf numFmtId="39" fontId="6" fillId="0" borderId="0" xfId="0" applyNumberFormat="1" applyFont="1" applyAlignment="1">
      <alignment wrapText="1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right" vertical="center"/>
    </xf>
    <xf numFmtId="39" fontId="6" fillId="0" borderId="0" xfId="0" applyNumberFormat="1" applyFont="1" applyAlignment="1">
      <alignment horizontal="right" vertical="center"/>
    </xf>
    <xf numFmtId="4" fontId="1" fillId="0" borderId="0" xfId="0" applyNumberFormat="1" applyFont="1"/>
    <xf numFmtId="49" fontId="6" fillId="0" borderId="0" xfId="0" applyNumberFormat="1" applyFont="1" applyAlignment="1">
      <alignment horizontal="right" vertical="center"/>
    </xf>
    <xf numFmtId="4" fontId="6" fillId="0" borderId="41" xfId="0" applyNumberFormat="1" applyFont="1" applyBorder="1" applyAlignment="1">
      <alignment horizontal="right" vertical="center"/>
    </xf>
    <xf numFmtId="4" fontId="6" fillId="0" borderId="42" xfId="0" applyNumberFormat="1" applyFont="1" applyBorder="1" applyAlignment="1">
      <alignment horizontal="right" vertical="center"/>
    </xf>
    <xf numFmtId="0" fontId="6" fillId="0" borderId="57" xfId="0" applyFont="1" applyBorder="1" applyAlignment="1">
      <alignment horizontal="left" vertical="center"/>
    </xf>
    <xf numFmtId="0" fontId="6" fillId="0" borderId="42" xfId="0" applyFont="1" applyBorder="1" applyAlignment="1">
      <alignment horizontal="right" vertical="center"/>
    </xf>
    <xf numFmtId="0" fontId="6" fillId="0" borderId="42" xfId="0" applyFont="1" applyBorder="1" applyAlignment="1">
      <alignment horizontal="left" vertical="center"/>
    </xf>
    <xf numFmtId="0" fontId="6" fillId="0" borderId="42" xfId="0" applyFont="1" applyBorder="1" applyAlignment="1">
      <alignment vertical="center"/>
    </xf>
    <xf numFmtId="0" fontId="6" fillId="0" borderId="57" xfId="0" applyFont="1" applyBorder="1" applyAlignment="1">
      <alignment vertical="center"/>
    </xf>
    <xf numFmtId="172" fontId="6" fillId="0" borderId="0" xfId="0" applyNumberFormat="1" applyFont="1" applyAlignment="1">
      <alignment horizontal="center" vertical="center"/>
    </xf>
    <xf numFmtId="3" fontId="6" fillId="0" borderId="42" xfId="0" applyNumberFormat="1" applyFont="1" applyBorder="1" applyAlignment="1">
      <alignment horizontal="right" vertical="center"/>
    </xf>
    <xf numFmtId="0" fontId="6" fillId="0" borderId="45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45" xfId="0" applyFont="1" applyBorder="1" applyAlignment="1">
      <alignment vertical="center"/>
    </xf>
    <xf numFmtId="3" fontId="6" fillId="0" borderId="0" xfId="0" applyNumberFormat="1" applyFont="1" applyAlignment="1">
      <alignment vertical="center"/>
    </xf>
    <xf numFmtId="3" fontId="6" fillId="0" borderId="44" xfId="0" applyNumberFormat="1" applyFont="1" applyBorder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64" fontId="1" fillId="0" borderId="0" xfId="0" applyNumberFormat="1" applyFont="1"/>
    <xf numFmtId="164" fontId="6" fillId="0" borderId="0" xfId="0" applyNumberFormat="1" applyFont="1" applyAlignment="1">
      <alignment vertical="center"/>
    </xf>
    <xf numFmtId="0" fontId="6" fillId="0" borderId="41" xfId="0" applyFont="1" applyBorder="1" applyAlignment="1">
      <alignment vertical="center"/>
    </xf>
    <xf numFmtId="0" fontId="6" fillId="0" borderId="12" xfId="0" applyFont="1" applyBorder="1" applyAlignment="1">
      <alignment horizontal="left" vertical="center"/>
    </xf>
    <xf numFmtId="3" fontId="6" fillId="0" borderId="0" xfId="0" applyNumberFormat="1" applyFont="1" applyAlignment="1">
      <alignment horizontal="right" vertical="center"/>
    </xf>
    <xf numFmtId="3" fontId="6" fillId="0" borderId="44" xfId="0" applyNumberFormat="1" applyFont="1" applyBorder="1" applyAlignment="1">
      <alignment vertical="center"/>
    </xf>
    <xf numFmtId="11" fontId="6" fillId="0" borderId="42" xfId="0" applyNumberFormat="1" applyFont="1" applyBorder="1" applyAlignment="1">
      <alignment vertical="center"/>
    </xf>
    <xf numFmtId="171" fontId="6" fillId="0" borderId="42" xfId="0" applyNumberFormat="1" applyFont="1" applyBorder="1" applyAlignment="1">
      <alignment horizontal="right" vertical="center"/>
    </xf>
    <xf numFmtId="169" fontId="6" fillId="0" borderId="42" xfId="0" applyNumberFormat="1" applyFont="1" applyBorder="1" applyAlignment="1">
      <alignment horizontal="right" vertical="center"/>
    </xf>
    <xf numFmtId="4" fontId="30" fillId="0" borderId="0" xfId="0" applyNumberFormat="1" applyFont="1"/>
    <xf numFmtId="0" fontId="24" fillId="33" borderId="0" xfId="0" applyFont="1" applyFill="1" applyAlignment="1">
      <alignment horizontal="center"/>
    </xf>
    <xf numFmtId="4" fontId="27" fillId="0" borderId="21" xfId="0" applyNumberFormat="1" applyFont="1" applyBorder="1" applyAlignment="1">
      <alignment horizontal="center" wrapText="1"/>
    </xf>
    <xf numFmtId="164" fontId="26" fillId="33" borderId="21" xfId="0" applyNumberFormat="1" applyFont="1" applyFill="1" applyBorder="1"/>
    <xf numFmtId="4" fontId="26" fillId="33" borderId="0" xfId="0" applyNumberFormat="1" applyFont="1" applyFill="1" applyAlignment="1">
      <alignment horizontal="center" wrapText="1"/>
    </xf>
    <xf numFmtId="4" fontId="27" fillId="0" borderId="26" xfId="0" applyNumberFormat="1" applyFont="1" applyBorder="1" applyAlignment="1">
      <alignment horizontal="center" wrapText="1"/>
    </xf>
    <xf numFmtId="164" fontId="26" fillId="33" borderId="26" xfId="0" applyNumberFormat="1" applyFont="1" applyFill="1" applyBorder="1"/>
    <xf numFmtId="4" fontId="27" fillId="0" borderId="59" xfId="0" applyNumberFormat="1" applyFont="1" applyBorder="1" applyAlignment="1">
      <alignment horizontal="center" wrapText="1"/>
    </xf>
    <xf numFmtId="4" fontId="24" fillId="33" borderId="0" xfId="0" applyNumberFormat="1" applyFont="1" applyFill="1"/>
    <xf numFmtId="0" fontId="24" fillId="33" borderId="0" xfId="0" applyFont="1" applyFill="1"/>
    <xf numFmtId="4" fontId="27" fillId="0" borderId="32" xfId="0" applyNumberFormat="1" applyFont="1" applyBorder="1" applyAlignment="1">
      <alignment horizontal="center" wrapText="1"/>
    </xf>
    <xf numFmtId="164" fontId="26" fillId="33" borderId="32" xfId="0" applyNumberFormat="1" applyFont="1" applyFill="1" applyBorder="1"/>
    <xf numFmtId="164" fontId="26" fillId="33" borderId="60" xfId="0" applyNumberFormat="1" applyFont="1" applyFill="1" applyBorder="1"/>
    <xf numFmtId="164" fontId="24" fillId="33" borderId="13" xfId="0" applyNumberFormat="1" applyFont="1" applyFill="1" applyBorder="1"/>
    <xf numFmtId="4" fontId="26" fillId="0" borderId="13" xfId="0" applyNumberFormat="1" applyFont="1" applyBorder="1" applyAlignment="1">
      <alignment horizontal="center"/>
    </xf>
    <xf numFmtId="164" fontId="26" fillId="33" borderId="0" xfId="0" applyNumberFormat="1" applyFont="1" applyFill="1"/>
    <xf numFmtId="164" fontId="26" fillId="33" borderId="21" xfId="0" applyNumberFormat="1" applyFont="1" applyFill="1" applyBorder="1" applyAlignment="1">
      <alignment horizontal="center"/>
    </xf>
    <xf numFmtId="173" fontId="27" fillId="0" borderId="21" xfId="0" applyNumberFormat="1" applyFont="1" applyBorder="1" applyAlignment="1">
      <alignment horizontal="center" wrapText="1"/>
    </xf>
    <xf numFmtId="0" fontId="26" fillId="33" borderId="21" xfId="0" applyFont="1" applyFill="1" applyBorder="1" applyAlignment="1">
      <alignment horizontal="center"/>
    </xf>
    <xf numFmtId="164" fontId="26" fillId="33" borderId="26" xfId="0" applyNumberFormat="1" applyFont="1" applyFill="1" applyBorder="1" applyAlignment="1">
      <alignment horizontal="center"/>
    </xf>
    <xf numFmtId="173" fontId="27" fillId="0" borderId="26" xfId="0" applyNumberFormat="1" applyFont="1" applyBorder="1" applyAlignment="1">
      <alignment horizontal="center" wrapText="1"/>
    </xf>
    <xf numFmtId="4" fontId="28" fillId="2" borderId="26" xfId="0" applyNumberFormat="1" applyFont="1" applyFill="1" applyBorder="1" applyAlignment="1">
      <alignment horizontal="center"/>
    </xf>
    <xf numFmtId="4" fontId="27" fillId="33" borderId="32" xfId="0" applyNumberFormat="1" applyFont="1" applyFill="1" applyBorder="1" applyAlignment="1">
      <alignment horizontal="center" wrapText="1"/>
    </xf>
    <xf numFmtId="164" fontId="26" fillId="33" borderId="32" xfId="0" applyNumberFormat="1" applyFont="1" applyFill="1" applyBorder="1" applyAlignment="1">
      <alignment horizontal="center"/>
    </xf>
    <xf numFmtId="173" fontId="27" fillId="0" borderId="32" xfId="0" applyNumberFormat="1" applyFont="1" applyBorder="1" applyAlignment="1">
      <alignment horizontal="center" wrapText="1"/>
    </xf>
    <xf numFmtId="4" fontId="28" fillId="2" borderId="32" xfId="0" applyNumberFormat="1" applyFont="1" applyFill="1" applyBorder="1" applyAlignment="1">
      <alignment horizontal="center"/>
    </xf>
    <xf numFmtId="173" fontId="26" fillId="0" borderId="36" xfId="0" applyNumberFormat="1" applyFont="1" applyBorder="1" applyAlignment="1">
      <alignment horizontal="center"/>
    </xf>
    <xf numFmtId="4" fontId="26" fillId="0" borderId="36" xfId="0" applyNumberFormat="1" applyFont="1" applyBorder="1" applyAlignment="1">
      <alignment horizontal="center"/>
    </xf>
    <xf numFmtId="0" fontId="26" fillId="33" borderId="13" xfId="0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1" fontId="6" fillId="0" borderId="0" xfId="0" applyNumberFormat="1" applyFont="1"/>
    <xf numFmtId="4" fontId="6" fillId="0" borderId="0" xfId="0" applyNumberFormat="1" applyFont="1"/>
    <xf numFmtId="0" fontId="31" fillId="0" borderId="0" xfId="0" applyFont="1"/>
    <xf numFmtId="0" fontId="6" fillId="0" borderId="0" xfId="0" applyFont="1" applyAlignment="1">
      <alignment horizontal="right"/>
    </xf>
    <xf numFmtId="0" fontId="6" fillId="0" borderId="4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/>
    </xf>
    <xf numFmtId="170" fontId="6" fillId="0" borderId="41" xfId="0" applyNumberFormat="1" applyFont="1" applyBorder="1" applyAlignment="1">
      <alignment horizontal="center" vertical="center"/>
    </xf>
    <xf numFmtId="0" fontId="5" fillId="0" borderId="0" xfId="0" applyFont="1"/>
    <xf numFmtId="171" fontId="6" fillId="0" borderId="41" xfId="0" applyNumberFormat="1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63" xfId="0" applyFont="1" applyBorder="1" applyAlignment="1">
      <alignment vertical="center"/>
    </xf>
    <xf numFmtId="2" fontId="6" fillId="0" borderId="41" xfId="0" applyNumberFormat="1" applyFont="1" applyBorder="1" applyAlignment="1">
      <alignment horizontal="center" vertical="center"/>
    </xf>
    <xf numFmtId="0" fontId="6" fillId="0" borderId="44" xfId="0" applyFont="1" applyBorder="1"/>
    <xf numFmtId="170" fontId="6" fillId="0" borderId="43" xfId="0" applyNumberFormat="1" applyFont="1" applyBorder="1" applyAlignment="1">
      <alignment horizontal="center" vertical="center"/>
    </xf>
    <xf numFmtId="173" fontId="1" fillId="0" borderId="0" xfId="0" applyNumberFormat="1" applyFont="1"/>
    <xf numFmtId="170" fontId="6" fillId="0" borderId="42" xfId="0" applyNumberFormat="1" applyFont="1" applyBorder="1" applyAlignment="1">
      <alignment vertical="center"/>
    </xf>
    <xf numFmtId="0" fontId="24" fillId="33" borderId="46" xfId="0" applyFont="1" applyFill="1" applyBorder="1" applyAlignment="1">
      <alignment horizontal="center"/>
    </xf>
    <xf numFmtId="0" fontId="24" fillId="33" borderId="55" xfId="0" applyFont="1" applyFill="1" applyBorder="1" applyAlignment="1">
      <alignment horizontal="center"/>
    </xf>
    <xf numFmtId="0" fontId="24" fillId="33" borderId="52" xfId="0" applyFont="1" applyFill="1" applyBorder="1" applyAlignment="1">
      <alignment horizontal="center"/>
    </xf>
    <xf numFmtId="4" fontId="27" fillId="0" borderId="65" xfId="0" applyNumberFormat="1" applyFont="1" applyBorder="1" applyAlignment="1">
      <alignment horizontal="center" wrapText="1"/>
    </xf>
    <xf numFmtId="4" fontId="27" fillId="0" borderId="22" xfId="0" applyNumberFormat="1" applyFont="1" applyBorder="1" applyAlignment="1">
      <alignment horizontal="center" wrapText="1"/>
    </xf>
    <xf numFmtId="164" fontId="26" fillId="0" borderId="22" xfId="0" applyNumberFormat="1" applyFont="1" applyBorder="1"/>
    <xf numFmtId="164" fontId="26" fillId="0" borderId="23" xfId="0" applyNumberFormat="1" applyFont="1" applyBorder="1"/>
    <xf numFmtId="164" fontId="26" fillId="0" borderId="21" xfId="0" applyNumberFormat="1" applyFont="1" applyBorder="1"/>
    <xf numFmtId="4" fontId="26" fillId="0" borderId="25" xfId="0" applyNumberFormat="1" applyFont="1" applyBorder="1" applyAlignment="1">
      <alignment horizontal="center" wrapText="1"/>
    </xf>
    <xf numFmtId="4" fontId="27" fillId="0" borderId="66" xfId="0" applyNumberFormat="1" applyFont="1" applyBorder="1" applyAlignment="1">
      <alignment horizontal="center" wrapText="1"/>
    </xf>
    <xf numFmtId="4" fontId="27" fillId="0" borderId="43" xfId="0" applyNumberFormat="1" applyFont="1" applyBorder="1" applyAlignment="1">
      <alignment horizontal="center" wrapText="1"/>
    </xf>
    <xf numFmtId="164" fontId="26" fillId="0" borderId="43" xfId="0" applyNumberFormat="1" applyFont="1" applyBorder="1"/>
    <xf numFmtId="164" fontId="26" fillId="0" borderId="28" xfId="0" applyNumberFormat="1" applyFont="1" applyBorder="1"/>
    <xf numFmtId="164" fontId="26" fillId="0" borderId="26" xfId="0" applyNumberFormat="1" applyFont="1" applyBorder="1"/>
    <xf numFmtId="4" fontId="26" fillId="0" borderId="31" xfId="0" applyNumberFormat="1" applyFont="1" applyBorder="1" applyAlignment="1">
      <alignment horizontal="center" wrapText="1"/>
    </xf>
    <xf numFmtId="4" fontId="27" fillId="0" borderId="27" xfId="0" applyNumberFormat="1" applyFont="1" applyBorder="1" applyAlignment="1">
      <alignment horizontal="center" wrapText="1"/>
    </xf>
    <xf numFmtId="164" fontId="26" fillId="0" borderId="27" xfId="0" applyNumberFormat="1" applyFont="1" applyBorder="1"/>
    <xf numFmtId="164" fontId="26" fillId="0" borderId="30" xfId="0" applyNumberFormat="1" applyFont="1" applyBorder="1"/>
    <xf numFmtId="4" fontId="27" fillId="0" borderId="67" xfId="0" applyNumberFormat="1" applyFont="1" applyBorder="1" applyAlignment="1">
      <alignment horizontal="center" wrapText="1"/>
    </xf>
    <xf numFmtId="4" fontId="27" fillId="0" borderId="33" xfId="0" applyNumberFormat="1" applyFont="1" applyBorder="1" applyAlignment="1">
      <alignment horizontal="center" wrapText="1"/>
    </xf>
    <xf numFmtId="164" fontId="26" fillId="0" borderId="33" xfId="0" applyNumberFormat="1" applyFont="1" applyBorder="1"/>
    <xf numFmtId="164" fontId="26" fillId="0" borderId="34" xfId="0" applyNumberFormat="1" applyFont="1" applyBorder="1"/>
    <xf numFmtId="164" fontId="26" fillId="0" borderId="32" xfId="0" applyNumberFormat="1" applyFont="1" applyBorder="1"/>
    <xf numFmtId="4" fontId="26" fillId="0" borderId="35" xfId="0" applyNumberFormat="1" applyFont="1" applyBorder="1" applyAlignment="1">
      <alignment horizontal="center" wrapText="1"/>
    </xf>
    <xf numFmtId="4" fontId="17" fillId="0" borderId="17" xfId="0" applyNumberFormat="1" applyFont="1" applyBorder="1" applyAlignment="1">
      <alignment horizontal="center"/>
    </xf>
    <xf numFmtId="164" fontId="24" fillId="0" borderId="13" xfId="0" applyNumberFormat="1" applyFont="1" applyBorder="1"/>
    <xf numFmtId="2" fontId="26" fillId="0" borderId="13" xfId="0" applyNumberFormat="1" applyFont="1" applyBorder="1" applyAlignment="1">
      <alignment horizontal="center"/>
    </xf>
    <xf numFmtId="0" fontId="26" fillId="33" borderId="64" xfId="0" applyFont="1" applyFill="1" applyBorder="1"/>
    <xf numFmtId="2" fontId="26" fillId="33" borderId="56" xfId="0" applyNumberFormat="1" applyFont="1" applyFill="1" applyBorder="1"/>
    <xf numFmtId="2" fontId="26" fillId="33" borderId="56" xfId="0" applyNumberFormat="1" applyFont="1" applyFill="1" applyBorder="1" applyAlignment="1">
      <alignment horizontal="center"/>
    </xf>
    <xf numFmtId="0" fontId="24" fillId="33" borderId="14" xfId="0" applyFont="1" applyFill="1" applyBorder="1"/>
    <xf numFmtId="0" fontId="24" fillId="33" borderId="68" xfId="0" applyFont="1" applyFill="1" applyBorder="1" applyAlignment="1">
      <alignment horizontal="center"/>
    </xf>
    <xf numFmtId="0" fontId="24" fillId="33" borderId="69" xfId="0" applyFont="1" applyFill="1" applyBorder="1" applyAlignment="1">
      <alignment horizontal="center"/>
    </xf>
    <xf numFmtId="0" fontId="24" fillId="33" borderId="70" xfId="0" applyFont="1" applyFill="1" applyBorder="1" applyAlignment="1">
      <alignment horizontal="center"/>
    </xf>
    <xf numFmtId="0" fontId="24" fillId="33" borderId="47" xfId="0" applyFont="1" applyFill="1" applyBorder="1" applyAlignment="1">
      <alignment horizontal="center"/>
    </xf>
    <xf numFmtId="4" fontId="1" fillId="0" borderId="65" xfId="0" applyNumberFormat="1" applyFont="1" applyBorder="1" applyAlignment="1">
      <alignment horizontal="center"/>
    </xf>
    <xf numFmtId="4" fontId="1" fillId="33" borderId="22" xfId="0" applyNumberFormat="1" applyFont="1" applyFill="1" applyBorder="1" applyAlignment="1">
      <alignment horizontal="center"/>
    </xf>
    <xf numFmtId="4" fontId="1" fillId="33" borderId="71" xfId="0" applyNumberFormat="1" applyFont="1" applyFill="1" applyBorder="1" applyAlignment="1">
      <alignment horizontal="center"/>
    </xf>
    <xf numFmtId="4" fontId="26" fillId="33" borderId="65" xfId="0" applyNumberFormat="1" applyFont="1" applyFill="1" applyBorder="1" applyAlignment="1">
      <alignment horizontal="center"/>
    </xf>
    <xf numFmtId="4" fontId="1" fillId="33" borderId="23" xfId="0" applyNumberFormat="1" applyFont="1" applyFill="1" applyBorder="1" applyAlignment="1">
      <alignment horizontal="center"/>
    </xf>
    <xf numFmtId="171" fontId="27" fillId="0" borderId="65" xfId="0" applyNumberFormat="1" applyFont="1" applyBorder="1" applyAlignment="1">
      <alignment horizontal="center" wrapText="1"/>
    </xf>
    <xf numFmtId="171" fontId="27" fillId="0" borderId="22" xfId="0" applyNumberFormat="1" applyFont="1" applyBorder="1" applyAlignment="1">
      <alignment horizontal="center" wrapText="1"/>
    </xf>
    <xf numFmtId="171" fontId="26" fillId="33" borderId="22" xfId="0" applyNumberFormat="1" applyFont="1" applyFill="1" applyBorder="1" applyAlignment="1">
      <alignment horizontal="center" wrapText="1"/>
    </xf>
    <xf numFmtId="171" fontId="27" fillId="0" borderId="23" xfId="0" applyNumberFormat="1" applyFont="1" applyBorder="1" applyAlignment="1">
      <alignment horizontal="center" wrapText="1"/>
    </xf>
    <xf numFmtId="4" fontId="26" fillId="33" borderId="72" xfId="0" applyNumberFormat="1" applyFont="1" applyFill="1" applyBorder="1" applyAlignment="1">
      <alignment horizontal="center" wrapText="1"/>
    </xf>
    <xf numFmtId="4" fontId="26" fillId="33" borderId="73" xfId="0" applyNumberFormat="1" applyFont="1" applyFill="1" applyBorder="1" applyAlignment="1">
      <alignment horizontal="center" wrapText="1"/>
    </xf>
    <xf numFmtId="4" fontId="26" fillId="33" borderId="74" xfId="0" applyNumberFormat="1" applyFont="1" applyFill="1" applyBorder="1" applyAlignment="1">
      <alignment horizontal="center" wrapText="1"/>
    </xf>
    <xf numFmtId="4" fontId="1" fillId="0" borderId="66" xfId="0" applyNumberFormat="1" applyFont="1" applyBorder="1" applyAlignment="1">
      <alignment horizontal="center"/>
    </xf>
    <xf numFmtId="4" fontId="1" fillId="33" borderId="27" xfId="0" applyNumberFormat="1" applyFont="1" applyFill="1" applyBorder="1" applyAlignment="1">
      <alignment horizontal="center"/>
    </xf>
    <xf numFmtId="4" fontId="1" fillId="33" borderId="50" xfId="0" applyNumberFormat="1" applyFont="1" applyFill="1" applyBorder="1" applyAlignment="1">
      <alignment horizontal="center"/>
    </xf>
    <xf numFmtId="4" fontId="26" fillId="33" borderId="66" xfId="0" applyNumberFormat="1" applyFont="1" applyFill="1" applyBorder="1" applyAlignment="1">
      <alignment horizontal="center"/>
    </xf>
    <xf numFmtId="4" fontId="1" fillId="33" borderId="30" xfId="0" applyNumberFormat="1" applyFont="1" applyFill="1" applyBorder="1" applyAlignment="1">
      <alignment horizontal="center"/>
    </xf>
    <xf numFmtId="171" fontId="27" fillId="0" borderId="66" xfId="0" applyNumberFormat="1" applyFont="1" applyBorder="1" applyAlignment="1">
      <alignment horizontal="center" wrapText="1"/>
    </xf>
    <xf numFmtId="171" fontId="27" fillId="0" borderId="27" xfId="0" applyNumberFormat="1" applyFont="1" applyBorder="1" applyAlignment="1">
      <alignment horizontal="center" wrapText="1"/>
    </xf>
    <xf numFmtId="171" fontId="26" fillId="33" borderId="27" xfId="0" applyNumberFormat="1" applyFont="1" applyFill="1" applyBorder="1" applyAlignment="1">
      <alignment horizontal="center" wrapText="1"/>
    </xf>
    <xf numFmtId="171" fontId="27" fillId="0" borderId="30" xfId="0" applyNumberFormat="1" applyFont="1" applyBorder="1" applyAlignment="1">
      <alignment horizontal="center" wrapText="1"/>
    </xf>
    <xf numFmtId="4" fontId="26" fillId="33" borderId="75" xfId="0" applyNumberFormat="1" applyFont="1" applyFill="1" applyBorder="1" applyAlignment="1">
      <alignment horizontal="center" wrapText="1"/>
    </xf>
    <xf numFmtId="4" fontId="26" fillId="33" borderId="76" xfId="0" applyNumberFormat="1" applyFont="1" applyFill="1" applyBorder="1" applyAlignment="1">
      <alignment horizontal="center" wrapText="1"/>
    </xf>
    <xf numFmtId="4" fontId="26" fillId="33" borderId="77" xfId="0" applyNumberFormat="1" applyFont="1" applyFill="1" applyBorder="1" applyAlignment="1">
      <alignment horizontal="center" wrapText="1"/>
    </xf>
    <xf numFmtId="4" fontId="26" fillId="33" borderId="78" xfId="0" applyNumberFormat="1" applyFont="1" applyFill="1" applyBorder="1" applyAlignment="1">
      <alignment horizontal="center" wrapText="1"/>
    </xf>
    <xf numFmtId="4" fontId="26" fillId="33" borderId="79" xfId="0" applyNumberFormat="1" applyFont="1" applyFill="1" applyBorder="1" applyAlignment="1">
      <alignment horizontal="center" wrapText="1"/>
    </xf>
    <xf numFmtId="4" fontId="26" fillId="33" borderId="80" xfId="0" applyNumberFormat="1" applyFont="1" applyFill="1" applyBorder="1" applyAlignment="1">
      <alignment horizontal="center" wrapText="1"/>
    </xf>
    <xf numFmtId="2" fontId="26" fillId="33" borderId="47" xfId="0" applyNumberFormat="1" applyFont="1" applyFill="1" applyBorder="1" applyAlignment="1">
      <alignment horizontal="center"/>
    </xf>
    <xf numFmtId="4" fontId="1" fillId="0" borderId="27" xfId="0" applyNumberFormat="1" applyFont="1" applyBorder="1" applyAlignment="1">
      <alignment horizontal="center"/>
    </xf>
    <xf numFmtId="4" fontId="1" fillId="0" borderId="50" xfId="0" applyNumberFormat="1" applyFont="1" applyBorder="1" applyAlignment="1">
      <alignment horizontal="center"/>
    </xf>
    <xf numFmtId="4" fontId="26" fillId="0" borderId="66" xfId="0" applyNumberFormat="1" applyFont="1" applyBorder="1" applyAlignment="1">
      <alignment horizontal="center" wrapText="1"/>
    </xf>
    <xf numFmtId="4" fontId="1" fillId="0" borderId="30" xfId="0" applyNumberFormat="1" applyFont="1" applyBorder="1" applyAlignment="1">
      <alignment horizontal="center"/>
    </xf>
    <xf numFmtId="4" fontId="1" fillId="0" borderId="33" xfId="0" applyNumberFormat="1" applyFont="1" applyBorder="1" applyAlignment="1">
      <alignment horizontal="center"/>
    </xf>
    <xf numFmtId="4" fontId="1" fillId="0" borderId="81" xfId="0" applyNumberFormat="1" applyFont="1" applyBorder="1" applyAlignment="1">
      <alignment horizontal="center"/>
    </xf>
    <xf numFmtId="4" fontId="26" fillId="0" borderId="67" xfId="0" applyNumberFormat="1" applyFont="1" applyBorder="1" applyAlignment="1">
      <alignment horizontal="center" wrapText="1"/>
    </xf>
    <xf numFmtId="4" fontId="1" fillId="0" borderId="34" xfId="0" applyNumberFormat="1" applyFont="1" applyBorder="1" applyAlignment="1">
      <alignment horizontal="center"/>
    </xf>
    <xf numFmtId="2" fontId="26" fillId="33" borderId="46" xfId="0" applyNumberFormat="1" applyFont="1" applyFill="1" applyBorder="1" applyAlignment="1">
      <alignment horizontal="center"/>
    </xf>
    <xf numFmtId="2" fontId="26" fillId="33" borderId="20" xfId="0" applyNumberFormat="1" applyFont="1" applyFill="1" applyBorder="1" applyAlignment="1">
      <alignment horizontal="center"/>
    </xf>
    <xf numFmtId="0" fontId="17" fillId="0" borderId="13" xfId="0" applyFont="1" applyBorder="1"/>
    <xf numFmtId="4" fontId="17" fillId="0" borderId="47" xfId="0" applyNumberFormat="1" applyFont="1" applyBorder="1" applyAlignment="1">
      <alignment horizontal="center"/>
    </xf>
    <xf numFmtId="4" fontId="17" fillId="0" borderId="18" xfId="0" applyNumberFormat="1" applyFont="1" applyBorder="1" applyAlignment="1">
      <alignment horizontal="center"/>
    </xf>
    <xf numFmtId="4" fontId="17" fillId="0" borderId="36" xfId="0" applyNumberFormat="1" applyFont="1" applyBorder="1" applyAlignment="1">
      <alignment horizontal="center"/>
    </xf>
    <xf numFmtId="4" fontId="17" fillId="0" borderId="20" xfId="0" applyNumberFormat="1" applyFont="1" applyBorder="1" applyAlignment="1">
      <alignment horizontal="center"/>
    </xf>
    <xf numFmtId="171" fontId="1" fillId="0" borderId="17" xfId="0" applyNumberFormat="1" applyFont="1" applyBorder="1" applyAlignment="1">
      <alignment horizontal="center"/>
    </xf>
    <xf numFmtId="171" fontId="1" fillId="0" borderId="46" xfId="0" applyNumberFormat="1" applyFont="1" applyBorder="1" applyAlignment="1">
      <alignment horizontal="center"/>
    </xf>
    <xf numFmtId="171" fontId="1" fillId="0" borderId="47" xfId="0" applyNumberFormat="1" applyFont="1" applyBorder="1" applyAlignment="1">
      <alignment horizontal="center"/>
    </xf>
    <xf numFmtId="4" fontId="1" fillId="0" borderId="23" xfId="0" applyNumberFormat="1" applyFont="1" applyBorder="1" applyAlignment="1">
      <alignment horizontal="center"/>
    </xf>
    <xf numFmtId="4" fontId="26" fillId="0" borderId="65" xfId="0" applyNumberFormat="1" applyFont="1" applyBorder="1" applyAlignment="1">
      <alignment horizontal="center" wrapText="1"/>
    </xf>
    <xf numFmtId="2" fontId="26" fillId="33" borderId="0" xfId="0" applyNumberFormat="1" applyFont="1" applyFill="1" applyAlignment="1">
      <alignment horizontal="center"/>
    </xf>
    <xf numFmtId="0" fontId="17" fillId="0" borderId="13" xfId="0" applyFont="1" applyBorder="1" applyAlignment="1">
      <alignment horizontal="center"/>
    </xf>
    <xf numFmtId="4" fontId="17" fillId="0" borderId="46" xfId="0" applyNumberFormat="1" applyFont="1" applyBorder="1" applyAlignment="1">
      <alignment horizontal="center"/>
    </xf>
    <xf numFmtId="2" fontId="1" fillId="0" borderId="19" xfId="0" applyNumberFormat="1" applyFont="1" applyBorder="1" applyAlignment="1">
      <alignment horizontal="center"/>
    </xf>
    <xf numFmtId="0" fontId="30" fillId="0" borderId="0" xfId="0" applyFont="1" applyAlignment="1">
      <alignment horizontal="left"/>
    </xf>
    <xf numFmtId="0" fontId="6" fillId="0" borderId="16" xfId="0" applyFont="1" applyBorder="1"/>
    <xf numFmtId="0" fontId="6" fillId="0" borderId="82" xfId="0" applyFont="1" applyBorder="1"/>
    <xf numFmtId="0" fontId="6" fillId="0" borderId="83" xfId="0" applyFont="1" applyBorder="1"/>
    <xf numFmtId="0" fontId="6" fillId="0" borderId="84" xfId="0" applyFont="1" applyBorder="1"/>
    <xf numFmtId="0" fontId="6" fillId="0" borderId="25" xfId="0" applyFont="1" applyBorder="1"/>
    <xf numFmtId="0" fontId="6" fillId="0" borderId="59" xfId="0" applyFont="1" applyBorder="1"/>
    <xf numFmtId="0" fontId="6" fillId="0" borderId="26" xfId="0" applyFont="1" applyBorder="1"/>
    <xf numFmtId="0" fontId="6" fillId="0" borderId="29" xfId="0" applyFont="1" applyBorder="1"/>
    <xf numFmtId="0" fontId="6" fillId="0" borderId="31" xfId="0" applyFont="1" applyBorder="1"/>
    <xf numFmtId="1" fontId="6" fillId="0" borderId="36" xfId="0" applyNumberFormat="1" applyFont="1" applyBorder="1"/>
    <xf numFmtId="0" fontId="6" fillId="0" borderId="85" xfId="0" applyFont="1" applyBorder="1"/>
    <xf numFmtId="0" fontId="6" fillId="0" borderId="86" xfId="0" applyFont="1" applyBorder="1"/>
    <xf numFmtId="1" fontId="6" fillId="0" borderId="32" xfId="0" applyNumberFormat="1" applyFont="1" applyBorder="1"/>
    <xf numFmtId="0" fontId="6" fillId="0" borderId="87" xfId="0" applyFont="1" applyBorder="1"/>
    <xf numFmtId="0" fontId="6" fillId="0" borderId="35" xfId="0" applyFont="1" applyBorder="1"/>
    <xf numFmtId="0" fontId="6" fillId="0" borderId="24" xfId="0" applyFont="1" applyBorder="1"/>
    <xf numFmtId="4" fontId="6" fillId="0" borderId="24" xfId="0" applyNumberFormat="1" applyFont="1" applyBorder="1" applyAlignment="1">
      <alignment horizontal="left"/>
    </xf>
    <xf numFmtId="0" fontId="6" fillId="0" borderId="21" xfId="0" applyFont="1" applyBorder="1"/>
    <xf numFmtId="4" fontId="6" fillId="0" borderId="24" xfId="0" applyNumberFormat="1" applyFont="1" applyBorder="1" applyAlignment="1">
      <alignment vertical="center"/>
    </xf>
    <xf numFmtId="4" fontId="6" fillId="0" borderId="87" xfId="0" applyNumberFormat="1" applyFont="1" applyBorder="1" applyAlignment="1">
      <alignment horizontal="left" vertical="center"/>
    </xf>
    <xf numFmtId="0" fontId="6" fillId="0" borderId="32" xfId="0" applyFont="1" applyBorder="1"/>
    <xf numFmtId="173" fontId="6" fillId="0" borderId="87" xfId="0" applyNumberFormat="1" applyFont="1" applyBorder="1" applyAlignment="1">
      <alignment horizontal="right" vertical="center"/>
    </xf>
    <xf numFmtId="0" fontId="6" fillId="0" borderId="45" xfId="0" applyFont="1" applyBorder="1" applyAlignment="1">
      <alignment horizontal="center" vertical="center"/>
    </xf>
    <xf numFmtId="0" fontId="26" fillId="0" borderId="0" xfId="0" applyFont="1"/>
    <xf numFmtId="174" fontId="6" fillId="0" borderId="41" xfId="0" applyNumberFormat="1" applyFont="1" applyBorder="1" applyAlignment="1">
      <alignment horizontal="center" vertical="center"/>
    </xf>
    <xf numFmtId="167" fontId="26" fillId="0" borderId="88" xfId="0" applyNumberFormat="1" applyFont="1" applyBorder="1" applyAlignment="1">
      <alignment horizontal="center" wrapText="1"/>
    </xf>
    <xf numFmtId="4" fontId="27" fillId="0" borderId="23" xfId="0" applyNumberFormat="1" applyFont="1" applyBorder="1" applyAlignment="1">
      <alignment horizontal="center" wrapText="1"/>
    </xf>
    <xf numFmtId="167" fontId="26" fillId="0" borderId="49" xfId="0" applyNumberFormat="1" applyFont="1" applyBorder="1" applyAlignment="1">
      <alignment horizontal="center" wrapText="1"/>
    </xf>
    <xf numFmtId="4" fontId="27" fillId="0" borderId="30" xfId="0" applyNumberFormat="1" applyFont="1" applyBorder="1" applyAlignment="1">
      <alignment horizontal="center" wrapText="1"/>
    </xf>
    <xf numFmtId="0" fontId="24" fillId="0" borderId="61" xfId="0" applyFont="1" applyBorder="1" applyAlignment="1">
      <alignment horizontal="center"/>
    </xf>
    <xf numFmtId="164" fontId="24" fillId="0" borderId="43" xfId="0" applyNumberFormat="1" applyFont="1" applyBorder="1"/>
    <xf numFmtId="167" fontId="26" fillId="0" borderId="89" xfId="0" applyNumberFormat="1" applyFont="1" applyBorder="1" applyAlignment="1">
      <alignment horizontal="center" wrapText="1"/>
    </xf>
    <xf numFmtId="4" fontId="27" fillId="33" borderId="33" xfId="0" applyNumberFormat="1" applyFont="1" applyFill="1" applyBorder="1" applyAlignment="1">
      <alignment horizontal="center" wrapText="1"/>
    </xf>
    <xf numFmtId="4" fontId="27" fillId="33" borderId="34" xfId="0" applyNumberFormat="1" applyFont="1" applyFill="1" applyBorder="1" applyAlignment="1">
      <alignment horizontal="center" wrapText="1"/>
    </xf>
    <xf numFmtId="0" fontId="17" fillId="0" borderId="14" xfId="0" applyFont="1" applyBorder="1" applyAlignment="1">
      <alignment horizontal="center"/>
    </xf>
    <xf numFmtId="4" fontId="17" fillId="0" borderId="19" xfId="0" applyNumberFormat="1" applyFont="1" applyBorder="1" applyAlignment="1">
      <alignment horizontal="center"/>
    </xf>
    <xf numFmtId="2" fontId="26" fillId="0" borderId="19" xfId="0" applyNumberFormat="1" applyFont="1" applyBorder="1" applyAlignment="1">
      <alignment horizontal="center"/>
    </xf>
    <xf numFmtId="2" fontId="26" fillId="0" borderId="47" xfId="0" applyNumberFormat="1" applyFont="1" applyBorder="1" applyAlignment="1">
      <alignment horizontal="center"/>
    </xf>
    <xf numFmtId="2" fontId="26" fillId="0" borderId="20" xfId="0" applyNumberFormat="1" applyFont="1" applyBorder="1" applyAlignment="1">
      <alignment horizontal="center"/>
    </xf>
    <xf numFmtId="0" fontId="17" fillId="0" borderId="14" xfId="0" applyFont="1" applyBorder="1" applyAlignment="1">
      <alignment horizontal="center" wrapText="1"/>
    </xf>
    <xf numFmtId="164" fontId="17" fillId="0" borderId="19" xfId="0" applyNumberFormat="1" applyFont="1" applyBorder="1" applyAlignment="1">
      <alignment vertical="center"/>
    </xf>
    <xf numFmtId="164" fontId="17" fillId="0" borderId="47" xfId="0" applyNumberFormat="1" applyFont="1" applyBorder="1" applyAlignment="1">
      <alignment vertical="center"/>
    </xf>
    <xf numFmtId="164" fontId="17" fillId="0" borderId="47" xfId="0" applyNumberFormat="1" applyFont="1" applyBorder="1" applyAlignment="1">
      <alignment horizontal="center" vertical="center"/>
    </xf>
    <xf numFmtId="2" fontId="26" fillId="33" borderId="19" xfId="0" applyNumberFormat="1" applyFont="1" applyFill="1" applyBorder="1" applyAlignment="1">
      <alignment horizontal="center"/>
    </xf>
    <xf numFmtId="0" fontId="24" fillId="33" borderId="20" xfId="0" applyFont="1" applyFill="1" applyBorder="1"/>
    <xf numFmtId="173" fontId="27" fillId="0" borderId="22" xfId="0" applyNumberFormat="1" applyFont="1" applyBorder="1" applyAlignment="1">
      <alignment horizontal="center" wrapText="1"/>
    </xf>
    <xf numFmtId="173" fontId="27" fillId="0" borderId="27" xfId="0" applyNumberFormat="1" applyFont="1" applyBorder="1" applyAlignment="1">
      <alignment horizontal="center" wrapText="1"/>
    </xf>
    <xf numFmtId="173" fontId="27" fillId="0" borderId="33" xfId="0" applyNumberFormat="1" applyFont="1" applyBorder="1" applyAlignment="1">
      <alignment horizontal="center" wrapText="1"/>
    </xf>
    <xf numFmtId="4" fontId="27" fillId="0" borderId="34" xfId="0" applyNumberFormat="1" applyFont="1" applyBorder="1" applyAlignment="1">
      <alignment horizontal="center" wrapText="1"/>
    </xf>
    <xf numFmtId="173" fontId="17" fillId="0" borderId="17" xfId="0" applyNumberFormat="1" applyFont="1" applyBorder="1" applyAlignment="1">
      <alignment horizontal="center"/>
    </xf>
    <xf numFmtId="173" fontId="17" fillId="0" borderId="19" xfId="0" applyNumberFormat="1" applyFont="1" applyBorder="1" applyAlignment="1">
      <alignment horizontal="center"/>
    </xf>
    <xf numFmtId="4" fontId="17" fillId="0" borderId="17" xfId="0" applyNumberFormat="1" applyFont="1" applyBorder="1"/>
    <xf numFmtId="4" fontId="17" fillId="0" borderId="46" xfId="0" applyNumberFormat="1" applyFont="1" applyBorder="1"/>
    <xf numFmtId="4" fontId="17" fillId="0" borderId="14" xfId="0" applyNumberFormat="1" applyFont="1" applyBorder="1" applyAlignment="1">
      <alignment horizontal="center"/>
    </xf>
    <xf numFmtId="164" fontId="17" fillId="0" borderId="46" xfId="0" applyNumberFormat="1" applyFont="1" applyBorder="1" applyAlignment="1">
      <alignment horizontal="center" vertical="center"/>
    </xf>
    <xf numFmtId="39" fontId="17" fillId="0" borderId="47" xfId="0" applyNumberFormat="1" applyFont="1" applyBorder="1" applyAlignment="1">
      <alignment horizontal="center" vertical="center"/>
    </xf>
    <xf numFmtId="164" fontId="24" fillId="0" borderId="20" xfId="0" applyNumberFormat="1" applyFont="1" applyBorder="1" applyAlignment="1">
      <alignment horizontal="center" vertical="center"/>
    </xf>
    <xf numFmtId="0" fontId="17" fillId="0" borderId="90" xfId="0" applyFont="1" applyBorder="1" applyAlignment="1">
      <alignment horizontal="center" wrapText="1"/>
    </xf>
    <xf numFmtId="164" fontId="32" fillId="0" borderId="46" xfId="0" applyNumberFormat="1" applyFont="1" applyBorder="1" applyAlignment="1">
      <alignment horizontal="center" vertical="center"/>
    </xf>
    <xf numFmtId="164" fontId="17" fillId="0" borderId="20" xfId="0" applyNumberFormat="1" applyFont="1" applyBorder="1" applyAlignment="1">
      <alignment horizontal="center" vertical="center"/>
    </xf>
    <xf numFmtId="164" fontId="24" fillId="33" borderId="0" xfId="0" applyNumberFormat="1" applyFont="1" applyFill="1"/>
    <xf numFmtId="4" fontId="27" fillId="0" borderId="71" xfId="0" applyNumberFormat="1" applyFont="1" applyBorder="1" applyAlignment="1">
      <alignment horizontal="center" wrapText="1"/>
    </xf>
    <xf numFmtId="164" fontId="17" fillId="0" borderId="21" xfId="0" applyNumberFormat="1" applyFont="1" applyBorder="1" applyAlignment="1">
      <alignment horizontal="center" vertical="center"/>
    </xf>
    <xf numFmtId="173" fontId="27" fillId="0" borderId="65" xfId="0" applyNumberFormat="1" applyFont="1" applyBorder="1" applyAlignment="1">
      <alignment horizontal="center" wrapText="1"/>
    </xf>
    <xf numFmtId="0" fontId="1" fillId="0" borderId="23" xfId="0" applyFont="1" applyBorder="1"/>
    <xf numFmtId="4" fontId="27" fillId="0" borderId="50" xfId="0" applyNumberFormat="1" applyFont="1" applyBorder="1" applyAlignment="1">
      <alignment horizontal="center" wrapText="1"/>
    </xf>
    <xf numFmtId="164" fontId="17" fillId="0" borderId="26" xfId="0" applyNumberFormat="1" applyFont="1" applyBorder="1" applyAlignment="1">
      <alignment horizontal="center" vertical="center"/>
    </xf>
    <xf numFmtId="173" fontId="27" fillId="0" borderId="66" xfId="0" applyNumberFormat="1" applyFont="1" applyBorder="1" applyAlignment="1">
      <alignment horizontal="center" wrapText="1"/>
    </xf>
    <xf numFmtId="0" fontId="1" fillId="0" borderId="30" xfId="0" applyFont="1" applyBorder="1"/>
    <xf numFmtId="4" fontId="27" fillId="0" borderId="81" xfId="0" applyNumberFormat="1" applyFont="1" applyBorder="1" applyAlignment="1">
      <alignment horizontal="center" wrapText="1"/>
    </xf>
    <xf numFmtId="164" fontId="17" fillId="0" borderId="32" xfId="0" applyNumberFormat="1" applyFont="1" applyBorder="1" applyAlignment="1">
      <alignment horizontal="center" vertical="center"/>
    </xf>
    <xf numFmtId="173" fontId="27" fillId="0" borderId="67" xfId="0" applyNumberFormat="1" applyFont="1" applyBorder="1" applyAlignment="1">
      <alignment horizontal="center" wrapText="1"/>
    </xf>
    <xf numFmtId="0" fontId="1" fillId="0" borderId="34" xfId="0" applyFont="1" applyBorder="1"/>
    <xf numFmtId="0" fontId="17" fillId="0" borderId="52" xfId="0" applyFont="1" applyBorder="1" applyAlignment="1">
      <alignment horizontal="center"/>
    </xf>
    <xf numFmtId="4" fontId="17" fillId="0" borderId="53" xfId="0" applyNumberFormat="1" applyFont="1" applyBorder="1" applyAlignment="1">
      <alignment horizontal="center"/>
    </xf>
    <xf numFmtId="4" fontId="17" fillId="0" borderId="54" xfId="0" applyNumberFormat="1" applyFont="1" applyBorder="1" applyAlignment="1">
      <alignment horizontal="center"/>
    </xf>
    <xf numFmtId="0" fontId="1" fillId="0" borderId="36" xfId="0" applyFont="1" applyBorder="1"/>
    <xf numFmtId="173" fontId="17" fillId="0" borderId="91" xfId="0" applyNumberFormat="1" applyFont="1" applyBorder="1" applyAlignment="1">
      <alignment horizontal="center"/>
    </xf>
    <xf numFmtId="173" fontId="17" fillId="0" borderId="53" xfId="0" applyNumberFormat="1" applyFont="1" applyBorder="1" applyAlignment="1">
      <alignment horizontal="center"/>
    </xf>
    <xf numFmtId="0" fontId="1" fillId="0" borderId="55" xfId="0" applyFont="1" applyBorder="1"/>
    <xf numFmtId="164" fontId="17" fillId="0" borderId="52" xfId="0" applyNumberFormat="1" applyFont="1" applyBorder="1" applyAlignment="1">
      <alignment horizontal="center" vertical="center"/>
    </xf>
    <xf numFmtId="39" fontId="17" fillId="0" borderId="53" xfId="0" applyNumberFormat="1" applyFont="1" applyBorder="1" applyAlignment="1">
      <alignment horizontal="center" vertical="center"/>
    </xf>
    <xf numFmtId="0" fontId="6" fillId="0" borderId="42" xfId="0" applyFont="1" applyBorder="1"/>
    <xf numFmtId="0" fontId="6" fillId="0" borderId="92" xfId="0" applyFont="1" applyBorder="1"/>
    <xf numFmtId="0" fontId="6" fillId="0" borderId="93" xfId="0" applyFont="1" applyBorder="1"/>
    <xf numFmtId="0" fontId="6" fillId="0" borderId="11" xfId="0" applyFont="1" applyBorder="1"/>
    <xf numFmtId="0" fontId="6" fillId="0" borderId="13" xfId="0" applyFont="1" applyBorder="1"/>
    <xf numFmtId="4" fontId="6" fillId="0" borderId="14" xfId="0" applyNumberFormat="1" applyFont="1" applyBorder="1" applyAlignment="1">
      <alignment horizontal="right" vertical="center"/>
    </xf>
    <xf numFmtId="0" fontId="6" fillId="0" borderId="64" xfId="0" applyFont="1" applyBorder="1"/>
    <xf numFmtId="0" fontId="6" fillId="33" borderId="0" xfId="0" applyFont="1" applyFill="1"/>
    <xf numFmtId="173" fontId="6" fillId="0" borderId="37" xfId="0" applyNumberFormat="1" applyFont="1" applyBorder="1" applyAlignment="1">
      <alignment horizontal="right" vertical="center"/>
    </xf>
    <xf numFmtId="2" fontId="6" fillId="0" borderId="41" xfId="0" applyNumberFormat="1" applyFont="1" applyBorder="1" applyAlignment="1">
      <alignment horizontal="center"/>
    </xf>
    <xf numFmtId="4" fontId="6" fillId="0" borderId="41" xfId="0" applyNumberFormat="1" applyFont="1" applyBorder="1"/>
    <xf numFmtId="0" fontId="6" fillId="0" borderId="41" xfId="0" applyFont="1" applyBorder="1" applyAlignment="1">
      <alignment horizontal="center"/>
    </xf>
    <xf numFmtId="0" fontId="6" fillId="0" borderId="41" xfId="0" applyFont="1" applyBorder="1"/>
    <xf numFmtId="3" fontId="6" fillId="0" borderId="41" xfId="0" applyNumberFormat="1" applyFont="1" applyBorder="1"/>
    <xf numFmtId="0" fontId="6" fillId="0" borderId="57" xfId="0" applyFont="1" applyBorder="1" applyAlignment="1">
      <alignment horizontal="left"/>
    </xf>
    <xf numFmtId="0" fontId="6" fillId="0" borderId="44" xfId="0" applyFont="1" applyBorder="1" applyAlignment="1">
      <alignment horizontal="center"/>
    </xf>
    <xf numFmtId="0" fontId="1" fillId="0" borderId="62" xfId="0" applyFont="1" applyBorder="1"/>
    <xf numFmtId="0" fontId="6" fillId="0" borderId="63" xfId="0" applyFont="1" applyBorder="1"/>
    <xf numFmtId="0" fontId="6" fillId="0" borderId="45" xfId="0" applyFont="1" applyBorder="1"/>
    <xf numFmtId="2" fontId="6" fillId="0" borderId="0" xfId="0" applyNumberFormat="1" applyFont="1"/>
    <xf numFmtId="0" fontId="18" fillId="0" borderId="0" xfId="0" applyFont="1"/>
    <xf numFmtId="1" fontId="6" fillId="0" borderId="41" xfId="0" applyNumberFormat="1" applyFont="1" applyBorder="1" applyAlignment="1">
      <alignment horizontal="center"/>
    </xf>
    <xf numFmtId="171" fontId="6" fillId="0" borderId="41" xfId="0" applyNumberFormat="1" applyFont="1" applyBorder="1"/>
    <xf numFmtId="171" fontId="6" fillId="0" borderId="0" xfId="0" applyNumberFormat="1" applyFont="1"/>
    <xf numFmtId="171" fontId="6" fillId="0" borderId="27" xfId="0" applyNumberFormat="1" applyFont="1" applyBorder="1" applyAlignment="1">
      <alignment horizontal="center" vertical="center"/>
    </xf>
    <xf numFmtId="170" fontId="6" fillId="0" borderId="27" xfId="0" applyNumberFormat="1" applyFont="1" applyBorder="1" applyAlignment="1">
      <alignment horizontal="center" vertical="center"/>
    </xf>
    <xf numFmtId="175" fontId="6" fillId="0" borderId="27" xfId="0" applyNumberFormat="1" applyFont="1" applyBorder="1" applyAlignment="1">
      <alignment horizontal="center" vertical="center"/>
    </xf>
    <xf numFmtId="2" fontId="6" fillId="0" borderId="27" xfId="0" applyNumberFormat="1" applyFont="1" applyBorder="1" applyAlignment="1">
      <alignment horizontal="center" vertical="center"/>
    </xf>
    <xf numFmtId="171" fontId="6" fillId="0" borderId="42" xfId="0" applyNumberFormat="1" applyFont="1" applyBorder="1" applyAlignment="1">
      <alignment vertical="center"/>
    </xf>
    <xf numFmtId="175" fontId="6" fillId="0" borderId="42" xfId="0" applyNumberFormat="1" applyFont="1" applyBorder="1" applyAlignment="1">
      <alignment vertical="center"/>
    </xf>
    <xf numFmtId="2" fontId="6" fillId="0" borderId="42" xfId="0" applyNumberFormat="1" applyFont="1" applyBorder="1" applyAlignment="1">
      <alignment vertical="center"/>
    </xf>
    <xf numFmtId="0" fontId="1" fillId="33" borderId="0" xfId="0" applyFont="1" applyFill="1"/>
    <xf numFmtId="0" fontId="17" fillId="33" borderId="27" xfId="0" applyFont="1" applyFill="1" applyBorder="1" applyAlignment="1">
      <alignment horizontal="center"/>
    </xf>
    <xf numFmtId="0" fontId="33" fillId="33" borderId="0" xfId="0" applyFont="1" applyFill="1"/>
    <xf numFmtId="0" fontId="17" fillId="33" borderId="27" xfId="0" applyFont="1" applyFill="1" applyBorder="1"/>
    <xf numFmtId="0" fontId="17" fillId="33" borderId="61" xfId="0" applyFont="1" applyFill="1" applyBorder="1" applyAlignment="1">
      <alignment horizontal="center"/>
    </xf>
    <xf numFmtId="0" fontId="1" fillId="33" borderId="13" xfId="0" applyFont="1" applyFill="1" applyBorder="1"/>
    <xf numFmtId="0" fontId="17" fillId="33" borderId="13" xfId="0" applyFont="1" applyFill="1" applyBorder="1"/>
    <xf numFmtId="0" fontId="17" fillId="33" borderId="13" xfId="0" applyFont="1" applyFill="1" applyBorder="1" applyAlignment="1">
      <alignment horizontal="center"/>
    </xf>
    <xf numFmtId="16" fontId="17" fillId="33" borderId="13" xfId="0" applyNumberFormat="1" applyFont="1" applyFill="1" applyBorder="1" applyAlignment="1">
      <alignment horizontal="center"/>
    </xf>
    <xf numFmtId="4" fontId="27" fillId="0" borderId="94" xfId="0" applyNumberFormat="1" applyFont="1" applyBorder="1" applyAlignment="1">
      <alignment horizontal="center" wrapText="1"/>
    </xf>
    <xf numFmtId="4" fontId="27" fillId="0" borderId="57" xfId="0" applyNumberFormat="1" applyFont="1" applyBorder="1" applyAlignment="1">
      <alignment horizontal="center" wrapText="1"/>
    </xf>
    <xf numFmtId="4" fontId="27" fillId="0" borderId="28" xfId="0" applyNumberFormat="1" applyFont="1" applyBorder="1" applyAlignment="1">
      <alignment horizontal="center" wrapText="1"/>
    </xf>
    <xf numFmtId="4" fontId="27" fillId="33" borderId="39" xfId="0" applyNumberFormat="1" applyFont="1" applyFill="1" applyBorder="1" applyAlignment="1">
      <alignment horizontal="center" wrapText="1"/>
    </xf>
    <xf numFmtId="4" fontId="27" fillId="0" borderId="95" xfId="0" applyNumberFormat="1" applyFont="1" applyBorder="1" applyAlignment="1">
      <alignment horizontal="center" wrapText="1"/>
    </xf>
    <xf numFmtId="4" fontId="27" fillId="0" borderId="63" xfId="0" applyNumberFormat="1" applyFont="1" applyBorder="1" applyAlignment="1">
      <alignment horizontal="center" wrapText="1"/>
    </xf>
    <xf numFmtId="4" fontId="27" fillId="0" borderId="96" xfId="0" applyNumberFormat="1" applyFont="1" applyBorder="1" applyAlignment="1">
      <alignment horizontal="center" wrapText="1"/>
    </xf>
    <xf numFmtId="4" fontId="27" fillId="0" borderId="97" xfId="0" applyNumberFormat="1" applyFont="1" applyBorder="1" applyAlignment="1">
      <alignment horizontal="center" wrapText="1"/>
    </xf>
    <xf numFmtId="0" fontId="17" fillId="33" borderId="46" xfId="0" applyFont="1" applyFill="1" applyBorder="1"/>
    <xf numFmtId="4" fontId="17" fillId="33" borderId="47" xfId="0" applyNumberFormat="1" applyFont="1" applyFill="1" applyBorder="1"/>
    <xf numFmtId="4" fontId="17" fillId="33" borderId="20" xfId="0" applyNumberFormat="1" applyFont="1" applyFill="1" applyBorder="1"/>
    <xf numFmtId="0" fontId="17" fillId="33" borderId="61" xfId="0" applyFont="1" applyFill="1" applyBorder="1"/>
    <xf numFmtId="4" fontId="17" fillId="33" borderId="61" xfId="0" applyNumberFormat="1" applyFont="1" applyFill="1" applyBorder="1"/>
    <xf numFmtId="4" fontId="24" fillId="33" borderId="33" xfId="0" applyNumberFormat="1" applyFont="1" applyFill="1" applyBorder="1" applyAlignment="1">
      <alignment horizontal="center"/>
    </xf>
    <xf numFmtId="4" fontId="17" fillId="33" borderId="98" xfId="0" applyNumberFormat="1" applyFont="1" applyFill="1" applyBorder="1" applyAlignment="1">
      <alignment horizontal="center"/>
    </xf>
    <xf numFmtId="167" fontId="34" fillId="33" borderId="13" xfId="0" applyNumberFormat="1" applyFont="1" applyFill="1" applyBorder="1" applyAlignment="1">
      <alignment horizontal="center" wrapText="1"/>
    </xf>
    <xf numFmtId="4" fontId="17" fillId="33" borderId="13" xfId="0" applyNumberFormat="1" applyFont="1" applyFill="1" applyBorder="1" applyAlignment="1">
      <alignment horizontal="center"/>
    </xf>
    <xf numFmtId="164" fontId="17" fillId="33" borderId="47" xfId="0" applyNumberFormat="1" applyFont="1" applyFill="1" applyBorder="1"/>
    <xf numFmtId="164" fontId="1" fillId="33" borderId="0" xfId="0" applyNumberFormat="1" applyFont="1" applyFill="1"/>
    <xf numFmtId="4" fontId="1" fillId="33" borderId="0" xfId="0" applyNumberFormat="1" applyFont="1" applyFill="1"/>
    <xf numFmtId="16" fontId="17" fillId="33" borderId="61" xfId="0" applyNumberFormat="1" applyFont="1" applyFill="1" applyBorder="1" applyAlignment="1">
      <alignment horizontal="center"/>
    </xf>
    <xf numFmtId="0" fontId="17" fillId="33" borderId="67" xfId="0" applyFont="1" applyFill="1" applyBorder="1" applyAlignment="1">
      <alignment horizontal="center"/>
    </xf>
    <xf numFmtId="0" fontId="17" fillId="33" borderId="62" xfId="0" applyFont="1" applyFill="1" applyBorder="1" applyAlignment="1">
      <alignment horizontal="center"/>
    </xf>
    <xf numFmtId="0" fontId="17" fillId="33" borderId="99" xfId="0" applyFont="1" applyFill="1" applyBorder="1" applyAlignment="1">
      <alignment horizontal="center"/>
    </xf>
    <xf numFmtId="0" fontId="17" fillId="33" borderId="96" xfId="0" applyFont="1" applyFill="1" applyBorder="1" applyAlignment="1">
      <alignment horizontal="center"/>
    </xf>
    <xf numFmtId="171" fontId="27" fillId="0" borderId="33" xfId="0" applyNumberFormat="1" applyFont="1" applyBorder="1" applyAlignment="1">
      <alignment horizontal="center" wrapText="1"/>
    </xf>
    <xf numFmtId="171" fontId="27" fillId="0" borderId="34" xfId="0" applyNumberFormat="1" applyFont="1" applyBorder="1" applyAlignment="1">
      <alignment horizontal="center" wrapText="1"/>
    </xf>
    <xf numFmtId="4" fontId="17" fillId="33" borderId="43" xfId="0" applyNumberFormat="1" applyFont="1" applyFill="1" applyBorder="1"/>
    <xf numFmtId="4" fontId="17" fillId="33" borderId="17" xfId="0" applyNumberFormat="1" applyFont="1" applyFill="1" applyBorder="1" applyAlignment="1">
      <alignment horizontal="center"/>
    </xf>
    <xf numFmtId="2" fontId="17" fillId="33" borderId="52" xfId="0" applyNumberFormat="1" applyFont="1" applyFill="1" applyBorder="1" applyAlignment="1">
      <alignment horizontal="center"/>
    </xf>
    <xf numFmtId="0" fontId="1" fillId="33" borderId="56" xfId="0" applyFont="1" applyFill="1" applyBorder="1"/>
    <xf numFmtId="0" fontId="33" fillId="0" borderId="0" xfId="0" applyFont="1"/>
    <xf numFmtId="0" fontId="17" fillId="0" borderId="0" xfId="0" applyFont="1"/>
    <xf numFmtId="0" fontId="30" fillId="0" borderId="0" xfId="0" applyFont="1" applyAlignment="1">
      <alignment vertical="center"/>
    </xf>
    <xf numFmtId="0" fontId="1" fillId="0" borderId="65" xfId="0" applyFont="1" applyBorder="1" applyAlignment="1">
      <alignment horizontal="center"/>
    </xf>
    <xf numFmtId="0" fontId="1" fillId="0" borderId="66" xfId="0" applyFont="1" applyBorder="1" applyAlignment="1">
      <alignment horizontal="center"/>
    </xf>
    <xf numFmtId="0" fontId="35" fillId="0" borderId="0" xfId="0" applyFont="1"/>
    <xf numFmtId="173" fontId="30" fillId="0" borderId="0" xfId="0" applyNumberFormat="1" applyFont="1"/>
    <xf numFmtId="164" fontId="30" fillId="0" borderId="0" xfId="0" applyNumberFormat="1" applyFont="1"/>
    <xf numFmtId="0" fontId="1" fillId="0" borderId="63" xfId="0" applyFont="1" applyBorder="1" applyAlignment="1">
      <alignment horizontal="center"/>
    </xf>
    <xf numFmtId="4" fontId="27" fillId="0" borderId="61" xfId="0" applyNumberFormat="1" applyFont="1" applyBorder="1" applyAlignment="1">
      <alignment horizontal="center" wrapText="1"/>
    </xf>
    <xf numFmtId="167" fontId="34" fillId="35" borderId="13" xfId="0" applyNumberFormat="1" applyFont="1" applyFill="1" applyBorder="1" applyAlignment="1">
      <alignment horizontal="center" wrapText="1"/>
    </xf>
    <xf numFmtId="0" fontId="6" fillId="0" borderId="57" xfId="0" applyFont="1" applyBorder="1"/>
    <xf numFmtId="3" fontId="6" fillId="0" borderId="41" xfId="0" applyNumberFormat="1" applyFont="1" applyBorder="1" applyAlignment="1">
      <alignment horizontal="right"/>
    </xf>
    <xf numFmtId="0" fontId="6" fillId="0" borderId="12" xfId="0" applyFont="1" applyBorder="1" applyAlignment="1">
      <alignment vertical="center"/>
    </xf>
    <xf numFmtId="4" fontId="1" fillId="0" borderId="22" xfId="0" applyNumberFormat="1" applyFont="1" applyBorder="1" applyAlignment="1">
      <alignment horizontal="center"/>
    </xf>
    <xf numFmtId="0" fontId="6" fillId="0" borderId="12" xfId="0" applyFont="1" applyBorder="1"/>
    <xf numFmtId="0" fontId="6" fillId="0" borderId="57" xfId="0" applyFont="1" applyBorder="1" applyAlignment="1">
      <alignment horizontal="center"/>
    </xf>
    <xf numFmtId="4" fontId="1" fillId="0" borderId="61" xfId="0" applyNumberFormat="1" applyFont="1" applyBorder="1" applyAlignment="1">
      <alignment horizontal="center"/>
    </xf>
    <xf numFmtId="0" fontId="6" fillId="0" borderId="42" xfId="0" applyFont="1" applyBorder="1" applyAlignment="1">
      <alignment horizontal="right"/>
    </xf>
    <xf numFmtId="0" fontId="6" fillId="0" borderId="42" xfId="0" applyFont="1" applyBorder="1" applyAlignment="1">
      <alignment horizontal="left"/>
    </xf>
    <xf numFmtId="0" fontId="6" fillId="0" borderId="12" xfId="0" applyFont="1" applyBorder="1" applyAlignment="1">
      <alignment horizontal="right"/>
    </xf>
    <xf numFmtId="170" fontId="6" fillId="0" borderId="0" xfId="0" applyNumberFormat="1" applyFont="1"/>
    <xf numFmtId="1" fontId="6" fillId="0" borderId="14" xfId="0" applyNumberFormat="1" applyFont="1" applyBorder="1"/>
    <xf numFmtId="0" fontId="6" fillId="0" borderId="14" xfId="0" applyFont="1" applyBorder="1"/>
    <xf numFmtId="170" fontId="6" fillId="0" borderId="41" xfId="0" applyNumberFormat="1" applyFont="1" applyBorder="1"/>
    <xf numFmtId="0" fontId="30" fillId="0" borderId="27" xfId="0" applyFont="1" applyBorder="1" applyAlignment="1">
      <alignment horizontal="center" vertical="center"/>
    </xf>
    <xf numFmtId="3" fontId="6" fillId="0" borderId="27" xfId="0" applyNumberFormat="1" applyFont="1" applyBorder="1" applyAlignment="1">
      <alignment horizontal="center" vertical="center"/>
    </xf>
    <xf numFmtId="0" fontId="36" fillId="0" borderId="27" xfId="0" applyFont="1" applyBorder="1" applyAlignment="1">
      <alignment horizontal="center"/>
    </xf>
    <xf numFmtId="3" fontId="30" fillId="0" borderId="27" xfId="0" applyNumberFormat="1" applyFont="1" applyBorder="1" applyAlignment="1">
      <alignment horizontal="center" vertical="center"/>
    </xf>
    <xf numFmtId="4" fontId="37" fillId="0" borderId="27" xfId="0" applyNumberFormat="1" applyFont="1" applyBorder="1" applyAlignment="1">
      <alignment horizontal="center" vertical="center"/>
    </xf>
    <xf numFmtId="0" fontId="37" fillId="35" borderId="27" xfId="0" applyFont="1" applyFill="1" applyBorder="1" applyAlignment="1">
      <alignment horizontal="center" vertical="center"/>
    </xf>
    <xf numFmtId="4" fontId="37" fillId="35" borderId="27" xfId="0" applyNumberFormat="1" applyFont="1" applyFill="1" applyBorder="1" applyAlignment="1">
      <alignment horizontal="center" vertical="center"/>
    </xf>
    <xf numFmtId="0" fontId="1" fillId="0" borderId="98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6" fillId="0" borderId="88" xfId="0" applyFont="1" applyBorder="1"/>
    <xf numFmtId="0" fontId="6" fillId="0" borderId="23" xfId="0" applyFont="1" applyBorder="1"/>
    <xf numFmtId="0" fontId="6" fillId="0" borderId="49" xfId="0" applyFont="1" applyBorder="1"/>
    <xf numFmtId="0" fontId="6" fillId="0" borderId="30" xfId="0" applyFont="1" applyBorder="1"/>
    <xf numFmtId="1" fontId="6" fillId="0" borderId="89" xfId="0" applyNumberFormat="1" applyFont="1" applyBorder="1"/>
    <xf numFmtId="0" fontId="6" fillId="0" borderId="34" xfId="0" applyFont="1" applyBorder="1"/>
    <xf numFmtId="3" fontId="6" fillId="0" borderId="0" xfId="0" applyNumberFormat="1" applyFont="1"/>
    <xf numFmtId="0" fontId="6" fillId="0" borderId="62" xfId="0" applyFont="1" applyBorder="1"/>
    <xf numFmtId="11" fontId="30" fillId="0" borderId="0" xfId="0" applyNumberFormat="1" applyFont="1"/>
    <xf numFmtId="11" fontId="6" fillId="0" borderId="0" xfId="0" applyNumberFormat="1" applyFont="1"/>
    <xf numFmtId="173" fontId="6" fillId="0" borderId="0" xfId="0" applyNumberFormat="1" applyFont="1"/>
    <xf numFmtId="0" fontId="17" fillId="0" borderId="21" xfId="0" applyFont="1" applyBorder="1"/>
    <xf numFmtId="0" fontId="1" fillId="0" borderId="24" xfId="0" applyFont="1" applyBorder="1"/>
    <xf numFmtId="0" fontId="1" fillId="0" borderId="100" xfId="0" applyFont="1" applyBorder="1"/>
    <xf numFmtId="0" fontId="1" fillId="0" borderId="25" xfId="0" applyFont="1" applyBorder="1"/>
    <xf numFmtId="0" fontId="17" fillId="0" borderId="26" xfId="0" applyFont="1" applyBorder="1"/>
    <xf numFmtId="0" fontId="1" fillId="0" borderId="29" xfId="0" applyFont="1" applyBorder="1"/>
    <xf numFmtId="0" fontId="1" fillId="0" borderId="93" xfId="0" applyFont="1" applyBorder="1"/>
    <xf numFmtId="0" fontId="1" fillId="0" borderId="31" xfId="0" applyFont="1" applyBorder="1"/>
    <xf numFmtId="1" fontId="17" fillId="0" borderId="32" xfId="0" applyNumberFormat="1" applyFont="1" applyBorder="1"/>
    <xf numFmtId="0" fontId="1" fillId="0" borderId="87" xfId="0" applyFont="1" applyBorder="1"/>
    <xf numFmtId="0" fontId="1" fillId="0" borderId="11" xfId="0" applyFont="1" applyBorder="1"/>
    <xf numFmtId="0" fontId="1" fillId="0" borderId="35" xfId="0" applyFont="1" applyBorder="1"/>
    <xf numFmtId="0" fontId="1" fillId="0" borderId="41" xfId="0" applyFont="1" applyBorder="1"/>
    <xf numFmtId="0" fontId="1" fillId="0" borderId="42" xfId="0" applyFont="1" applyBorder="1"/>
    <xf numFmtId="3" fontId="1" fillId="0" borderId="41" xfId="0" applyNumberFormat="1" applyFont="1" applyBorder="1"/>
    <xf numFmtId="0" fontId="1" fillId="0" borderId="44" xfId="0" applyFont="1" applyBorder="1"/>
    <xf numFmtId="171" fontId="1" fillId="0" borderId="41" xfId="0" applyNumberFormat="1" applyFont="1" applyBorder="1"/>
    <xf numFmtId="175" fontId="1" fillId="0" borderId="0" xfId="0" applyNumberFormat="1" applyFont="1"/>
    <xf numFmtId="0" fontId="30" fillId="0" borderId="21" xfId="0" applyFont="1" applyBorder="1"/>
    <xf numFmtId="0" fontId="6" fillId="0" borderId="100" xfId="0" applyFont="1" applyBorder="1"/>
    <xf numFmtId="0" fontId="30" fillId="0" borderId="26" xfId="0" applyFont="1" applyBorder="1"/>
    <xf numFmtId="1" fontId="30" fillId="0" borderId="32" xfId="0" applyNumberFormat="1" applyFont="1" applyBorder="1"/>
    <xf numFmtId="0" fontId="1" fillId="0" borderId="0" xfId="0" applyFont="1" applyAlignment="1">
      <alignment horizontal="left"/>
    </xf>
    <xf numFmtId="171" fontId="1" fillId="0" borderId="0" xfId="0" applyNumberFormat="1" applyFont="1" applyAlignment="1">
      <alignment horizontal="center"/>
    </xf>
    <xf numFmtId="1" fontId="30" fillId="0" borderId="0" xfId="0" applyNumberFormat="1" applyFont="1"/>
    <xf numFmtId="0" fontId="38" fillId="0" borderId="101" xfId="0" applyFont="1" applyBorder="1" applyAlignment="1">
      <alignment horizontal="center" vertical="center" wrapText="1"/>
    </xf>
    <xf numFmtId="0" fontId="38" fillId="0" borderId="102" xfId="0" applyFont="1" applyBorder="1" applyAlignment="1">
      <alignment horizontal="center" vertical="center" wrapText="1"/>
    </xf>
    <xf numFmtId="176" fontId="38" fillId="0" borderId="102" xfId="0" applyNumberFormat="1" applyFont="1" applyBorder="1" applyAlignment="1">
      <alignment horizontal="center" vertical="center" wrapText="1"/>
    </xf>
    <xf numFmtId="177" fontId="38" fillId="0" borderId="102" xfId="0" applyNumberFormat="1" applyFont="1" applyBorder="1" applyAlignment="1">
      <alignment horizontal="center" vertical="center" wrapText="1"/>
    </xf>
    <xf numFmtId="178" fontId="38" fillId="0" borderId="102" xfId="0" applyNumberFormat="1" applyFont="1" applyBorder="1" applyAlignment="1">
      <alignment horizontal="center" vertical="center" wrapText="1"/>
    </xf>
    <xf numFmtId="179" fontId="38" fillId="0" borderId="102" xfId="0" applyNumberFormat="1" applyFont="1" applyBorder="1" applyAlignment="1">
      <alignment horizontal="center" vertical="center" wrapText="1"/>
    </xf>
    <xf numFmtId="180" fontId="38" fillId="0" borderId="102" xfId="0" applyNumberFormat="1" applyFont="1" applyBorder="1" applyAlignment="1">
      <alignment horizontal="center" vertical="center" wrapText="1"/>
    </xf>
    <xf numFmtId="181" fontId="38" fillId="0" borderId="102" xfId="0" applyNumberFormat="1" applyFont="1" applyBorder="1" applyAlignment="1">
      <alignment horizontal="center" vertical="center" wrapText="1"/>
    </xf>
    <xf numFmtId="182" fontId="38" fillId="0" borderId="102" xfId="0" applyNumberFormat="1" applyFont="1" applyBorder="1" applyAlignment="1">
      <alignment horizontal="center" vertical="center" wrapText="1"/>
    </xf>
    <xf numFmtId="183" fontId="38" fillId="0" borderId="102" xfId="0" applyNumberFormat="1" applyFont="1" applyBorder="1" applyAlignment="1">
      <alignment horizontal="center" vertical="center" wrapText="1"/>
    </xf>
    <xf numFmtId="184" fontId="38" fillId="0" borderId="102" xfId="0" applyNumberFormat="1" applyFont="1" applyBorder="1" applyAlignment="1">
      <alignment horizontal="center" vertical="center" wrapText="1"/>
    </xf>
    <xf numFmtId="185" fontId="38" fillId="0" borderId="102" xfId="0" applyNumberFormat="1" applyFont="1" applyBorder="1" applyAlignment="1">
      <alignment horizontal="center" vertical="center" wrapText="1"/>
    </xf>
    <xf numFmtId="186" fontId="38" fillId="0" borderId="102" xfId="0" applyNumberFormat="1" applyFont="1" applyBorder="1" applyAlignment="1">
      <alignment horizontal="center" vertical="center" wrapText="1"/>
    </xf>
    <xf numFmtId="187" fontId="38" fillId="0" borderId="102" xfId="0" applyNumberFormat="1" applyFont="1" applyBorder="1" applyAlignment="1">
      <alignment horizontal="center" vertical="center" wrapText="1"/>
    </xf>
    <xf numFmtId="0" fontId="38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188" fontId="39" fillId="0" borderId="0" xfId="0" applyNumberFormat="1" applyFont="1" applyAlignment="1">
      <alignment horizontal="right" vertical="center"/>
    </xf>
    <xf numFmtId="188" fontId="39" fillId="36" borderId="0" xfId="0" applyNumberFormat="1" applyFont="1" applyFill="1" applyAlignment="1">
      <alignment horizontal="right" vertical="center"/>
    </xf>
    <xf numFmtId="0" fontId="38" fillId="37" borderId="0" xfId="0" applyFont="1" applyFill="1" applyAlignment="1">
      <alignment vertical="center"/>
    </xf>
    <xf numFmtId="0" fontId="39" fillId="37" borderId="0" xfId="0" applyFont="1" applyFill="1" applyAlignment="1">
      <alignment vertical="center"/>
    </xf>
    <xf numFmtId="188" fontId="39" fillId="37" borderId="0" xfId="0" applyNumberFormat="1" applyFont="1" applyFill="1" applyAlignment="1">
      <alignment horizontal="right" vertical="center"/>
    </xf>
    <xf numFmtId="189" fontId="39" fillId="0" borderId="0" xfId="0" applyNumberFormat="1" applyFont="1" applyAlignment="1">
      <alignment horizontal="right" vertical="center"/>
    </xf>
    <xf numFmtId="189" fontId="39" fillId="36" borderId="0" xfId="0" applyNumberFormat="1" applyFont="1" applyFill="1" applyAlignment="1">
      <alignment horizontal="right" vertical="center"/>
    </xf>
    <xf numFmtId="0" fontId="38" fillId="37" borderId="103" xfId="0" applyFont="1" applyFill="1" applyBorder="1" applyAlignment="1">
      <alignment vertical="center"/>
    </xf>
    <xf numFmtId="0" fontId="39" fillId="37" borderId="103" xfId="0" applyFont="1" applyFill="1" applyBorder="1" applyAlignment="1">
      <alignment vertical="center"/>
    </xf>
    <xf numFmtId="188" fontId="39" fillId="37" borderId="103" xfId="0" applyNumberFormat="1" applyFont="1" applyFill="1" applyBorder="1" applyAlignment="1">
      <alignment horizontal="right" vertical="center"/>
    </xf>
    <xf numFmtId="188" fontId="39" fillId="36" borderId="103" xfId="0" applyNumberFormat="1" applyFont="1" applyFill="1" applyBorder="1" applyAlignment="1">
      <alignment horizontal="right" vertical="center"/>
    </xf>
    <xf numFmtId="0" fontId="38" fillId="38" borderId="0" xfId="0" applyFont="1" applyFill="1" applyAlignment="1">
      <alignment vertical="center"/>
    </xf>
    <xf numFmtId="4" fontId="39" fillId="0" borderId="0" xfId="0" applyNumberFormat="1" applyFont="1" applyAlignment="1">
      <alignment horizontal="right" vertical="center"/>
    </xf>
    <xf numFmtId="4" fontId="39" fillId="36" borderId="0" xfId="0" applyNumberFormat="1" applyFont="1" applyFill="1" applyAlignment="1">
      <alignment horizontal="right" vertical="center"/>
    </xf>
    <xf numFmtId="3" fontId="39" fillId="0" borderId="0" xfId="0" applyNumberFormat="1" applyFont="1" applyAlignment="1">
      <alignment horizontal="right" vertical="center"/>
    </xf>
    <xf numFmtId="3" fontId="39" fillId="36" borderId="0" xfId="0" applyNumberFormat="1" applyFont="1" applyFill="1" applyAlignment="1">
      <alignment horizontal="right" vertical="center"/>
    </xf>
    <xf numFmtId="175" fontId="39" fillId="0" borderId="0" xfId="0" applyNumberFormat="1" applyFont="1" applyAlignment="1">
      <alignment horizontal="right" vertical="center"/>
    </xf>
    <xf numFmtId="175" fontId="39" fillId="36" borderId="0" xfId="0" applyNumberFormat="1" applyFont="1" applyFill="1" applyAlignment="1">
      <alignment horizontal="right" vertical="center"/>
    </xf>
    <xf numFmtId="188" fontId="38" fillId="36" borderId="0" xfId="0" applyNumberFormat="1" applyFont="1" applyFill="1" applyAlignment="1">
      <alignment horizontal="right" vertical="center"/>
    </xf>
    <xf numFmtId="189" fontId="38" fillId="36" borderId="0" xfId="0" applyNumberFormat="1" applyFont="1" applyFill="1" applyAlignment="1">
      <alignment horizontal="right" vertical="center"/>
    </xf>
    <xf numFmtId="4" fontId="38" fillId="36" borderId="0" xfId="0" applyNumberFormat="1" applyFont="1" applyFill="1" applyAlignment="1">
      <alignment horizontal="right" vertical="center"/>
    </xf>
    <xf numFmtId="175" fontId="38" fillId="36" borderId="0" xfId="0" applyNumberFormat="1" applyFont="1" applyFill="1" applyAlignment="1">
      <alignment horizontal="right" vertical="center"/>
    </xf>
    <xf numFmtId="0" fontId="38" fillId="39" borderId="0" xfId="0" applyFont="1" applyFill="1" applyAlignment="1">
      <alignment horizontal="right" vertical="center"/>
    </xf>
    <xf numFmtId="0" fontId="38" fillId="36" borderId="0" xfId="0" applyFont="1" applyFill="1" applyAlignment="1">
      <alignment horizontal="right" vertical="center"/>
    </xf>
    <xf numFmtId="3" fontId="38" fillId="36" borderId="0" xfId="0" applyNumberFormat="1" applyFont="1" applyFill="1" applyAlignment="1">
      <alignment horizontal="right" vertical="center"/>
    </xf>
    <xf numFmtId="171" fontId="39" fillId="0" borderId="0" xfId="0" applyNumberFormat="1" applyFont="1" applyAlignment="1">
      <alignment horizontal="right" vertical="center"/>
    </xf>
    <xf numFmtId="171" fontId="38" fillId="36" borderId="0" xfId="0" applyNumberFormat="1" applyFont="1" applyFill="1" applyAlignment="1">
      <alignment horizontal="right" vertical="center"/>
    </xf>
    <xf numFmtId="0" fontId="40" fillId="0" borderId="0" xfId="0" applyFont="1" applyAlignment="1">
      <alignment vertical="center"/>
    </xf>
    <xf numFmtId="0" fontId="41" fillId="0" borderId="0" xfId="0" applyFont="1"/>
    <xf numFmtId="0" fontId="38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190" fontId="39" fillId="0" borderId="0" xfId="0" applyNumberFormat="1" applyFont="1" applyAlignment="1">
      <alignment horizontal="right" vertical="center"/>
    </xf>
    <xf numFmtId="0" fontId="38" fillId="38" borderId="0" xfId="0" applyFont="1" applyFill="1" applyAlignment="1">
      <alignment horizontal="right" vertical="center"/>
    </xf>
    <xf numFmtId="0" fontId="38" fillId="0" borderId="0" xfId="0" applyFont="1" applyAlignment="1">
      <alignment horizontal="right" vertical="center"/>
    </xf>
    <xf numFmtId="173" fontId="39" fillId="0" borderId="0" xfId="0" applyNumberFormat="1" applyFont="1" applyAlignment="1">
      <alignment horizontal="right" vertical="center"/>
    </xf>
    <xf numFmtId="0" fontId="38" fillId="40" borderId="0" xfId="0" applyFont="1" applyFill="1" applyAlignment="1">
      <alignment vertical="center"/>
    </xf>
    <xf numFmtId="0" fontId="38" fillId="40" borderId="0" xfId="0" applyFont="1" applyFill="1" applyAlignment="1">
      <alignment horizontal="right" vertical="center"/>
    </xf>
    <xf numFmtId="191" fontId="39" fillId="0" borderId="0" xfId="0" applyNumberFormat="1" applyFont="1" applyAlignment="1">
      <alignment horizontal="right" vertical="center"/>
    </xf>
    <xf numFmtId="192" fontId="39" fillId="0" borderId="0" xfId="0" applyNumberFormat="1" applyFont="1" applyAlignment="1">
      <alignment horizontal="right" vertical="center"/>
    </xf>
    <xf numFmtId="0" fontId="39" fillId="0" borderId="0" xfId="0" applyFont="1" applyAlignment="1">
      <alignment horizontal="right" vertical="center"/>
    </xf>
    <xf numFmtId="0" fontId="24" fillId="33" borderId="13" xfId="0" applyFont="1" applyFill="1" applyBorder="1" applyAlignment="1">
      <alignment horizontal="center"/>
    </xf>
    <xf numFmtId="0" fontId="24" fillId="33" borderId="37" xfId="0" applyFont="1" applyFill="1" applyBorder="1" applyAlignment="1">
      <alignment horizontal="center" vertical="center"/>
    </xf>
    <xf numFmtId="0" fontId="24" fillId="33" borderId="40" xfId="0" applyFont="1" applyFill="1" applyBorder="1" applyAlignment="1">
      <alignment horizontal="center"/>
    </xf>
    <xf numFmtId="0" fontId="24" fillId="33" borderId="15" xfId="0" applyFont="1" applyFill="1" applyBorder="1" applyAlignment="1">
      <alignment horizontal="center"/>
    </xf>
    <xf numFmtId="0" fontId="24" fillId="33" borderId="14" xfId="0" applyFont="1" applyFill="1" applyBorder="1" applyAlignment="1">
      <alignment horizontal="center"/>
    </xf>
    <xf numFmtId="0" fontId="24" fillId="33" borderId="38" xfId="0" applyFont="1" applyFill="1" applyBorder="1" applyAlignment="1">
      <alignment horizontal="center"/>
    </xf>
    <xf numFmtId="0" fontId="1" fillId="0" borderId="44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6" fillId="0" borderId="44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49" fontId="30" fillId="0" borderId="51" xfId="0" applyNumberFormat="1" applyFont="1" applyBorder="1" applyAlignment="1">
      <alignment horizontal="center" vertical="center"/>
    </xf>
    <xf numFmtId="0" fontId="24" fillId="33" borderId="13" xfId="0" applyFont="1" applyFill="1" applyBorder="1" applyAlignment="1">
      <alignment horizontal="center" vertical="center"/>
    </xf>
    <xf numFmtId="0" fontId="24" fillId="33" borderId="14" xfId="0" applyFont="1" applyFill="1" applyBorder="1" applyAlignment="1">
      <alignment horizontal="center" vertical="center"/>
    </xf>
    <xf numFmtId="0" fontId="24" fillId="33" borderId="58" xfId="0" applyFont="1" applyFill="1" applyBorder="1" applyAlignment="1">
      <alignment horizontal="center"/>
    </xf>
    <xf numFmtId="0" fontId="6" fillId="0" borderId="41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24" fillId="33" borderId="0" xfId="0" applyFont="1" applyFill="1" applyAlignment="1">
      <alignment horizontal="center"/>
    </xf>
    <xf numFmtId="0" fontId="24" fillId="33" borderId="64" xfId="0" applyFont="1" applyFill="1" applyBorder="1" applyAlignment="1">
      <alignment horizontal="center"/>
    </xf>
    <xf numFmtId="0" fontId="24" fillId="33" borderId="46" xfId="0" applyFont="1" applyFill="1" applyBorder="1" applyAlignment="1">
      <alignment horizontal="center"/>
    </xf>
    <xf numFmtId="0" fontId="24" fillId="33" borderId="21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left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24" fillId="33" borderId="51" xfId="0" applyFont="1" applyFill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6" fillId="0" borderId="44" xfId="0" applyFont="1" applyBorder="1" applyAlignment="1">
      <alignment horizontal="center"/>
    </xf>
    <xf numFmtId="0" fontId="6" fillId="0" borderId="46" xfId="0" applyFont="1" applyBorder="1" applyAlignment="1">
      <alignment horizontal="center"/>
    </xf>
    <xf numFmtId="0" fontId="17" fillId="33" borderId="27" xfId="0" applyFont="1" applyFill="1" applyBorder="1" applyAlignment="1">
      <alignment horizontal="center"/>
    </xf>
    <xf numFmtId="0" fontId="17" fillId="33" borderId="13" xfId="0" applyFont="1" applyFill="1" applyBorder="1" applyAlignment="1">
      <alignment horizontal="center"/>
    </xf>
    <xf numFmtId="16" fontId="17" fillId="33" borderId="13" xfId="0" applyNumberFormat="1" applyFont="1" applyFill="1" applyBorder="1" applyAlignment="1">
      <alignment horizontal="center" vertical="center"/>
    </xf>
    <xf numFmtId="0" fontId="17" fillId="33" borderId="21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30" fillId="0" borderId="27" xfId="0" applyFont="1" applyBorder="1" applyAlignment="1">
      <alignment horizontal="center" vertical="center" wrapText="1"/>
    </xf>
    <xf numFmtId="4" fontId="17" fillId="0" borderId="27" xfId="0" applyNumberFormat="1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7" fillId="0" borderId="16" xfId="0" applyFont="1" applyBorder="1" applyAlignment="1">
      <alignment horizontal="center"/>
    </xf>
    <xf numFmtId="0" fontId="17" fillId="0" borderId="36" xfId="0" applyFont="1" applyBorder="1" applyAlignment="1">
      <alignment horizontal="center"/>
    </xf>
    <xf numFmtId="0" fontId="30" fillId="0" borderId="16" xfId="0" applyFont="1" applyBorder="1" applyAlignment="1">
      <alignment horizontal="center"/>
    </xf>
    <xf numFmtId="0" fontId="30" fillId="0" borderId="36" xfId="0" applyFont="1" applyBorder="1" applyAlignment="1">
      <alignment horizontal="center"/>
    </xf>
    <xf numFmtId="0" fontId="38" fillId="38" borderId="0" xfId="0" applyFont="1" applyFill="1" applyAlignment="1">
      <alignment vertical="center" wrapText="1"/>
    </xf>
    <xf numFmtId="0" fontId="38" fillId="0" borderId="0" xfId="0" applyFont="1" applyAlignment="1">
      <alignment horizontal="center" vertical="center"/>
    </xf>
    <xf numFmtId="0" fontId="38" fillId="0" borderId="104" xfId="0" applyFont="1" applyBorder="1" applyAlignment="1">
      <alignment horizontal="center" vertical="center" wrapText="1"/>
    </xf>
    <xf numFmtId="0" fontId="38" fillId="0" borderId="105" xfId="0" applyFont="1" applyBorder="1" applyAlignment="1">
      <alignment horizontal="center" vertical="center"/>
    </xf>
    <xf numFmtId="0" fontId="38" fillId="40" borderId="0" xfId="0" applyFont="1" applyFill="1" applyAlignment="1">
      <alignment vertical="center" wrapText="1"/>
    </xf>
  </cellXfs>
  <cellStyles count="48">
    <cellStyle name="20% - Accent1" xfId="1" xr:uid="{00000000-0005-0000-0000-000006000000}"/>
    <cellStyle name="20% - Accent2" xfId="2" xr:uid="{00000000-0005-0000-0000-000007000000}"/>
    <cellStyle name="20% - Accent3" xfId="3" xr:uid="{00000000-0005-0000-0000-000008000000}"/>
    <cellStyle name="20% - Accent4" xfId="4" xr:uid="{00000000-0005-0000-0000-000009000000}"/>
    <cellStyle name="20% - Accent5" xfId="5" xr:uid="{00000000-0005-0000-0000-00000A000000}"/>
    <cellStyle name="20% - Accent6" xfId="6" xr:uid="{00000000-0005-0000-0000-00000B000000}"/>
    <cellStyle name="40% - Accent1" xfId="7" xr:uid="{00000000-0005-0000-0000-00000C000000}"/>
    <cellStyle name="40% - Accent2" xfId="8" xr:uid="{00000000-0005-0000-0000-00000D000000}"/>
    <cellStyle name="40% - Accent3" xfId="9" xr:uid="{00000000-0005-0000-0000-00000E000000}"/>
    <cellStyle name="40% - Accent4" xfId="10" xr:uid="{00000000-0005-0000-0000-00000F000000}"/>
    <cellStyle name="40% - Accent5" xfId="11" xr:uid="{00000000-0005-0000-0000-000010000000}"/>
    <cellStyle name="40% - Accent6" xfId="12" xr:uid="{00000000-0005-0000-0000-000011000000}"/>
    <cellStyle name="60% - Accent1" xfId="13" xr:uid="{00000000-0005-0000-0000-000012000000}"/>
    <cellStyle name="60% - Accent2" xfId="14" xr:uid="{00000000-0005-0000-0000-000013000000}"/>
    <cellStyle name="60% - Accent3" xfId="15" xr:uid="{00000000-0005-0000-0000-000014000000}"/>
    <cellStyle name="60% - Accent4" xfId="16" xr:uid="{00000000-0005-0000-0000-000015000000}"/>
    <cellStyle name="60% - Accent5" xfId="17" xr:uid="{00000000-0005-0000-0000-000016000000}"/>
    <cellStyle name="60% - Accent6" xfId="18" xr:uid="{00000000-0005-0000-0000-000017000000}"/>
    <cellStyle name="Accent1" xfId="19" xr:uid="{00000000-0005-0000-0000-000018000000}"/>
    <cellStyle name="Accent2" xfId="20" xr:uid="{00000000-0005-0000-0000-000019000000}"/>
    <cellStyle name="Accent3" xfId="21" xr:uid="{00000000-0005-0000-0000-00001A000000}"/>
    <cellStyle name="Accent4" xfId="22" xr:uid="{00000000-0005-0000-0000-00001B000000}"/>
    <cellStyle name="Accent5" xfId="23" xr:uid="{00000000-0005-0000-0000-00001C000000}"/>
    <cellStyle name="Accent6" xfId="24" xr:uid="{00000000-0005-0000-0000-00001D000000}"/>
    <cellStyle name="Bad 4" xfId="25" xr:uid="{00000000-0005-0000-0000-00001E000000}"/>
    <cellStyle name="Calculation" xfId="26" xr:uid="{00000000-0005-0000-0000-00001F000000}"/>
    <cellStyle name="Check Cell" xfId="27" xr:uid="{00000000-0005-0000-0000-000020000000}"/>
    <cellStyle name="Comma 2" xfId="28" xr:uid="{00000000-0005-0000-0000-000021000000}"/>
    <cellStyle name="Explanatory Text" xfId="29" xr:uid="{00000000-0005-0000-0000-000022000000}"/>
    <cellStyle name="Good 3" xfId="30" xr:uid="{00000000-0005-0000-0000-000023000000}"/>
    <cellStyle name="Heading 1 1" xfId="31" xr:uid="{00000000-0005-0000-0000-000024000000}"/>
    <cellStyle name="Heading 2 2" xfId="32" xr:uid="{00000000-0005-0000-0000-000025000000}"/>
    <cellStyle name="Heading 3" xfId="33" xr:uid="{00000000-0005-0000-0000-000026000000}"/>
    <cellStyle name="Heading 4" xfId="34" xr:uid="{00000000-0005-0000-0000-000027000000}"/>
    <cellStyle name="Input" xfId="35" xr:uid="{00000000-0005-0000-0000-000028000000}"/>
    <cellStyle name="Linked Cell" xfId="36" xr:uid="{00000000-0005-0000-0000-000029000000}"/>
    <cellStyle name="Neutral 5" xfId="37" xr:uid="{00000000-0005-0000-0000-00002A000000}"/>
    <cellStyle name="Normal" xfId="0" builtinId="0"/>
    <cellStyle name="Normal 2" xfId="38" xr:uid="{00000000-0005-0000-0000-00002B000000}"/>
    <cellStyle name="Normal 2 2" xfId="39" xr:uid="{00000000-0005-0000-0000-00002C000000}"/>
    <cellStyle name="Normal 2 3" xfId="40" xr:uid="{00000000-0005-0000-0000-00002D000000}"/>
    <cellStyle name="Normal 3" xfId="41" xr:uid="{00000000-0005-0000-0000-00002E000000}"/>
    <cellStyle name="Note 6" xfId="42" xr:uid="{00000000-0005-0000-0000-00002F000000}"/>
    <cellStyle name="Output" xfId="43" xr:uid="{00000000-0005-0000-0000-000030000000}"/>
    <cellStyle name="Percent 2" xfId="44" xr:uid="{00000000-0005-0000-0000-000031000000}"/>
    <cellStyle name="Title 2" xfId="45" xr:uid="{00000000-0005-0000-0000-000032000000}"/>
    <cellStyle name="Total" xfId="46" xr:uid="{00000000-0005-0000-0000-000033000000}"/>
    <cellStyle name="Warning Text" xfId="47" xr:uid="{00000000-0005-0000-0000-000034000000}"/>
  </cellStyles>
  <dxfs count="1">
    <dxf>
      <font>
        <color rgb="FF805D20"/>
      </font>
      <fill>
        <patternFill>
          <bgColor rgb="FFFFF1C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DCE6F2"/>
      <rgbColor rgb="FFECF1F5"/>
      <rgbColor rgb="FFFFFF00"/>
      <rgbColor rgb="FFFFC7CE"/>
      <rgbColor rgb="FFC3D69B"/>
      <rgbColor rgb="FF9C0006"/>
      <rgbColor rgb="FF006100"/>
      <rgbColor rgb="FFF1F5F7"/>
      <rgbColor rgb="FF9C6500"/>
      <rgbColor rgb="FFE7E6E6"/>
      <rgbColor rgb="FFD9D9D9"/>
      <rgbColor rgb="FFC0C0C0"/>
      <rgbColor rgb="FF7F7F7F"/>
      <rgbColor rgb="FF95B3D7"/>
      <rgbColor rgb="FFC0504D"/>
      <rgbColor rgb="FFFFFFCC"/>
      <rgbColor rgb="FFDBEEF4"/>
      <rgbColor rgb="FFFDEADA"/>
      <rgbColor rgb="FFD99694"/>
      <rgbColor rgb="FF1F497D"/>
      <rgbColor rgb="FFB9CDE5"/>
      <rgbColor rgb="FFFFF1CC"/>
      <rgbColor rgb="FFF2DCDB"/>
      <rgbColor rgb="FFFCD5B5"/>
      <rgbColor rgb="FFD7E4BD"/>
      <rgbColor rgb="FFE0E8EE"/>
      <rgbColor rgb="FFEBF1DE"/>
      <rgbColor rgb="FFE6E0EC"/>
      <rgbColor rgb="FFF2F2F2"/>
      <rgbColor rgb="FFB7DEE8"/>
      <rgbColor rgb="FFE9EFF5"/>
      <rgbColor rgb="FFC6EFCE"/>
      <rgbColor rgb="FFFFEB9C"/>
      <rgbColor rgb="FF93CDDD"/>
      <rgbColor rgb="FFE6B9B8"/>
      <rgbColor rgb="FFB3A2C7"/>
      <rgbColor rgb="FFFFCC99"/>
      <rgbColor rgb="FF4F81BD"/>
      <rgbColor rgb="FF4BACC6"/>
      <rgbColor rgb="FF9BBB59"/>
      <rgbColor rgb="FFFAC090"/>
      <rgbColor rgb="FFF79646"/>
      <rgbColor rgb="FFFA7D00"/>
      <rgbColor rgb="FF8064A2"/>
      <rgbColor rgb="FFA9A9A9"/>
      <rgbColor rgb="FF22394D"/>
      <rgbColor rgb="FFA7C0DE"/>
      <rgbColor rgb="FF233E5B"/>
      <rgbColor rgb="FF222222"/>
      <rgbColor rgb="FF805D20"/>
      <rgbColor rgb="FFCCC1DA"/>
      <rgbColor rgb="FF3F3F76"/>
      <rgbColor rgb="FF3F3F3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5"/>
  <sheetViews>
    <sheetView tabSelected="1" zoomScale="70" zoomScaleNormal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8.7109375" defaultRowHeight="12.75" x14ac:dyDescent="0.2"/>
  <cols>
    <col min="1" max="1" width="14.28515625" customWidth="1"/>
    <col min="2" max="13" width="18" customWidth="1"/>
    <col min="14" max="14" width="20.7109375" customWidth="1"/>
    <col min="15" max="15" width="19.140625" customWidth="1"/>
  </cols>
  <sheetData>
    <row r="1" spans="1:15" ht="18.75" customHeight="1" x14ac:dyDescent="0.3">
      <c r="A1" s="6">
        <v>2024</v>
      </c>
      <c r="B1" s="6" t="s">
        <v>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57" customHeight="1" x14ac:dyDescent="0.3">
      <c r="A2" s="8"/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10" t="s">
        <v>13</v>
      </c>
      <c r="O2" s="10" t="s">
        <v>14</v>
      </c>
    </row>
    <row r="3" spans="1:15" ht="18.75" customHeight="1" x14ac:dyDescent="0.3">
      <c r="A3" s="11" t="s">
        <v>15</v>
      </c>
      <c r="B3" s="12" t="s">
        <v>16</v>
      </c>
      <c r="C3" s="12" t="s">
        <v>16</v>
      </c>
      <c r="D3" s="12" t="s">
        <v>16</v>
      </c>
      <c r="E3" s="12" t="s">
        <v>16</v>
      </c>
      <c r="F3" s="12" t="s">
        <v>16</v>
      </c>
      <c r="G3" s="12" t="s">
        <v>16</v>
      </c>
      <c r="H3" s="12" t="s">
        <v>16</v>
      </c>
      <c r="I3" s="12" t="s">
        <v>16</v>
      </c>
      <c r="J3" s="12" t="s">
        <v>16</v>
      </c>
      <c r="K3" s="12" t="s">
        <v>16</v>
      </c>
      <c r="L3" s="12" t="s">
        <v>16</v>
      </c>
      <c r="M3" s="12" t="s">
        <v>16</v>
      </c>
      <c r="N3" s="12" t="s">
        <v>16</v>
      </c>
      <c r="O3" s="12" t="s">
        <v>16</v>
      </c>
    </row>
    <row r="4" spans="1:15" ht="15" customHeight="1" x14ac:dyDescent="0.25">
      <c r="A4" s="7" t="s">
        <v>17</v>
      </c>
      <c r="B4" s="13">
        <f>'Mensual 2024'!C51</f>
        <v>23.752560594360066</v>
      </c>
      <c r="C4" s="13">
        <f>'Mensual 2024'!D51</f>
        <v>16.820023232690819</v>
      </c>
      <c r="D4" s="13">
        <f>'Mensual 2024'!E51</f>
        <v>14.051294709417899</v>
      </c>
      <c r="E4" s="13">
        <f>'Mensual 2024'!F51</f>
        <v>11.260861361808477</v>
      </c>
      <c r="F4" s="13">
        <f>'Mensual 2024'!G51</f>
        <v>12.176052330708</v>
      </c>
      <c r="G4" s="13">
        <f>'Mensual 2024'!H51</f>
        <v>15.063633656492939</v>
      </c>
      <c r="H4" s="13">
        <f>'Mensual 2024'!I51</f>
        <v>20.231113614696</v>
      </c>
      <c r="I4" s="13">
        <f>'Mensual 2024'!J51</f>
        <v>24.649714101769202</v>
      </c>
      <c r="J4" s="13">
        <f>'Mensual 2024'!K51</f>
        <v>21.09403032527484</v>
      </c>
      <c r="K4" s="13">
        <f>'Mensual 2024'!L51</f>
        <v>14.993424778295159</v>
      </c>
      <c r="L4" s="13">
        <f>'Mensual 2024'!M51</f>
        <v>12.65226873818796</v>
      </c>
      <c r="M4" s="13">
        <f>'Mensual 2024'!N51</f>
        <v>4.9530360169611001</v>
      </c>
      <c r="N4" s="13">
        <f t="shared" ref="N4:N11" si="0">SUM(B4:M4)</f>
        <v>191.69801346066245</v>
      </c>
      <c r="O4" s="13">
        <v>2946.22</v>
      </c>
    </row>
    <row r="5" spans="1:15" ht="18" customHeight="1" x14ac:dyDescent="0.25">
      <c r="A5" s="7" t="s">
        <v>18</v>
      </c>
      <c r="B5" s="13">
        <f>'Mensual 2024'!C52</f>
        <v>29.327562382170061</v>
      </c>
      <c r="C5" s="13">
        <f>'Mensual 2024'!D52</f>
        <v>20.423254942502819</v>
      </c>
      <c r="D5" s="13">
        <f>'Mensual 2024'!E52</f>
        <v>16.441370650971901</v>
      </c>
      <c r="E5" s="13">
        <f>'Mensual 2024'!F52</f>
        <v>13.964866029816481</v>
      </c>
      <c r="F5" s="13">
        <f>'Mensual 2024'!G52</f>
        <v>14.978608912007999</v>
      </c>
      <c r="G5" s="13">
        <f>'Mensual 2024'!H52</f>
        <v>18.165003758042939</v>
      </c>
      <c r="H5" s="13">
        <f>'Mensual 2024'!I52</f>
        <v>24.633262214496003</v>
      </c>
      <c r="I5" s="13">
        <f>'Mensual 2024'!J52</f>
        <v>31.428617192323205</v>
      </c>
      <c r="J5" s="13">
        <f>'Mensual 2024'!K52</f>
        <v>26.906568140274839</v>
      </c>
      <c r="K5" s="13">
        <f>'Mensual 2024'!L52</f>
        <v>18.89558379366516</v>
      </c>
      <c r="L5" s="13">
        <f>'Mensual 2024'!M52</f>
        <v>15.856536082521959</v>
      </c>
      <c r="M5" s="13">
        <f>'Mensual 2024'!N52</f>
        <v>5.4105190033130999</v>
      </c>
      <c r="N5" s="13">
        <f t="shared" si="0"/>
        <v>236.43175310210648</v>
      </c>
      <c r="O5" s="14">
        <v>1430.51</v>
      </c>
    </row>
    <row r="6" spans="1:15" ht="18" customHeight="1" x14ac:dyDescent="0.25">
      <c r="A6" s="7" t="s">
        <v>19</v>
      </c>
      <c r="B6" s="13">
        <f>'Mensual 2024'!C54</f>
        <v>290.86405298756608</v>
      </c>
      <c r="C6" s="13">
        <f>'Mensual 2024'!D54</f>
        <v>189.69453091619894</v>
      </c>
      <c r="D6" s="13">
        <f>'Mensual 2024'!E54</f>
        <v>94.949672208496295</v>
      </c>
      <c r="E6" s="13">
        <f>'Mensual 2024'!F54</f>
        <v>138.10769870021542</v>
      </c>
      <c r="F6" s="13">
        <f>'Mensual 2024'!G54</f>
        <v>140.44739225160001</v>
      </c>
      <c r="G6" s="13">
        <f>'Mensual 2024'!H54</f>
        <v>148.8754872579895</v>
      </c>
      <c r="H6" s="13">
        <f>'Mensual 2024'!I54</f>
        <v>171.57078509894399</v>
      </c>
      <c r="I6" s="13">
        <f>'Mensual 2024'!J54</f>
        <v>308.83577643826737</v>
      </c>
      <c r="J6" s="13">
        <f>'Mensual 2024'!K54</f>
        <v>310.47984197815867</v>
      </c>
      <c r="K6" s="13">
        <f>'Mensual 2024'!L54</f>
        <v>156.54651593657957</v>
      </c>
      <c r="L6" s="13">
        <f>'Mensual 2024'!M54</f>
        <v>145.92851132025348</v>
      </c>
      <c r="M6" s="13">
        <f>'Mensual 2024'!N54</f>
        <v>1.4095182793482</v>
      </c>
      <c r="N6" s="13">
        <f t="shared" si="0"/>
        <v>2097.7097833736175</v>
      </c>
      <c r="O6" s="14">
        <v>7619.76</v>
      </c>
    </row>
    <row r="7" spans="1:15" ht="15" customHeight="1" x14ac:dyDescent="0.25">
      <c r="A7" s="7" t="s">
        <v>20</v>
      </c>
      <c r="B7" s="13">
        <f>'Mensual 2024'!C55</f>
        <v>244.32783174016708</v>
      </c>
      <c r="C7" s="13">
        <f>'Mensual 2024'!D55</f>
        <v>176.68903828492736</v>
      </c>
      <c r="D7" s="13">
        <f>'Mensual 2024'!E55</f>
        <v>143.66272193323636</v>
      </c>
      <c r="E7" s="13">
        <f>'Mensual 2024'!F55</f>
        <v>101.22745349986515</v>
      </c>
      <c r="F7" s="13">
        <f>'Mensual 2024'!G55</f>
        <v>110.88600281074491</v>
      </c>
      <c r="G7" s="13">
        <f>'Mensual 2024'!H55</f>
        <v>140.00663299794542</v>
      </c>
      <c r="H7" s="13">
        <f>'Mensual 2024'!I55</f>
        <v>186.54259323971391</v>
      </c>
      <c r="I7" s="13">
        <f>'Mensual 2024'!J55</f>
        <v>217.47410575080198</v>
      </c>
      <c r="J7" s="13">
        <f>'Mensual 2024'!K55</f>
        <v>206.07589214958477</v>
      </c>
      <c r="K7" s="13">
        <f>'Mensual 2024'!L55</f>
        <v>111.86017904132217</v>
      </c>
      <c r="L7" s="13">
        <f>'Mensual 2024'!M55</f>
        <v>100.63168078872809</v>
      </c>
      <c r="M7" s="13">
        <f>'Mensual 2024'!N55</f>
        <v>51.052725584414262</v>
      </c>
      <c r="N7" s="13">
        <f t="shared" si="0"/>
        <v>1790.4368578214517</v>
      </c>
      <c r="O7" s="14">
        <v>6739.2</v>
      </c>
    </row>
    <row r="8" spans="1:15" ht="15" customHeight="1" x14ac:dyDescent="0.25">
      <c r="A8" s="7" t="s">
        <v>21</v>
      </c>
      <c r="B8" s="13">
        <f>'Mensual 2024'!C57</f>
        <v>42.236407958703005</v>
      </c>
      <c r="C8" s="13">
        <f>'Mensual 2024'!D57</f>
        <v>32.392570847850983</v>
      </c>
      <c r="D8" s="13">
        <f>'Mensual 2024'!E57</f>
        <v>28.40729894816117</v>
      </c>
      <c r="E8" s="13">
        <f>'Mensual 2024'!F57</f>
        <v>19.608029488753886</v>
      </c>
      <c r="F8" s="13">
        <f>'Mensual 2024'!G57</f>
        <v>21.750916167554852</v>
      </c>
      <c r="G8" s="13">
        <f>'Mensual 2024'!H57</f>
        <v>28.167005688593989</v>
      </c>
      <c r="H8" s="13">
        <f>'Mensual 2024'!I57</f>
        <v>32.683249691153605</v>
      </c>
      <c r="I8" s="13">
        <f>'Mensual 2024'!J57</f>
        <v>32.805203657157151</v>
      </c>
      <c r="J8" s="13">
        <f>'Mensual 2024'!K57</f>
        <v>31.801224218474019</v>
      </c>
      <c r="K8" s="13">
        <f>'Mensual 2024'!L57</f>
        <v>19.224401705748015</v>
      </c>
      <c r="L8" s="13">
        <f>'Mensual 2024'!M57</f>
        <v>18.300464913653229</v>
      </c>
      <c r="M8" s="13">
        <f>'Mensual 2024'!N57</f>
        <v>11.375809452128252</v>
      </c>
      <c r="N8" s="13">
        <f t="shared" si="0"/>
        <v>318.75258273793213</v>
      </c>
      <c r="O8" s="14">
        <v>1654.73</v>
      </c>
    </row>
    <row r="9" spans="1:15" ht="15" customHeight="1" x14ac:dyDescent="0.25">
      <c r="A9" s="7" t="s">
        <v>22</v>
      </c>
      <c r="B9" s="13">
        <f>'Mensual 2024'!C56</f>
        <v>5.0764372234991102</v>
      </c>
      <c r="C9" s="13">
        <f>'Mensual 2024'!D56</f>
        <v>3.7410227483321696</v>
      </c>
      <c r="D9" s="13">
        <f>'Mensual 2024'!E56</f>
        <v>3.6020982393931495</v>
      </c>
      <c r="E9" s="13">
        <f>'Mensual 2024'!F56</f>
        <v>2.3792285122048797</v>
      </c>
      <c r="F9" s="13">
        <f>'Mensual 2024'!G56</f>
        <v>2.6462245348979998</v>
      </c>
      <c r="G9" s="13">
        <f>'Mensual 2024'!H56</f>
        <v>3.5234179337613898</v>
      </c>
      <c r="H9" s="13">
        <f>'Mensual 2024'!I56</f>
        <v>4.8671883257760005</v>
      </c>
      <c r="I9" s="13">
        <f>'Mensual 2024'!J56</f>
        <v>5.1116919686322007</v>
      </c>
      <c r="J9" s="13">
        <f>'Mensual 2024'!K56</f>
        <v>4.1084245305965403</v>
      </c>
      <c r="K9" s="13">
        <f>'Mensual 2024'!L56</f>
        <v>3.3622383310584603</v>
      </c>
      <c r="L9" s="13">
        <f>'Mensual 2024'!M56</f>
        <v>2.7762227422872603</v>
      </c>
      <c r="M9" s="13">
        <f>'Mensual 2024'!N56</f>
        <v>1.52981890465635</v>
      </c>
      <c r="N9" s="13">
        <f t="shared" si="0"/>
        <v>42.724013995095518</v>
      </c>
      <c r="O9" s="14">
        <v>190.7</v>
      </c>
    </row>
    <row r="10" spans="1:15" ht="15" customHeight="1" x14ac:dyDescent="0.25">
      <c r="A10" s="7" t="s">
        <v>23</v>
      </c>
      <c r="B10" s="13">
        <f>'Mensual 2024'!C59</f>
        <v>5.6224222551000003E-3</v>
      </c>
      <c r="C10" s="13">
        <f>'Mensual 2024'!D59</f>
        <v>3.6292142829600004E-3</v>
      </c>
      <c r="D10" s="13">
        <f>'Mensual 2024'!E59</f>
        <v>2.5374931999200003E-3</v>
      </c>
      <c r="E10" s="13">
        <f>'Mensual 2024'!F59</f>
        <v>2.7267859193400006E-3</v>
      </c>
      <c r="F10" s="13">
        <f>'Mensual 2024'!G59</f>
        <v>2.8389923415000004E-3</v>
      </c>
      <c r="G10" s="13">
        <f>'Mensual 2024'!H59</f>
        <v>3.1999345455E-3</v>
      </c>
      <c r="H10" s="13">
        <f>'Mensual 2024'!I59</f>
        <v>4.6933240347000011E-3</v>
      </c>
      <c r="I10" s="13">
        <f>'Mensual 2024'!J59</f>
        <v>7.0227445873200008E-3</v>
      </c>
      <c r="J10" s="13">
        <f>'Mensual 2024'!K59</f>
        <v>5.8512880671000005E-3</v>
      </c>
      <c r="K10" s="13">
        <f>'Mensual 2024'!L59</f>
        <v>4.1493576306000004E-3</v>
      </c>
      <c r="L10" s="13">
        <f>'Mensual 2024'!M59</f>
        <v>3.3466355101200002E-3</v>
      </c>
      <c r="M10" s="13">
        <f>'Mensual 2024'!N59</f>
        <v>5.6402012016000015E-4</v>
      </c>
      <c r="N10" s="13">
        <f t="shared" si="0"/>
        <v>4.6182212494320009E-2</v>
      </c>
      <c r="O10" s="14">
        <v>3.54</v>
      </c>
    </row>
    <row r="11" spans="1:15" ht="15" customHeight="1" x14ac:dyDescent="0.25">
      <c r="A11" s="7" t="s">
        <v>24</v>
      </c>
      <c r="B11" s="13">
        <f>'Mensual 2024'!C60</f>
        <v>217837.50584388536</v>
      </c>
      <c r="C11" s="13">
        <f>'Mensual 2024'!D60</f>
        <v>167281.62727527716</v>
      </c>
      <c r="D11" s="13">
        <f>'Mensual 2024'!E60</f>
        <v>156941.67065268001</v>
      </c>
      <c r="E11" s="13">
        <f>'Mensual 2024'!F60</f>
        <v>101018.09748477158</v>
      </c>
      <c r="F11" s="13">
        <f>'Mensual 2024'!G60</f>
        <v>113160.93396370912</v>
      </c>
      <c r="G11" s="13">
        <f>'Mensual 2024'!H60</f>
        <v>151068.23516633653</v>
      </c>
      <c r="H11" s="13">
        <f>'Mensual 2024'!I60</f>
        <v>187070.0352504004</v>
      </c>
      <c r="I11" s="13">
        <f>'Mensual 2024'!J60</f>
        <v>180801.18401366228</v>
      </c>
      <c r="J11" s="13">
        <f>'Mensual 2024'!K60</f>
        <v>161899.01669424411</v>
      </c>
      <c r="K11" s="13">
        <f>'Mensual 2024'!L60</f>
        <v>113691.00511155245</v>
      </c>
      <c r="L11" s="13">
        <f>'Mensual 2024'!M60</f>
        <v>102161.62928852721</v>
      </c>
      <c r="M11" s="13">
        <f>'Mensual 2024'!N60</f>
        <v>67050.101204493199</v>
      </c>
      <c r="N11" s="13">
        <f t="shared" si="0"/>
        <v>1719981.0419495394</v>
      </c>
      <c r="O11" s="15" t="s">
        <v>25</v>
      </c>
    </row>
    <row r="12" spans="1:15" ht="19.5" customHeight="1" x14ac:dyDescent="0.3">
      <c r="A12" s="16" t="s">
        <v>26</v>
      </c>
      <c r="B12" s="17">
        <f t="shared" ref="B12:O12" si="1">SUM(B4:B10)</f>
        <v>635.59047530872044</v>
      </c>
      <c r="C12" s="17">
        <f t="shared" si="1"/>
        <v>439.76407018678606</v>
      </c>
      <c r="D12" s="17">
        <f t="shared" si="1"/>
        <v>301.11699418287668</v>
      </c>
      <c r="E12" s="17">
        <f t="shared" si="1"/>
        <v>286.55086437858364</v>
      </c>
      <c r="F12" s="17">
        <f t="shared" si="1"/>
        <v>302.88803599985528</v>
      </c>
      <c r="G12" s="17">
        <f t="shared" si="1"/>
        <v>353.80438122737161</v>
      </c>
      <c r="H12" s="17">
        <f t="shared" si="1"/>
        <v>440.53288550881416</v>
      </c>
      <c r="I12" s="17">
        <f t="shared" si="1"/>
        <v>620.31213185353829</v>
      </c>
      <c r="J12" s="17">
        <f t="shared" si="1"/>
        <v>600.47183263043064</v>
      </c>
      <c r="K12" s="17">
        <f t="shared" si="1"/>
        <v>324.88649294429911</v>
      </c>
      <c r="L12" s="17">
        <f t="shared" si="1"/>
        <v>296.14903122114208</v>
      </c>
      <c r="M12" s="17">
        <f t="shared" si="1"/>
        <v>75.731991260941427</v>
      </c>
      <c r="N12" s="17">
        <f t="shared" si="1"/>
        <v>4677.7991867033597</v>
      </c>
      <c r="O12" s="17">
        <f t="shared" si="1"/>
        <v>20584.66</v>
      </c>
    </row>
    <row r="13" spans="1:15" ht="18.7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1:15" ht="18.75" customHeight="1" x14ac:dyDescent="0.3">
      <c r="A14" s="7"/>
      <c r="B14" s="12" t="s">
        <v>27</v>
      </c>
      <c r="C14" s="12" t="s">
        <v>27</v>
      </c>
      <c r="D14" s="12" t="s">
        <v>27</v>
      </c>
      <c r="E14" s="12" t="s">
        <v>27</v>
      </c>
      <c r="F14" s="12" t="s">
        <v>27</v>
      </c>
      <c r="G14" s="12" t="s">
        <v>27</v>
      </c>
      <c r="H14" s="12" t="s">
        <v>27</v>
      </c>
      <c r="I14" s="12" t="s">
        <v>27</v>
      </c>
      <c r="J14" s="12" t="s">
        <v>27</v>
      </c>
      <c r="K14" s="12" t="s">
        <v>27</v>
      </c>
      <c r="L14" s="12" t="s">
        <v>27</v>
      </c>
      <c r="M14" s="12" t="s">
        <v>27</v>
      </c>
      <c r="N14" s="12" t="s">
        <v>27</v>
      </c>
      <c r="O14" s="12" t="s">
        <v>27</v>
      </c>
    </row>
    <row r="15" spans="1:15" ht="18" customHeight="1" x14ac:dyDescent="0.25">
      <c r="A15" s="7" t="s">
        <v>18</v>
      </c>
      <c r="B15" s="13">
        <f>'Mensual 2024'!C80</f>
        <v>0.61505273268000016</v>
      </c>
      <c r="C15" s="13">
        <f>'Mensual 2024'!D80</f>
        <v>0.85778412048000008</v>
      </c>
      <c r="D15" s="13">
        <f>'Mensual 2024'!E80</f>
        <v>1.1439405992160003</v>
      </c>
      <c r="E15" s="13">
        <f>'Mensual 2024'!F80</f>
        <v>1.1000338772400002</v>
      </c>
      <c r="F15" s="13">
        <f>'Mensual 2024'!G80</f>
        <v>2.2078397226600002</v>
      </c>
      <c r="G15" s="13">
        <f>'Mensual 2024'!H80</f>
        <v>1.38303864684</v>
      </c>
      <c r="H15" s="13">
        <f>'Mensual 2024'!I80</f>
        <v>5.7061542939000001</v>
      </c>
      <c r="I15" s="13">
        <f>'Mensual 2024'!J80</f>
        <v>28.276773460799998</v>
      </c>
      <c r="J15" s="13">
        <f>'Mensual 2024'!K80</f>
        <v>29.178297936</v>
      </c>
      <c r="K15" s="13">
        <f>'Mensual 2024'!L80</f>
        <v>28.479704532059998</v>
      </c>
      <c r="L15" s="13">
        <f>'Mensual 2024'!M80</f>
        <v>22.930753057559997</v>
      </c>
      <c r="M15" s="13">
        <f>'Mensual 2024'!N80</f>
        <v>23.085342240551999</v>
      </c>
      <c r="N15" s="13">
        <f t="shared" ref="N15:N21" si="2">SUM(B15:M15)</f>
        <v>144.96471521998799</v>
      </c>
      <c r="O15" s="14">
        <v>1387.38</v>
      </c>
    </row>
    <row r="16" spans="1:15" ht="18" customHeight="1" x14ac:dyDescent="0.25">
      <c r="A16" s="7" t="s">
        <v>19</v>
      </c>
      <c r="B16" s="13">
        <f>'Mensual 2024'!C81</f>
        <v>0.19808314479360006</v>
      </c>
      <c r="C16" s="13">
        <f>'Mensual 2024'!D81</f>
        <v>0.28878732056160006</v>
      </c>
      <c r="D16" s="13">
        <f>'Mensual 2024'!E81</f>
        <v>9.6318742462199999E-2</v>
      </c>
      <c r="E16" s="13">
        <f>'Mensual 2024'!F81</f>
        <v>9.2753088595200012E-2</v>
      </c>
      <c r="F16" s="13">
        <f>'Mensual 2024'!G81</f>
        <v>0.22194436324464001</v>
      </c>
      <c r="G16" s="13">
        <f>'Mensual 2024'!H81</f>
        <v>0.13629672074735999</v>
      </c>
      <c r="H16" s="13">
        <f>'Mensual 2024'!I81</f>
        <v>50.443373804742002</v>
      </c>
      <c r="I16" s="13">
        <f>'Mensual 2024'!J81</f>
        <v>257.366526853935</v>
      </c>
      <c r="J16" s="13">
        <f>'Mensual 2024'!K81</f>
        <v>267.14924549522101</v>
      </c>
      <c r="K16" s="13">
        <f>'Mensual 2024'!L81</f>
        <v>259.07305462968611</v>
      </c>
      <c r="L16" s="13">
        <f>'Mensual 2024'!M81</f>
        <v>222.37869601588716</v>
      </c>
      <c r="M16" s="13">
        <f>'Mensual 2024'!N81</f>
        <v>226.37247186674881</v>
      </c>
      <c r="N16" s="13">
        <f t="shared" si="2"/>
        <v>1283.8175520466245</v>
      </c>
      <c r="O16" s="14">
        <v>17464.39</v>
      </c>
    </row>
    <row r="17" spans="1:15" ht="15" customHeight="1" x14ac:dyDescent="0.25">
      <c r="A17" s="7" t="s">
        <v>20</v>
      </c>
      <c r="B17" s="13">
        <f>'Mensual 2024'!C82</f>
        <v>42.837263307000008</v>
      </c>
      <c r="C17" s="13">
        <f>'Mensual 2024'!D82</f>
        <v>62.904168835200004</v>
      </c>
      <c r="D17" s="13">
        <f>'Mensual 2024'!E82</f>
        <v>79.819770765240008</v>
      </c>
      <c r="E17" s="13">
        <f>'Mensual 2024'!F82</f>
        <v>62.352055578600009</v>
      </c>
      <c r="F17" s="13">
        <f>'Mensual 2024'!G82</f>
        <v>111.33997656030002</v>
      </c>
      <c r="G17" s="13">
        <f>'Mensual 2024'!H82</f>
        <v>62.702734444200004</v>
      </c>
      <c r="H17" s="13">
        <f>'Mensual 2024'!I82</f>
        <v>68.250418841699997</v>
      </c>
      <c r="I17" s="13">
        <f>'Mensual 2024'!J82</f>
        <v>254.46478964850004</v>
      </c>
      <c r="J17" s="13">
        <f>'Mensual 2024'!K82</f>
        <v>270.36491976180002</v>
      </c>
      <c r="K17" s="13">
        <f>'Mensual 2024'!L82</f>
        <v>268.21426216679998</v>
      </c>
      <c r="L17" s="13">
        <f>'Mensual 2024'!M82</f>
        <v>169.9587441054</v>
      </c>
      <c r="M17" s="13">
        <f>'Mensual 2024'!N82</f>
        <v>182.255534487576</v>
      </c>
      <c r="N17" s="13">
        <f t="shared" si="2"/>
        <v>1635.4646385023161</v>
      </c>
      <c r="O17" s="14">
        <v>12276.89</v>
      </c>
    </row>
    <row r="18" spans="1:15" ht="15" customHeight="1" x14ac:dyDescent="0.25">
      <c r="A18" s="7" t="s">
        <v>22</v>
      </c>
      <c r="B18" s="13">
        <f>'Mensual 2024'!C83</f>
        <v>3.4101827744400008E-2</v>
      </c>
      <c r="C18" s="13">
        <f>'Mensual 2024'!D83</f>
        <v>2.9307624116400002E-2</v>
      </c>
      <c r="D18" s="13">
        <f>'Mensual 2024'!E83</f>
        <v>6.2580515518380009E-2</v>
      </c>
      <c r="E18" s="13">
        <f>'Mensual 2024'!F83</f>
        <v>0.14334866008320002</v>
      </c>
      <c r="F18" s="13">
        <f>'Mensual 2024'!G83</f>
        <v>0.36741919290480007</v>
      </c>
      <c r="G18" s="13">
        <f>'Mensual 2024'!H83</f>
        <v>0.27082634003520001</v>
      </c>
      <c r="H18" s="13">
        <f>'Mensual 2024'!I83</f>
        <v>0.58166844564000009</v>
      </c>
      <c r="I18" s="13">
        <f>'Mensual 2024'!J83</f>
        <v>3.1532855764500001</v>
      </c>
      <c r="J18" s="13">
        <f>'Mensual 2024'!K83</f>
        <v>3.1549011797220001</v>
      </c>
      <c r="K18" s="13">
        <f>'Mensual 2024'!L83</f>
        <v>3.1097997965178004</v>
      </c>
      <c r="L18" s="13">
        <f>'Mensual 2024'!M83</f>
        <v>2.3456119833107998</v>
      </c>
      <c r="M18" s="13">
        <f>'Mensual 2024'!N83</f>
        <v>2.2162272583967999</v>
      </c>
      <c r="N18" s="13">
        <f t="shared" si="2"/>
        <v>15.469078400439781</v>
      </c>
      <c r="O18" s="14">
        <v>130.04</v>
      </c>
    </row>
    <row r="19" spans="1:15" ht="15" customHeight="1" x14ac:dyDescent="0.25">
      <c r="A19" s="7" t="s">
        <v>21</v>
      </c>
      <c r="B19" s="13">
        <f>'Mensual 2024'!C84</f>
        <v>0.22844416417200003</v>
      </c>
      <c r="C19" s="13">
        <f>'Mensual 2024'!D84</f>
        <v>0.23589063313200001</v>
      </c>
      <c r="D19" s="13">
        <f>'Mensual 2024'!E84</f>
        <v>0.4210526136894</v>
      </c>
      <c r="E19" s="13">
        <f>'Mensual 2024'!F84</f>
        <v>0.7817678378159999</v>
      </c>
      <c r="F19" s="13">
        <f>'Mensual 2024'!G84</f>
        <v>1.9302518433240001</v>
      </c>
      <c r="G19" s="13">
        <f>'Mensual 2024'!H84</f>
        <v>1.393429532376</v>
      </c>
      <c r="H19" s="13">
        <f>'Mensual 2024'!I84</f>
        <v>3.7487418423000003</v>
      </c>
      <c r="I19" s="13">
        <f>'Mensual 2024'!J84</f>
        <v>19.786041954000002</v>
      </c>
      <c r="J19" s="13">
        <f>'Mensual 2024'!K84</f>
        <v>19.98224520726</v>
      </c>
      <c r="K19" s="13">
        <f>'Mensual 2024'!L84</f>
        <v>19.627753715513997</v>
      </c>
      <c r="L19" s="13">
        <f>'Mensual 2024'!M84</f>
        <v>15.131926549404</v>
      </c>
      <c r="M19" s="13">
        <f>'Mensual 2024'!N84</f>
        <v>14.595695595432</v>
      </c>
      <c r="N19" s="13">
        <f t="shared" si="2"/>
        <v>97.863241488419405</v>
      </c>
      <c r="O19" s="14">
        <v>856.94</v>
      </c>
    </row>
    <row r="20" spans="1:15" ht="15" customHeight="1" x14ac:dyDescent="0.25">
      <c r="A20" s="7" t="s">
        <v>23</v>
      </c>
      <c r="B20" s="13">
        <f>'Mensual 2024'!C85</f>
        <v>7.041621837600002E-4</v>
      </c>
      <c r="C20" s="13">
        <f>'Mensual 2024'!D85</f>
        <v>1.0007481405600001E-3</v>
      </c>
      <c r="D20" s="13">
        <f>'Mensual 2024'!E85</f>
        <v>1.3105416956520001E-3</v>
      </c>
      <c r="E20" s="13">
        <f>'Mensual 2024'!F85</f>
        <v>1.17508884528E-3</v>
      </c>
      <c r="F20" s="13">
        <f>'Mensual 2024'!G85</f>
        <v>2.2768717759199999E-3</v>
      </c>
      <c r="G20" s="13">
        <f>'Mensual 2024'!H85</f>
        <v>1.3846459300799999E-3</v>
      </c>
      <c r="H20" s="13">
        <f>'Mensual 2024'!I85</f>
        <v>1.6604646240000003E-3</v>
      </c>
      <c r="I20" s="13">
        <f>'Mensual 2024'!J85</f>
        <v>7.3789537500000002E-3</v>
      </c>
      <c r="J20" s="13">
        <f>'Mensual 2024'!K85</f>
        <v>7.5638680908000008E-3</v>
      </c>
      <c r="K20" s="13">
        <f>'Mensual 2024'!L85</f>
        <v>7.507272606120002E-3</v>
      </c>
      <c r="L20" s="13">
        <f>'Mensual 2024'!M85</f>
        <v>5.037421702320001E-3</v>
      </c>
      <c r="M20" s="13">
        <f>'Mensual 2024'!N85</f>
        <v>4.9931965137599999E-3</v>
      </c>
      <c r="N20" s="13">
        <f t="shared" si="2"/>
        <v>4.1993235858252001E-2</v>
      </c>
      <c r="O20" s="14">
        <v>0.37</v>
      </c>
    </row>
    <row r="21" spans="1:15" ht="18" customHeight="1" x14ac:dyDescent="0.25">
      <c r="A21" s="7" t="s">
        <v>24</v>
      </c>
      <c r="B21" s="13">
        <f>'Mensual 2024'!C86</f>
        <v>8229.2252425428796</v>
      </c>
      <c r="C21" s="13">
        <f>'Mensual 2024'!D86</f>
        <v>11695.296290099264</v>
      </c>
      <c r="D21" s="13">
        <f>'Mensual 2024'!E86</f>
        <v>15315.708816635857</v>
      </c>
      <c r="E21" s="13">
        <f>'Mensual 2024'!F86</f>
        <v>13732.709804671878</v>
      </c>
      <c r="F21" s="13">
        <f>'Mensual 2024'!G86</f>
        <v>26608.704548542599</v>
      </c>
      <c r="G21" s="13">
        <f>'Mensual 2024'!H86</f>
        <v>16181.678182295007</v>
      </c>
      <c r="H21" s="13">
        <f>'Mensual 2024'!I86</f>
        <v>24074.792158260843</v>
      </c>
      <c r="I21" s="13">
        <f>'Mensual 2024'!J86</f>
        <v>109581.12447067624</v>
      </c>
      <c r="J21" s="13">
        <f>'Mensual 2024'!K86</f>
        <v>112637.96237131332</v>
      </c>
      <c r="K21" s="13">
        <f>'Mensual 2024'!L86</f>
        <v>111240.632191791</v>
      </c>
      <c r="L21" s="13">
        <f>'Mensual 2024'!M86</f>
        <v>78652.205295277818</v>
      </c>
      <c r="M21" s="13">
        <f>'Mensual 2024'!N86</f>
        <v>78491.851309955149</v>
      </c>
      <c r="N21" s="13">
        <f t="shared" si="2"/>
        <v>606441.8906820619</v>
      </c>
      <c r="O21" s="14">
        <v>5418568.5999999996</v>
      </c>
    </row>
    <row r="22" spans="1:15" ht="19.5" customHeight="1" x14ac:dyDescent="0.3">
      <c r="A22" s="16" t="s">
        <v>28</v>
      </c>
      <c r="B22" s="18">
        <f t="shared" ref="B22:O22" si="3">SUM(B15:B20)</f>
        <v>43.913649338573762</v>
      </c>
      <c r="C22" s="18">
        <f t="shared" si="3"/>
        <v>64.316939281630553</v>
      </c>
      <c r="D22" s="18">
        <f t="shared" si="3"/>
        <v>81.544973777821625</v>
      </c>
      <c r="E22" s="18">
        <f t="shared" si="3"/>
        <v>64.471134131179696</v>
      </c>
      <c r="F22" s="18">
        <f t="shared" si="3"/>
        <v>116.06970855420938</v>
      </c>
      <c r="G22" s="18">
        <f t="shared" si="3"/>
        <v>65.887710330128641</v>
      </c>
      <c r="H22" s="18">
        <f t="shared" si="3"/>
        <v>128.732017692906</v>
      </c>
      <c r="I22" s="18">
        <f t="shared" si="3"/>
        <v>563.05479644743502</v>
      </c>
      <c r="J22" s="18">
        <f t="shared" si="3"/>
        <v>589.83717344809372</v>
      </c>
      <c r="K22" s="18">
        <f t="shared" si="3"/>
        <v>578.51208211318408</v>
      </c>
      <c r="L22" s="18">
        <f t="shared" si="3"/>
        <v>432.75076913326421</v>
      </c>
      <c r="M22" s="18">
        <f t="shared" si="3"/>
        <v>448.5302646452194</v>
      </c>
      <c r="N22" s="18">
        <f t="shared" si="3"/>
        <v>3177.6212188936461</v>
      </c>
      <c r="O22" s="18">
        <f t="shared" si="3"/>
        <v>32116.01</v>
      </c>
    </row>
    <row r="23" spans="1:15" ht="15" customHeight="1" x14ac:dyDescent="0.25">
      <c r="A23" s="7" t="s">
        <v>29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f t="shared" ref="N23:N28" si="4">SUM(B23:M23)</f>
        <v>0</v>
      </c>
      <c r="O23" s="15" t="s">
        <v>25</v>
      </c>
    </row>
    <row r="24" spans="1:15" ht="15" customHeight="1" x14ac:dyDescent="0.25">
      <c r="A24" s="7" t="s">
        <v>30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f t="shared" si="4"/>
        <v>0</v>
      </c>
      <c r="O24" s="15" t="s">
        <v>25</v>
      </c>
    </row>
    <row r="25" spans="1:15" ht="15" customHeight="1" x14ac:dyDescent="0.25">
      <c r="A25" s="7" t="s">
        <v>31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f t="shared" si="4"/>
        <v>0</v>
      </c>
      <c r="O25" s="15" t="s">
        <v>25</v>
      </c>
    </row>
    <row r="26" spans="1:15" ht="15" customHeight="1" x14ac:dyDescent="0.25">
      <c r="A26" s="7" t="s">
        <v>32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f t="shared" si="4"/>
        <v>0</v>
      </c>
      <c r="O26" s="15" t="s">
        <v>25</v>
      </c>
    </row>
    <row r="27" spans="1:15" ht="15" customHeight="1" x14ac:dyDescent="0.25">
      <c r="A27" s="7" t="s">
        <v>33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f t="shared" si="4"/>
        <v>0</v>
      </c>
      <c r="O27" s="19" t="s">
        <v>25</v>
      </c>
    </row>
    <row r="28" spans="1:15" ht="15" customHeight="1" x14ac:dyDescent="0.25">
      <c r="A28" s="7" t="s">
        <v>34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f t="shared" si="4"/>
        <v>0</v>
      </c>
      <c r="O28" s="15" t="s">
        <v>25</v>
      </c>
    </row>
    <row r="29" spans="1:15" ht="15" customHeight="1" x14ac:dyDescent="0.25">
      <c r="A29" s="16" t="s">
        <v>35</v>
      </c>
      <c r="B29" s="20">
        <f t="shared" ref="B29:O29" si="5">B28</f>
        <v>0</v>
      </c>
      <c r="C29" s="20">
        <f t="shared" si="5"/>
        <v>0</v>
      </c>
      <c r="D29" s="20">
        <f t="shared" si="5"/>
        <v>0</v>
      </c>
      <c r="E29" s="20">
        <f t="shared" si="5"/>
        <v>0</v>
      </c>
      <c r="F29" s="20">
        <f t="shared" si="5"/>
        <v>0</v>
      </c>
      <c r="G29" s="20">
        <f t="shared" si="5"/>
        <v>0</v>
      </c>
      <c r="H29" s="20">
        <f t="shared" si="5"/>
        <v>0</v>
      </c>
      <c r="I29" s="20">
        <f t="shared" si="5"/>
        <v>0</v>
      </c>
      <c r="J29" s="20">
        <f t="shared" si="5"/>
        <v>0</v>
      </c>
      <c r="K29" s="20">
        <f t="shared" si="5"/>
        <v>0</v>
      </c>
      <c r="L29" s="20">
        <f t="shared" si="5"/>
        <v>0</v>
      </c>
      <c r="M29" s="20">
        <f t="shared" si="5"/>
        <v>0</v>
      </c>
      <c r="N29" s="20">
        <f t="shared" si="5"/>
        <v>0</v>
      </c>
      <c r="O29" s="21" t="str">
        <f t="shared" si="5"/>
        <v>N/A</v>
      </c>
    </row>
    <row r="30" spans="1:15" ht="19.5" customHeight="1" x14ac:dyDescent="0.3">
      <c r="A30" s="16" t="s">
        <v>26</v>
      </c>
      <c r="B30" s="17">
        <f t="shared" ref="B30:O30" si="6">SUM(B22,B29)</f>
        <v>43.913649338573762</v>
      </c>
      <c r="C30" s="17">
        <f t="shared" si="6"/>
        <v>64.316939281630553</v>
      </c>
      <c r="D30" s="17">
        <f t="shared" si="6"/>
        <v>81.544973777821625</v>
      </c>
      <c r="E30" s="17">
        <f t="shared" si="6"/>
        <v>64.471134131179696</v>
      </c>
      <c r="F30" s="17">
        <f t="shared" si="6"/>
        <v>116.06970855420938</v>
      </c>
      <c r="G30" s="17">
        <f t="shared" si="6"/>
        <v>65.887710330128641</v>
      </c>
      <c r="H30" s="17">
        <f t="shared" si="6"/>
        <v>128.732017692906</v>
      </c>
      <c r="I30" s="17">
        <f t="shared" si="6"/>
        <v>563.05479644743502</v>
      </c>
      <c r="J30" s="17">
        <f t="shared" si="6"/>
        <v>589.83717344809372</v>
      </c>
      <c r="K30" s="17">
        <f t="shared" si="6"/>
        <v>578.51208211318408</v>
      </c>
      <c r="L30" s="17">
        <f t="shared" si="6"/>
        <v>432.75076913326421</v>
      </c>
      <c r="M30" s="17">
        <f t="shared" si="6"/>
        <v>448.5302646452194</v>
      </c>
      <c r="N30" s="17">
        <f t="shared" si="6"/>
        <v>3177.6212188936461</v>
      </c>
      <c r="O30" s="17">
        <f t="shared" si="6"/>
        <v>32116.01</v>
      </c>
    </row>
    <row r="31" spans="1:15" ht="15.7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 ht="18.75" customHeight="1" x14ac:dyDescent="0.3">
      <c r="A32" s="7"/>
      <c r="B32" s="12" t="s">
        <v>36</v>
      </c>
      <c r="C32" s="12" t="s">
        <v>36</v>
      </c>
      <c r="D32" s="12" t="s">
        <v>36</v>
      </c>
      <c r="E32" s="12" t="s">
        <v>36</v>
      </c>
      <c r="F32" s="12" t="s">
        <v>36</v>
      </c>
      <c r="G32" s="12" t="s">
        <v>36</v>
      </c>
      <c r="H32" s="12" t="s">
        <v>36</v>
      </c>
      <c r="I32" s="12" t="s">
        <v>36</v>
      </c>
      <c r="J32" s="12" t="s">
        <v>36</v>
      </c>
      <c r="K32" s="12" t="s">
        <v>36</v>
      </c>
      <c r="L32" s="12" t="s">
        <v>36</v>
      </c>
      <c r="M32" s="12" t="s">
        <v>36</v>
      </c>
      <c r="N32" s="12" t="s">
        <v>36</v>
      </c>
      <c r="O32" s="12" t="s">
        <v>36</v>
      </c>
    </row>
    <row r="33" spans="1:15" ht="15" customHeight="1" x14ac:dyDescent="0.25">
      <c r="A33" s="7" t="s">
        <v>37</v>
      </c>
      <c r="B33" s="13">
        <f>'Mensual 2024'!C66</f>
        <v>31.720552914149998</v>
      </c>
      <c r="C33" s="13">
        <f>'Mensual 2024'!D66</f>
        <v>59.97263915676001</v>
      </c>
      <c r="D33" s="13">
        <f>'Mensual 2024'!E66</f>
        <v>53.178977971002006</v>
      </c>
      <c r="E33" s="13">
        <f>'Mensual 2024'!F66</f>
        <v>47.698892640872998</v>
      </c>
      <c r="F33" s="13">
        <f>'Mensual 2024'!G66</f>
        <v>93.051841498344004</v>
      </c>
      <c r="G33" s="13">
        <f>'Mensual 2024'!H66</f>
        <v>98.245782607994997</v>
      </c>
      <c r="H33" s="13">
        <f>'Mensual 2024'!I66</f>
        <v>78.946523110964989</v>
      </c>
      <c r="I33" s="13">
        <f>'Mensual 2024'!J66</f>
        <v>57.154032094172997</v>
      </c>
      <c r="J33" s="13">
        <f>'Mensual 2024'!K66</f>
        <v>32.972432017155</v>
      </c>
      <c r="K33" s="13">
        <f>'Mensual 2024'!L66</f>
        <v>40.269457271814005</v>
      </c>
      <c r="L33" s="13">
        <f>'Mensual 2024'!M66</f>
        <v>42.373069778249999</v>
      </c>
      <c r="M33" s="13">
        <f>'Mensual 2024'!N66</f>
        <v>4.5606173759999997</v>
      </c>
      <c r="N33" s="13">
        <f t="shared" ref="N33:N39" si="7">SUM(B33:M33)</f>
        <v>640.14481843748104</v>
      </c>
      <c r="O33" s="14">
        <v>2194.88</v>
      </c>
    </row>
    <row r="34" spans="1:15" ht="18" customHeight="1" x14ac:dyDescent="0.25">
      <c r="A34" s="7" t="s">
        <v>19</v>
      </c>
      <c r="B34" s="13">
        <f>'Mensual 2024'!C67</f>
        <v>286.51132012421999</v>
      </c>
      <c r="C34" s="13">
        <f>'Mensual 2024'!D67</f>
        <v>567.12069512249991</v>
      </c>
      <c r="D34" s="13">
        <f>'Mensual 2024'!E67</f>
        <v>508.05585774723005</v>
      </c>
      <c r="E34" s="13">
        <f>'Mensual 2024'!F67</f>
        <v>427.24841648157002</v>
      </c>
      <c r="F34" s="13">
        <f>'Mensual 2024'!G67</f>
        <v>866.83981612443006</v>
      </c>
      <c r="G34" s="13">
        <f>'Mensual 2024'!H67</f>
        <v>939.59763046770024</v>
      </c>
      <c r="H34" s="13">
        <f>'Mensual 2024'!I67</f>
        <v>758.29799033444999</v>
      </c>
      <c r="I34" s="13">
        <f>'Mensual 2024'!J67</f>
        <v>509.39644281875997</v>
      </c>
      <c r="J34" s="13">
        <f>'Mensual 2024'!K67</f>
        <v>265.01733788031004</v>
      </c>
      <c r="K34" s="13">
        <f>'Mensual 2024'!L67</f>
        <v>323.77987131495007</v>
      </c>
      <c r="L34" s="13">
        <f>'Mensual 2024'!M67</f>
        <v>393.41954858022007</v>
      </c>
      <c r="M34" s="13">
        <f>'Mensual 2024'!N67</f>
        <v>0.38385196248000003</v>
      </c>
      <c r="N34" s="13">
        <f t="shared" si="7"/>
        <v>5845.6687789588204</v>
      </c>
      <c r="O34" s="14">
        <v>30608.58</v>
      </c>
    </row>
    <row r="35" spans="1:15" ht="15" customHeight="1" x14ac:dyDescent="0.25">
      <c r="A35" s="7" t="s">
        <v>20</v>
      </c>
      <c r="B35" s="13">
        <f>'Mensual 2024'!C68</f>
        <v>416.93517145500005</v>
      </c>
      <c r="C35" s="13">
        <f>'Mensual 2024'!D68</f>
        <v>560.5440579750001</v>
      </c>
      <c r="D35" s="13">
        <f>'Mensual 2024'!E68</f>
        <v>485.30013774000008</v>
      </c>
      <c r="E35" s="13">
        <f>'Mensual 2024'!F68</f>
        <v>585.65075365500002</v>
      </c>
      <c r="F35" s="13">
        <f>'Mensual 2024'!G68</f>
        <v>959.0837218050001</v>
      </c>
      <c r="G35" s="13">
        <f>'Mensual 2024'!H68</f>
        <v>894.15977887500003</v>
      </c>
      <c r="H35" s="13">
        <f>'Mensual 2024'!I68</f>
        <v>696.33121552500006</v>
      </c>
      <c r="I35" s="13">
        <f>'Mensual 2024'!J68</f>
        <v>772.30329676500003</v>
      </c>
      <c r="J35" s="13">
        <f>'Mensual 2024'!K68</f>
        <v>641.06820475500001</v>
      </c>
      <c r="K35" s="13">
        <f>'Mensual 2024'!L68</f>
        <v>782.17952703000003</v>
      </c>
      <c r="L35" s="13">
        <f>'Mensual 2024'!M68</f>
        <v>485.04034738500002</v>
      </c>
      <c r="M35" s="13">
        <f>'Mensual 2024'!N68</f>
        <v>334.44527424</v>
      </c>
      <c r="N35" s="13">
        <f t="shared" si="7"/>
        <v>7613.0414872049996</v>
      </c>
      <c r="O35" s="14">
        <v>28867.78</v>
      </c>
    </row>
    <row r="36" spans="1:15" ht="15" customHeight="1" x14ac:dyDescent="0.25">
      <c r="A36" s="7" t="s">
        <v>22</v>
      </c>
      <c r="B36" s="13">
        <f>'Mensual 2024'!C69</f>
        <v>2.8813998016199998</v>
      </c>
      <c r="C36" s="13">
        <f>'Mensual 2024'!D69</f>
        <v>5.8048641225000015</v>
      </c>
      <c r="D36" s="13">
        <f>'Mensual 2024'!E69</f>
        <v>5.1002570928300006</v>
      </c>
      <c r="E36" s="13">
        <f>'Mensual 2024'!F69</f>
        <v>4.5363408830699994</v>
      </c>
      <c r="F36" s="13">
        <f>'Mensual 2024'!G69</f>
        <v>8.9192039286300009</v>
      </c>
      <c r="G36" s="13">
        <f>'Mensual 2024'!H69</f>
        <v>9.4141224191999999</v>
      </c>
      <c r="H36" s="13">
        <f>'Mensual 2024'!I69</f>
        <v>7.5861171619500007</v>
      </c>
      <c r="I36" s="13">
        <f>'Mensual 2024'!J69</f>
        <v>5.2346063460600005</v>
      </c>
      <c r="J36" s="13">
        <f>'Mensual 2024'!K69</f>
        <v>2.8321896032100002</v>
      </c>
      <c r="K36" s="13">
        <f>'Mensual 2024'!L69</f>
        <v>3.4597035001500003</v>
      </c>
      <c r="L36" s="13">
        <f>'Mensual 2024'!M69</f>
        <v>3.91674969402</v>
      </c>
      <c r="M36" s="13">
        <f>'Mensual 2024'!N69</f>
        <v>0.15582109367999999</v>
      </c>
      <c r="N36" s="13">
        <f t="shared" si="7"/>
        <v>59.841375646919992</v>
      </c>
      <c r="O36" s="14">
        <v>195.32</v>
      </c>
    </row>
    <row r="37" spans="1:15" ht="15" customHeight="1" x14ac:dyDescent="0.25">
      <c r="A37" s="7" t="s">
        <v>21</v>
      </c>
      <c r="B37" s="13">
        <f>'Mensual 2024'!C70</f>
        <v>19.118493732600001</v>
      </c>
      <c r="C37" s="13">
        <f>'Mensual 2024'!D70</f>
        <v>38.318758935000012</v>
      </c>
      <c r="D37" s="13">
        <f>'Mensual 2024'!E70</f>
        <v>33.662456997900001</v>
      </c>
      <c r="E37" s="13">
        <f>'Mensual 2024'!F70</f>
        <v>30.049292831099997</v>
      </c>
      <c r="F37" s="13">
        <f>'Mensual 2024'!G70</f>
        <v>58.9460461659</v>
      </c>
      <c r="G37" s="13">
        <f>'Mensual 2024'!H70</f>
        <v>62.133471485999998</v>
      </c>
      <c r="H37" s="13">
        <f>'Mensual 2024'!I70</f>
        <v>50.051492233500007</v>
      </c>
      <c r="I37" s="13">
        <f>'Mensual 2024'!J70</f>
        <v>34.742846833800002</v>
      </c>
      <c r="J37" s="13">
        <f>'Mensual 2024'!K70</f>
        <v>18.955297677299999</v>
      </c>
      <c r="K37" s="13">
        <f>'Mensual 2024'!L70</f>
        <v>23.154472297500003</v>
      </c>
      <c r="L37" s="13">
        <f>'Mensual 2024'!M70</f>
        <v>25.930480212600006</v>
      </c>
      <c r="M37" s="13">
        <f>'Mensual 2024'!N70</f>
        <v>1.2541697784000001</v>
      </c>
      <c r="N37" s="13">
        <f t="shared" si="7"/>
        <v>396.31727918159999</v>
      </c>
      <c r="O37" s="14">
        <v>1299.54</v>
      </c>
    </row>
    <row r="38" spans="1:15" ht="15" customHeight="1" x14ac:dyDescent="0.25">
      <c r="A38" s="7" t="s">
        <v>23</v>
      </c>
      <c r="B38" s="13">
        <f>'Mensual 2024'!C71</f>
        <v>9.2675610110999999E-3</v>
      </c>
      <c r="C38" s="13">
        <f>'Mensual 2024'!D71</f>
        <v>1.4352840085500002E-2</v>
      </c>
      <c r="D38" s="13">
        <f>'Mensual 2024'!E71</f>
        <v>1.2499344816000003E-2</v>
      </c>
      <c r="E38" s="13">
        <f>'Mensual 2024'!F71</f>
        <v>1.34971251891E-2</v>
      </c>
      <c r="F38" s="13">
        <f>'Mensual 2024'!G71</f>
        <v>2.3564524445700001E-2</v>
      </c>
      <c r="G38" s="13">
        <f>'Mensual 2024'!H71</f>
        <v>2.3046522019500002E-2</v>
      </c>
      <c r="H38" s="13">
        <f>'Mensual 2024'!I71</f>
        <v>1.8197421406500002E-2</v>
      </c>
      <c r="I38" s="13">
        <f>'Mensual 2024'!J71</f>
        <v>1.7065923657300003E-2</v>
      </c>
      <c r="J38" s="13">
        <f>'Mensual 2024'!K71</f>
        <v>1.2682687909500001E-2</v>
      </c>
      <c r="K38" s="13">
        <f>'Mensual 2024'!L71</f>
        <v>1.5478403879400002E-2</v>
      </c>
      <c r="L38" s="13">
        <f>'Mensual 2024'!M71</f>
        <v>1.13350094025E-2</v>
      </c>
      <c r="M38" s="13">
        <f>'Mensual 2024'!N71</f>
        <v>5.3207202719999999E-3</v>
      </c>
      <c r="N38" s="13">
        <f t="shared" si="7"/>
        <v>0.17630808409410001</v>
      </c>
      <c r="O38" s="14">
        <v>0.63</v>
      </c>
    </row>
    <row r="39" spans="1:15" ht="18" customHeight="1" x14ac:dyDescent="0.25">
      <c r="A39" s="7" t="s">
        <v>24</v>
      </c>
      <c r="B39" s="13">
        <f>'Mensual 2024'!C72</f>
        <v>135251.53802717887</v>
      </c>
      <c r="C39" s="13">
        <f>'Mensual 2024'!D72</f>
        <v>223323.14161806947</v>
      </c>
      <c r="D39" s="13">
        <f>'Mensual 2024'!E72</f>
        <v>194948.386997686</v>
      </c>
      <c r="E39" s="13">
        <f>'Mensual 2024'!F72</f>
        <v>200486.89154557671</v>
      </c>
      <c r="F39" s="13">
        <f>'Mensual 2024'!G72</f>
        <v>360343.03265890613</v>
      </c>
      <c r="G39" s="13">
        <f>'Mensual 2024'!H72</f>
        <v>359554.4491370155</v>
      </c>
      <c r="H39" s="13">
        <f>'Mensual 2024'!I72</f>
        <v>285479.40928738861</v>
      </c>
      <c r="I39" s="13">
        <f>'Mensual 2024'!J72</f>
        <v>248324.44560483063</v>
      </c>
      <c r="J39" s="13">
        <f>'Mensual 2024'!K72</f>
        <v>173623.8610619434</v>
      </c>
      <c r="K39" s="13">
        <f>'Mensual 2024'!L72</f>
        <v>211929.75755622931</v>
      </c>
      <c r="L39" s="13">
        <f>'Mensual 2024'!M72</f>
        <v>169476.14160586664</v>
      </c>
      <c r="M39" s="13">
        <f>'Mensual 2024'!N72</f>
        <v>62183.393603645345</v>
      </c>
      <c r="N39" s="13">
        <f t="shared" si="7"/>
        <v>2624924.4487043363</v>
      </c>
      <c r="O39" s="7">
        <v>10093497.140000001</v>
      </c>
    </row>
    <row r="40" spans="1:15" ht="15.75" customHeight="1" x14ac:dyDescent="0.25">
      <c r="A40" s="16" t="s">
        <v>28</v>
      </c>
      <c r="B40" s="22">
        <f t="shared" ref="B40:O40" si="8">SUM(B33:B38)</f>
        <v>757.17620558860108</v>
      </c>
      <c r="C40" s="22">
        <f t="shared" si="8"/>
        <v>1231.7753681518454</v>
      </c>
      <c r="D40" s="22">
        <f t="shared" si="8"/>
        <v>1085.3101868937781</v>
      </c>
      <c r="E40" s="22">
        <f t="shared" si="8"/>
        <v>1095.197193616802</v>
      </c>
      <c r="F40" s="22">
        <f t="shared" si="8"/>
        <v>1986.8641940467498</v>
      </c>
      <c r="G40" s="22">
        <f t="shared" si="8"/>
        <v>2003.5738323779149</v>
      </c>
      <c r="H40" s="22">
        <f t="shared" si="8"/>
        <v>1591.2315357872717</v>
      </c>
      <c r="I40" s="22">
        <f t="shared" si="8"/>
        <v>1378.8482907814503</v>
      </c>
      <c r="J40" s="22">
        <f t="shared" si="8"/>
        <v>960.85814462088467</v>
      </c>
      <c r="K40" s="22">
        <f t="shared" si="8"/>
        <v>1172.8585098182934</v>
      </c>
      <c r="L40" s="22">
        <f t="shared" si="8"/>
        <v>950.69153065949274</v>
      </c>
      <c r="M40" s="22">
        <f t="shared" si="8"/>
        <v>340.80505517083202</v>
      </c>
      <c r="N40" s="22">
        <f t="shared" si="8"/>
        <v>14555.190047513915</v>
      </c>
      <c r="O40" s="22">
        <f t="shared" si="8"/>
        <v>63166.729999999996</v>
      </c>
    </row>
    <row r="41" spans="1:15" ht="15" customHeight="1" x14ac:dyDescent="0.25">
      <c r="A41" s="7" t="s">
        <v>29</v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f>SUM(B41:M41)</f>
        <v>0</v>
      </c>
      <c r="O41" s="7">
        <v>20.71</v>
      </c>
    </row>
    <row r="42" spans="1:15" ht="15" customHeight="1" x14ac:dyDescent="0.25">
      <c r="A42" s="7" t="s">
        <v>30</v>
      </c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f>SUM(B42:M42)</f>
        <v>0</v>
      </c>
      <c r="O42" s="7">
        <v>19.62</v>
      </c>
    </row>
    <row r="43" spans="1:15" ht="15" customHeight="1" x14ac:dyDescent="0.25">
      <c r="A43" s="7" t="s">
        <v>31</v>
      </c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f>SUM(B43:M43)</f>
        <v>0</v>
      </c>
      <c r="O43" s="7">
        <v>14.75</v>
      </c>
    </row>
    <row r="44" spans="1:15" ht="15" customHeight="1" x14ac:dyDescent="0.25">
      <c r="A44" s="7" t="s">
        <v>38</v>
      </c>
      <c r="B44" s="13">
        <v>0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f>SUM(B44:M44)</f>
        <v>0</v>
      </c>
      <c r="O44" s="7">
        <v>84.71</v>
      </c>
    </row>
    <row r="45" spans="1:15" ht="15" customHeight="1" x14ac:dyDescent="0.25">
      <c r="A45" s="7" t="s">
        <v>34</v>
      </c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f>SUM(B45:M45)</f>
        <v>0</v>
      </c>
      <c r="O45" s="7">
        <v>177.73</v>
      </c>
    </row>
    <row r="46" spans="1:15" ht="15" customHeight="1" x14ac:dyDescent="0.25">
      <c r="A46" s="16" t="s">
        <v>35</v>
      </c>
      <c r="B46" s="20">
        <f t="shared" ref="B46:O46" si="9">B45</f>
        <v>0</v>
      </c>
      <c r="C46" s="20">
        <f t="shared" si="9"/>
        <v>0</v>
      </c>
      <c r="D46" s="20">
        <f t="shared" si="9"/>
        <v>0</v>
      </c>
      <c r="E46" s="20">
        <f t="shared" si="9"/>
        <v>0</v>
      </c>
      <c r="F46" s="20">
        <f t="shared" si="9"/>
        <v>0</v>
      </c>
      <c r="G46" s="20">
        <f t="shared" si="9"/>
        <v>0</v>
      </c>
      <c r="H46" s="20">
        <f t="shared" si="9"/>
        <v>0</v>
      </c>
      <c r="I46" s="20">
        <f t="shared" si="9"/>
        <v>0</v>
      </c>
      <c r="J46" s="20">
        <f t="shared" si="9"/>
        <v>0</v>
      </c>
      <c r="K46" s="20">
        <f t="shared" si="9"/>
        <v>0</v>
      </c>
      <c r="L46" s="20">
        <f t="shared" si="9"/>
        <v>0</v>
      </c>
      <c r="M46" s="20">
        <f t="shared" si="9"/>
        <v>0</v>
      </c>
      <c r="N46" s="20">
        <f t="shared" si="9"/>
        <v>0</v>
      </c>
      <c r="O46" s="21">
        <f t="shared" si="9"/>
        <v>177.73</v>
      </c>
    </row>
    <row r="47" spans="1:15" ht="19.5" customHeight="1" x14ac:dyDescent="0.3">
      <c r="A47" s="16" t="s">
        <v>26</v>
      </c>
      <c r="B47" s="17">
        <f t="shared" ref="B47:O47" si="10">SUM(B46,B40)</f>
        <v>757.17620558860108</v>
      </c>
      <c r="C47" s="17">
        <f t="shared" si="10"/>
        <v>1231.7753681518454</v>
      </c>
      <c r="D47" s="17">
        <f t="shared" si="10"/>
        <v>1085.3101868937781</v>
      </c>
      <c r="E47" s="17">
        <f t="shared" si="10"/>
        <v>1095.197193616802</v>
      </c>
      <c r="F47" s="17">
        <f t="shared" si="10"/>
        <v>1986.8641940467498</v>
      </c>
      <c r="G47" s="17">
        <f t="shared" si="10"/>
        <v>2003.5738323779149</v>
      </c>
      <c r="H47" s="17">
        <f t="shared" si="10"/>
        <v>1591.2315357872717</v>
      </c>
      <c r="I47" s="17">
        <f t="shared" si="10"/>
        <v>1378.8482907814503</v>
      </c>
      <c r="J47" s="17">
        <f t="shared" si="10"/>
        <v>960.85814462088467</v>
      </c>
      <c r="K47" s="17">
        <f t="shared" si="10"/>
        <v>1172.8585098182934</v>
      </c>
      <c r="L47" s="17">
        <f t="shared" si="10"/>
        <v>950.69153065949274</v>
      </c>
      <c r="M47" s="17">
        <f t="shared" si="10"/>
        <v>340.80505517083202</v>
      </c>
      <c r="N47" s="17">
        <f t="shared" si="10"/>
        <v>14555.190047513915</v>
      </c>
      <c r="O47" s="17">
        <f t="shared" si="10"/>
        <v>63344.46</v>
      </c>
    </row>
    <row r="48" spans="1:15" ht="15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ht="18.75" customHeight="1" x14ac:dyDescent="0.3">
      <c r="A49" s="7"/>
      <c r="B49" s="12" t="s">
        <v>39</v>
      </c>
      <c r="C49" s="12" t="s">
        <v>39</v>
      </c>
      <c r="D49" s="12" t="s">
        <v>39</v>
      </c>
      <c r="E49" s="12" t="s">
        <v>39</v>
      </c>
      <c r="F49" s="12" t="s">
        <v>39</v>
      </c>
      <c r="G49" s="12" t="s">
        <v>39</v>
      </c>
      <c r="H49" s="12" t="s">
        <v>39</v>
      </c>
      <c r="I49" s="12" t="s">
        <v>39</v>
      </c>
      <c r="J49" s="12" t="s">
        <v>39</v>
      </c>
      <c r="K49" s="12" t="s">
        <v>39</v>
      </c>
      <c r="L49" s="12" t="s">
        <v>39</v>
      </c>
      <c r="M49" s="12" t="s">
        <v>39</v>
      </c>
      <c r="N49" s="12" t="s">
        <v>39</v>
      </c>
      <c r="O49" s="12" t="s">
        <v>39</v>
      </c>
    </row>
    <row r="50" spans="1:15" ht="15" customHeight="1" x14ac:dyDescent="0.25">
      <c r="A50" s="7" t="s">
        <v>17</v>
      </c>
      <c r="B50" s="13">
        <f>'Mensual 2024'!C21+'Mensual 2024'!C34</f>
        <v>7.1386900000000001E-4</v>
      </c>
      <c r="C50" s="13">
        <f>'Mensual 2024'!D21+'Mensual 2024'!D34</f>
        <v>4.0386571500000005E-3</v>
      </c>
      <c r="D50" s="13">
        <f>'Mensual 2024'!E21+'Mensual 2024'!E34</f>
        <v>2.2194938999999998</v>
      </c>
      <c r="E50" s="13">
        <f>'Mensual 2024'!F21+'Mensual 2024'!F34</f>
        <v>6.5075091775000002</v>
      </c>
      <c r="F50" s="13">
        <f>'Mensual 2024'!G21+'Mensual 2024'!G34</f>
        <v>32.000748222499993</v>
      </c>
      <c r="G50" s="13">
        <f>'Mensual 2024'!H21+'Mensual 2024'!H34</f>
        <v>36.040286892499999</v>
      </c>
      <c r="H50" s="13">
        <f>'Mensual 2024'!I21+'Mensual 2024'!I34</f>
        <v>42.378271112500002</v>
      </c>
      <c r="I50" s="13">
        <f>'Mensual 2024'!J21+'Mensual 2024'!J34</f>
        <v>26.609215811750001</v>
      </c>
      <c r="J50" s="13">
        <f>'Mensual 2024'!K21+'Mensual 2024'!K34</f>
        <v>38.37038626975</v>
      </c>
      <c r="K50" s="13">
        <f>'Mensual 2024'!L21+'Mensual 2024'!L34</f>
        <v>26.604846888299996</v>
      </c>
      <c r="L50" s="13">
        <f>'Mensual 2024'!M21+'Mensual 2024'!M34</f>
        <v>14.997523066000003</v>
      </c>
      <c r="M50" s="13">
        <f>'Mensual 2024'!N21+'Mensual 2024'!N34</f>
        <v>22.798488538810002</v>
      </c>
      <c r="N50" s="13">
        <f t="shared" ref="N50:N60" si="11">SUM(B50:M50)</f>
        <v>248.53152240576</v>
      </c>
      <c r="O50" s="14">
        <v>590</v>
      </c>
    </row>
    <row r="51" spans="1:15" ht="18" customHeight="1" x14ac:dyDescent="0.25">
      <c r="A51" s="7" t="s">
        <v>18</v>
      </c>
      <c r="B51" s="13">
        <f>'Mensual 2024'!C22</f>
        <v>1.1564677800000001E-3</v>
      </c>
      <c r="C51" s="13">
        <f>'Mensual 2024'!D22</f>
        <v>5.9052583080000005E-3</v>
      </c>
      <c r="D51" s="13">
        <f>'Mensual 2024'!E22</f>
        <v>3.595580118</v>
      </c>
      <c r="E51" s="13">
        <f>'Mensual 2024'!F22</f>
        <v>10.272857479200001</v>
      </c>
      <c r="F51" s="13">
        <f>'Mensual 2024'!G22</f>
        <v>46.819643882400001</v>
      </c>
      <c r="G51" s="13">
        <f>'Mensual 2024'!H22</f>
        <v>52.998730308000006</v>
      </c>
      <c r="H51" s="13">
        <f>'Mensual 2024'!I22</f>
        <v>61.977972682800008</v>
      </c>
      <c r="I51" s="13">
        <f>'Mensual 2024'!J22</f>
        <v>39.4710570612</v>
      </c>
      <c r="J51" s="13">
        <f>'Mensual 2024'!K22</f>
        <v>56.478652617600005</v>
      </c>
      <c r="K51" s="13">
        <f>'Mensual 2024'!L22</f>
        <v>39.708664949195999</v>
      </c>
      <c r="L51" s="13">
        <f>'Mensual 2024'!M22</f>
        <v>23.323289122619997</v>
      </c>
      <c r="M51" s="13">
        <f>'Mensual 2024'!N22</f>
        <v>34.124667366247202</v>
      </c>
      <c r="N51" s="13">
        <f t="shared" si="11"/>
        <v>368.77817731335125</v>
      </c>
      <c r="O51" s="14">
        <v>1038</v>
      </c>
    </row>
    <row r="52" spans="1:15" ht="18" customHeight="1" x14ac:dyDescent="0.25">
      <c r="A52" s="7" t="s">
        <v>40</v>
      </c>
      <c r="B52" s="13">
        <f>'Mensual 2024'!C23</f>
        <v>1.0708035000000001E-3</v>
      </c>
      <c r="C52" s="13">
        <f>'Mensual 2024'!D23</f>
        <v>4.9023216000000005E-3</v>
      </c>
      <c r="D52" s="13">
        <f>'Mensual 2024'!E23</f>
        <v>3.3292408500000001</v>
      </c>
      <c r="E52" s="13">
        <f>'Mensual 2024'!F23</f>
        <v>9.2729591610000011</v>
      </c>
      <c r="F52" s="13">
        <f>'Mensual 2024'!G23</f>
        <v>38.896081023000001</v>
      </c>
      <c r="G52" s="13">
        <f>'Mensual 2024'!H23</f>
        <v>44.293637091000008</v>
      </c>
      <c r="H52" s="13">
        <f>'Mensual 2024'!I23</f>
        <v>51.470233377000014</v>
      </c>
      <c r="I52" s="13">
        <f>'Mensual 2024'!J23</f>
        <v>33.327176110500005</v>
      </c>
      <c r="J52" s="13">
        <f>'Mensual 2024'!K23</f>
        <v>47.279945476499996</v>
      </c>
      <c r="K52" s="13">
        <f>'Mensual 2024'!L23</f>
        <v>33.860040500700002</v>
      </c>
      <c r="L52" s="13">
        <f>'Mensual 2024'!M23</f>
        <v>20.7488225265</v>
      </c>
      <c r="M52" s="13">
        <f>'Mensual 2024'!N23</f>
        <v>29.104701258839999</v>
      </c>
      <c r="N52" s="13">
        <f t="shared" si="11"/>
        <v>311.58881050014003</v>
      </c>
      <c r="O52" s="14">
        <v>803</v>
      </c>
    </row>
    <row r="53" spans="1:15" ht="15" customHeight="1" x14ac:dyDescent="0.25">
      <c r="A53" s="7" t="s">
        <v>41</v>
      </c>
      <c r="B53" s="13">
        <f>'Mensual 2024'!C24+'Mensual 2024'!C35</f>
        <v>5.7109520000000005E-4</v>
      </c>
      <c r="C53" s="13">
        <f>'Mensual 2024'!D24+'Mensual 2024'!D35</f>
        <v>7.3457949719999999E-2</v>
      </c>
      <c r="D53" s="13">
        <f>'Mensual 2024'!E24+'Mensual 2024'!E35</f>
        <v>1.77559512</v>
      </c>
      <c r="E53" s="13">
        <f>'Mensual 2024'!F24+'Mensual 2024'!F35</f>
        <v>34.259638117400002</v>
      </c>
      <c r="F53" s="13">
        <f>'Mensual 2024'!G24+'Mensual 2024'!G35</f>
        <v>567.3413595561999</v>
      </c>
      <c r="G53" s="13">
        <f>'Mensual 2024'!H24+'Mensual 2024'!H35</f>
        <v>609.94656230739997</v>
      </c>
      <c r="H53" s="13">
        <f>'Mensual 2024'!I24+'Mensual 2024'!I35</f>
        <v>768.66596080879992</v>
      </c>
      <c r="I53" s="13">
        <f>'Mensual 2024'!J24+'Mensual 2024'!J35</f>
        <v>421.16749443611195</v>
      </c>
      <c r="J53" s="13">
        <f>'Mensual 2024'!K24+'Mensual 2024'!K35</f>
        <v>653.47618456378393</v>
      </c>
      <c r="K53" s="13">
        <f>'Mensual 2024'!L24+'Mensual 2024'!L35</f>
        <v>374.72601402972003</v>
      </c>
      <c r="L53" s="13">
        <f>'Mensual 2024'!M24+'Mensual 2024'!M35</f>
        <v>114.95475177055998</v>
      </c>
      <c r="M53" s="13">
        <f>'Mensual 2024'!N24+'Mensual 2024'!N35</f>
        <v>321.26902354254804</v>
      </c>
      <c r="N53" s="13">
        <f t="shared" si="11"/>
        <v>3867.656613297444</v>
      </c>
      <c r="O53" s="14">
        <v>9884</v>
      </c>
    </row>
    <row r="54" spans="1:15" ht="15" customHeight="1" x14ac:dyDescent="0.25">
      <c r="A54" s="7" t="s">
        <v>20</v>
      </c>
      <c r="B54" s="13">
        <f>'Mensual 2024'!C25+'Mensual 2024'!C36</f>
        <v>4.9970830000000001E-2</v>
      </c>
      <c r="C54" s="13">
        <f>'Mensual 2024'!D25+'Mensual 2024'!D36</f>
        <v>6.2079212999999994E-2</v>
      </c>
      <c r="D54" s="13">
        <f>'Mensual 2024'!E25+'Mensual 2024'!E36</f>
        <v>155.36457300000001</v>
      </c>
      <c r="E54" s="13">
        <f>'Mensual 2024'!F25+'Mensual 2024'!F36</f>
        <v>362.30385415000001</v>
      </c>
      <c r="F54" s="13">
        <f>'Mensual 2024'!G25+'Mensual 2024'!G36</f>
        <v>501.81721624999994</v>
      </c>
      <c r="G54" s="13">
        <f>'Mensual 2024'!H25+'Mensual 2024'!H36</f>
        <v>658.25046244999999</v>
      </c>
      <c r="H54" s="13">
        <f>'Mensual 2024'!I25+'Mensual 2024'!I36</f>
        <v>658.13401344999988</v>
      </c>
      <c r="I54" s="13">
        <f>'Mensual 2024'!J25+'Mensual 2024'!J36</f>
        <v>606.37699449499996</v>
      </c>
      <c r="J54" s="13">
        <f>'Mensual 2024'!K25+'Mensual 2024'!K36</f>
        <v>729.40635401499992</v>
      </c>
      <c r="K54" s="13">
        <f>'Mensual 2024'!L25+'Mensual 2024'!L36</f>
        <v>728.35055415599993</v>
      </c>
      <c r="L54" s="13">
        <f>'Mensual 2024'!M25+'Mensual 2024'!M36</f>
        <v>719.48963466999999</v>
      </c>
      <c r="M54" s="13">
        <f>'Mensual 2024'!N25+'Mensual 2024'!N36</f>
        <v>623.58817465419997</v>
      </c>
      <c r="N54" s="13">
        <f t="shared" si="11"/>
        <v>5743.1938813331999</v>
      </c>
      <c r="O54" s="14">
        <v>10521</v>
      </c>
    </row>
    <row r="55" spans="1:15" ht="15" customHeight="1" x14ac:dyDescent="0.25">
      <c r="A55" s="7" t="s">
        <v>22</v>
      </c>
      <c r="B55" s="13">
        <f>'Mensual 2024'!C26+'Mensual 2024'!C37</f>
        <v>1.1421904E-4</v>
      </c>
      <c r="C55" s="13">
        <f>'Mensual 2024'!D26+'Mensual 2024'!D37</f>
        <v>2.1193559399999997E-4</v>
      </c>
      <c r="D55" s="13">
        <f>'Mensual 2024'!E26+'Mensual 2024'!E37</f>
        <v>0.35511902400000001</v>
      </c>
      <c r="E55" s="13">
        <f>'Mensual 2024'!F26+'Mensual 2024'!F37</f>
        <v>0.85771731369999993</v>
      </c>
      <c r="F55" s="13">
        <f>'Mensual 2024'!G26+'Mensual 2024'!G37</f>
        <v>1.6988314655000001</v>
      </c>
      <c r="G55" s="13">
        <f>'Mensual 2024'!H26+'Mensual 2024'!H37</f>
        <v>2.0964993491000001</v>
      </c>
      <c r="H55" s="13">
        <f>'Mensual 2024'!I26+'Mensual 2024'!I37</f>
        <v>2.2366044976000001</v>
      </c>
      <c r="I55" s="13">
        <f>'Mensual 2024'!J26+'Mensual 2024'!J37</f>
        <v>1.78427928464</v>
      </c>
      <c r="J55" s="13">
        <f>'Mensual 2024'!K26+'Mensual 2024'!K37</f>
        <v>2.2859597536299998</v>
      </c>
      <c r="K55" s="13">
        <f>'Mensual 2024'!L26+'Mensual 2024'!L37</f>
        <v>2.0154370331279998</v>
      </c>
      <c r="L55" s="13">
        <f>'Mensual 2024'!M26+'Mensual 2024'!M37</f>
        <v>1.7479224658600001</v>
      </c>
      <c r="M55" s="13">
        <f>'Mensual 2024'!N26+'Mensual 2024'!N37</f>
        <v>1.7340129779596001</v>
      </c>
      <c r="N55" s="13">
        <f t="shared" si="11"/>
        <v>16.812709319751601</v>
      </c>
      <c r="O55" s="14">
        <v>36</v>
      </c>
    </row>
    <row r="56" spans="1:15" ht="15" customHeight="1" x14ac:dyDescent="0.25">
      <c r="A56" s="7" t="s">
        <v>21</v>
      </c>
      <c r="B56" s="13">
        <f>'Mensual 2024'!C27+'Mensual 2024'!C38</f>
        <v>1.2849641999999998E-3</v>
      </c>
      <c r="C56" s="13">
        <f>'Mensual 2024'!D27+'Mensual 2024'!D38</f>
        <v>8.6790401999999999E-4</v>
      </c>
      <c r="D56" s="13">
        <f>'Mensual 2024'!E27+'Mensual 2024'!E38</f>
        <v>3.9950890199999995</v>
      </c>
      <c r="E56" s="13">
        <f>'Mensual 2024'!F27+'Mensual 2024'!F38</f>
        <v>9.0086049486000004</v>
      </c>
      <c r="F56" s="13">
        <f>'Mensual 2024'!G27+'Mensual 2024'!G38</f>
        <v>7.1649361457999987</v>
      </c>
      <c r="G56" s="13">
        <f>'Mensual 2024'!H27+'Mensual 2024'!H38</f>
        <v>10.770401082599999</v>
      </c>
      <c r="H56" s="13">
        <f>'Mensual 2024'!I27+'Mensual 2024'!I38</f>
        <v>9.2959996931999989</v>
      </c>
      <c r="I56" s="13">
        <f>'Mensual 2024'!J27+'Mensual 2024'!J38</f>
        <v>11.438251172999999</v>
      </c>
      <c r="J56" s="13">
        <f>'Mensual 2024'!K27+'Mensual 2024'!K38</f>
        <v>12.267479013300001</v>
      </c>
      <c r="K56" s="13">
        <f>'Mensual 2024'!L27+'Mensual 2024'!L38</f>
        <v>14.870391155639997</v>
      </c>
      <c r="L56" s="13">
        <f>'Mensual 2024'!M27+'Mensual 2024'!M38</f>
        <v>17.392223512799998</v>
      </c>
      <c r="M56" s="13">
        <f>'Mensual 2024'!N27+'Mensual 2024'!N38</f>
        <v>12.824971272107998</v>
      </c>
      <c r="N56" s="13">
        <f t="shared" si="11"/>
        <v>109.03049988526799</v>
      </c>
      <c r="O56" s="14">
        <v>388</v>
      </c>
    </row>
    <row r="57" spans="1:15" ht="18" customHeight="1" x14ac:dyDescent="0.25">
      <c r="A57" s="7" t="s">
        <v>42</v>
      </c>
      <c r="B57" s="13">
        <f>'Mensual 2024'!C28</f>
        <v>6.1392733999999992E-5</v>
      </c>
      <c r="C57" s="13">
        <f>'Mensual 2024'!D28</f>
        <v>3.1804526274000003E-3</v>
      </c>
      <c r="D57" s="13">
        <f>'Mensual 2024'!E28</f>
        <v>0.1908764754</v>
      </c>
      <c r="E57" s="13">
        <f>'Mensual 2024'!F28</f>
        <v>1.75673192759</v>
      </c>
      <c r="F57" s="13">
        <f>'Mensual 2024'!G28</f>
        <v>25.073211075609997</v>
      </c>
      <c r="G57" s="13">
        <f>'Mensual 2024'!H28</f>
        <v>27.04290630133</v>
      </c>
      <c r="H57" s="13">
        <f>'Mensual 2024'!I28</f>
        <v>33.286445578249996</v>
      </c>
      <c r="I57" s="13">
        <f>'Mensual 2024'!J28</f>
        <v>18.420294020575</v>
      </c>
      <c r="J57" s="13">
        <f>'Mensual 2024'!K28</f>
        <v>28.423289233774994</v>
      </c>
      <c r="K57" s="13">
        <f>'Mensual 2024'!L28</f>
        <v>16.846818019048797</v>
      </c>
      <c r="L57" s="13">
        <f>'Mensual 2024'!M28</f>
        <v>5.5312457898859995</v>
      </c>
      <c r="M57" s="13">
        <f>'Mensual 2024'!N28</f>
        <v>14.446314024775162</v>
      </c>
      <c r="N57" s="13">
        <f t="shared" si="11"/>
        <v>171.02137429160132</v>
      </c>
      <c r="O57" s="14">
        <v>469</v>
      </c>
    </row>
    <row r="58" spans="1:15" ht="15" customHeight="1" x14ac:dyDescent="0.25">
      <c r="A58" s="7" t="s">
        <v>23</v>
      </c>
      <c r="B58" s="13">
        <f>'Mensual 2024'!C29+'Mensual 2024'!C39</f>
        <v>0</v>
      </c>
      <c r="C58" s="13">
        <f>'Mensual 2024'!D29+'Mensual 2024'!D39</f>
        <v>6.4857271500000005E-7</v>
      </c>
      <c r="D58" s="13">
        <f>'Mensual 2024'!E29+'Mensual 2024'!E39</f>
        <v>0</v>
      </c>
      <c r="E58" s="13">
        <f>'Mensual 2024'!F29+'Mensual 2024'!F39</f>
        <v>2.7404246330999996E-4</v>
      </c>
      <c r="F58" s="13">
        <f>'Mensual 2024'!G29+'Mensual 2024'!G39</f>
        <v>5.109859547729999E-3</v>
      </c>
      <c r="G58" s="13">
        <f>'Mensual 2024'!H29+'Mensual 2024'!H39</f>
        <v>5.4812427560100001E-3</v>
      </c>
      <c r="H58" s="13">
        <f>'Mensual 2024'!I29+'Mensual 2024'!I39</f>
        <v>6.7903310153699988E-3</v>
      </c>
      <c r="I58" s="13">
        <f>'Mensual 2024'!J29+'Mensual 2024'!J39</f>
        <v>3.697832788755E-3</v>
      </c>
      <c r="J58" s="13">
        <f>'Mensual 2024'!K29+'Mensual 2024'!K39</f>
        <v>5.7726314607149994E-3</v>
      </c>
      <c r="K58" s="13">
        <f>'Mensual 2024'!L29+'Mensual 2024'!L39</f>
        <v>3.41674641777E-3</v>
      </c>
      <c r="L58" s="13">
        <f>'Mensual 2024'!M29+'Mensual 2024'!M39</f>
        <v>9.8436301949999974E-4</v>
      </c>
      <c r="M58" s="13">
        <f>'Mensual 2024'!N29+'Mensual 2024'!N39</f>
        <v>2.8582710392249999E-3</v>
      </c>
      <c r="N58" s="13">
        <f t="shared" si="11"/>
        <v>3.4385969081099997E-2</v>
      </c>
      <c r="O58" s="14">
        <v>0.08</v>
      </c>
    </row>
    <row r="59" spans="1:15" ht="15" customHeight="1" x14ac:dyDescent="0.25">
      <c r="A59" s="7" t="s">
        <v>43</v>
      </c>
      <c r="B59" s="13">
        <f>('Tasas 2024'!C110*'CS 5'!$C$14+'Tasas 2024'!C111*'CS 5'!$B$14+'Tasas 2024'!C112*'CS6'!$C$14+'Tasas 2024'!C113*'CS6'!$B$14)/2000</f>
        <v>0</v>
      </c>
      <c r="C59" s="13">
        <f>('Tasas 2024'!D110*'CS 5'!$C$14+'Tasas 2024'!D111*'CS 5'!$B$14+'Tasas 2024'!D112*'CS6'!$C$14+'Tasas 2024'!D113*'CS6'!$B$14)/2000</f>
        <v>0</v>
      </c>
      <c r="D59" s="13">
        <f>('Tasas 2024'!E110*'CS 5'!$C$14+'Tasas 2024'!E111*'CS 5'!$B$14+'Tasas 2024'!E112*'CS6'!$C$14+'Tasas 2024'!E113*'CS6'!$B$14)/2000</f>
        <v>0</v>
      </c>
      <c r="E59" s="13">
        <f>('Tasas 2024'!F110*'CS 5'!$C$14+'Tasas 2024'!F111*'CS 5'!$B$14+'Tasas 2024'!F112*'CS6'!$C$14+'Tasas 2024'!F113*'CS6'!$B$14)/2000</f>
        <v>0</v>
      </c>
      <c r="F59" s="13">
        <f>('Tasas 2024'!G110*'CS 5'!$C$14+'Tasas 2024'!G111*'CS 5'!$B$14+'Tasas 2024'!G112*'CS6'!$C$14+'Tasas 2024'!G113*'CS6'!$B$14)/2000</f>
        <v>0</v>
      </c>
      <c r="G59" s="13">
        <f>('Tasas 2024'!H110*'CS 5'!$C$14+'Tasas 2024'!H111*'CS 5'!$B$14+'Tasas 2024'!H112*'CS6'!$C$14+'Tasas 2024'!H113*'CS6'!$B$14)/2000</f>
        <v>0</v>
      </c>
      <c r="H59" s="13">
        <f>('Tasas 2024'!I110*'CS 5'!$C$14+'Tasas 2024'!I111*'CS 5'!$B$14+'Tasas 2024'!I112*'CS6'!$C$14+'Tasas 2024'!I113*'CS6'!$B$14)/2000</f>
        <v>0</v>
      </c>
      <c r="I59" s="13">
        <f>('Tasas 2024'!J110*'CS 5'!$C$14+'Tasas 2024'!J111*'CS 5'!$B$14+'Tasas 2024'!J112*'CS6'!$C$14+'Tasas 2024'!J113*'CS6'!$B$14)/2000</f>
        <v>0</v>
      </c>
      <c r="J59" s="13">
        <f>('Tasas 2024'!K110*'CS 5'!$C$14+'Tasas 2024'!K111*'CS 5'!$B$14+'Tasas 2024'!K112*'CS6'!$C$14+'Tasas 2024'!K113*'CS6'!$B$14)/2000</f>
        <v>0</v>
      </c>
      <c r="K59" s="13">
        <f>('Tasas 2024'!L110*'CS 5'!$C$14+'Tasas 2024'!L111*'CS 5'!$B$14+'Tasas 2024'!L112*'CS6'!$C$14+'Tasas 2024'!L113*'CS6'!$B$14)/2000</f>
        <v>0</v>
      </c>
      <c r="L59" s="13">
        <f>('Tasas 2024'!M110*'CS 5'!$C$14+'Tasas 2024'!M111*'CS 5'!$B$14+'Tasas 2024'!M112*'CS6'!$C$14+'Tasas 2024'!M113*'CS6'!$B$14)/2000</f>
        <v>0</v>
      </c>
      <c r="M59" s="13">
        <f>('Tasas 2024'!N110*'CS 5'!$C$14+'Tasas 2024'!N111*'CS 5'!$B$14+'Tasas 2024'!N112*'CS6'!$C$14+'Tasas 2024'!N113*'CS6'!$B$14)/2000</f>
        <v>0</v>
      </c>
      <c r="N59" s="13">
        <f t="shared" si="11"/>
        <v>0</v>
      </c>
      <c r="O59" s="14">
        <v>0</v>
      </c>
    </row>
    <row r="60" spans="1:15" ht="15" customHeight="1" x14ac:dyDescent="0.25">
      <c r="A60" s="7" t="s">
        <v>24</v>
      </c>
      <c r="B60" s="13">
        <f>'Mensual 2024'!C30+'Mensual 2024'!C40</f>
        <v>16.541687721027859</v>
      </c>
      <c r="C60" s="13">
        <f>'Mensual 2024'!D30+'Mensual 2024'!D40</f>
        <v>28.243835449739624</v>
      </c>
      <c r="D60" s="13">
        <f>'Mensual 2024'!E30+'Mensual 2024'!E40</f>
        <v>51429.84916353874</v>
      </c>
      <c r="E60" s="13">
        <f>'Mensual 2024'!F30+'Mensual 2024'!F40</f>
        <v>123183.24874025132</v>
      </c>
      <c r="F60" s="13">
        <f>'Mensual 2024'!G30+'Mensual 2024'!G40</f>
        <v>226732.69289948093</v>
      </c>
      <c r="G60" s="13">
        <f>'Mensual 2024'!H30+'Mensual 2024'!H40</f>
        <v>282921.98019724997</v>
      </c>
      <c r="H60" s="13">
        <f>'Mensual 2024'!I30+'Mensual 2024'!I40</f>
        <v>298318.74713815982</v>
      </c>
      <c r="I60" s="13">
        <f>'Mensual 2024'!J30+'Mensual 2024'!J40</f>
        <v>244494.11699554932</v>
      </c>
      <c r="J60" s="13">
        <f>'Mensual 2024'!K30+'Mensual 2024'!K40</f>
        <v>309494.51543624274</v>
      </c>
      <c r="K60" s="13">
        <f>'Mensual 2024'!L30+'Mensual 2024'!L40</f>
        <v>279905.2186925009</v>
      </c>
      <c r="L60" s="13">
        <f>'Mensual 2024'!M30+'Mensual 2024'!M40</f>
        <v>249571.51298246873</v>
      </c>
      <c r="M60" s="13">
        <f>'Mensual 2024'!N30+'Mensual 2024'!N40</f>
        <v>240331.80334022784</v>
      </c>
      <c r="N60" s="13">
        <f t="shared" si="11"/>
        <v>2306428.4711088412</v>
      </c>
      <c r="O60" s="15" t="s">
        <v>25</v>
      </c>
    </row>
    <row r="61" spans="1:15" ht="19.5" customHeight="1" x14ac:dyDescent="0.3">
      <c r="A61" s="16" t="s">
        <v>26</v>
      </c>
      <c r="B61" s="17">
        <f t="shared" ref="B61:O61" si="12">SUM(B50:B59)</f>
        <v>5.4943641454000006E-2</v>
      </c>
      <c r="C61" s="17">
        <f t="shared" si="12"/>
        <v>0.15464434059211501</v>
      </c>
      <c r="D61" s="17">
        <f t="shared" si="12"/>
        <v>170.8255675074</v>
      </c>
      <c r="E61" s="17">
        <f t="shared" si="12"/>
        <v>434.24014631745337</v>
      </c>
      <c r="F61" s="17">
        <f t="shared" si="12"/>
        <v>1220.8171374805577</v>
      </c>
      <c r="G61" s="17">
        <f t="shared" si="12"/>
        <v>1441.4449670246863</v>
      </c>
      <c r="H61" s="17">
        <f t="shared" si="12"/>
        <v>1627.4522915311652</v>
      </c>
      <c r="I61" s="17">
        <f t="shared" si="12"/>
        <v>1158.5984602255655</v>
      </c>
      <c r="J61" s="17">
        <f t="shared" si="12"/>
        <v>1567.9940235747997</v>
      </c>
      <c r="K61" s="17">
        <f t="shared" si="12"/>
        <v>1236.9861834781505</v>
      </c>
      <c r="L61" s="17">
        <f t="shared" si="12"/>
        <v>918.18639728724554</v>
      </c>
      <c r="M61" s="17">
        <f t="shared" si="12"/>
        <v>1059.8932119065273</v>
      </c>
      <c r="N61" s="17">
        <f t="shared" si="12"/>
        <v>10836.647974315598</v>
      </c>
      <c r="O61" s="17">
        <f t="shared" si="12"/>
        <v>23729.08</v>
      </c>
    </row>
    <row r="62" spans="1:15" ht="15.7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ht="18.75" customHeight="1" x14ac:dyDescent="0.3">
      <c r="A63" s="7"/>
      <c r="B63" s="12" t="s">
        <v>44</v>
      </c>
      <c r="C63" s="12" t="s">
        <v>44</v>
      </c>
      <c r="D63" s="12" t="s">
        <v>44</v>
      </c>
      <c r="E63" s="12" t="s">
        <v>44</v>
      </c>
      <c r="F63" s="12" t="s">
        <v>44</v>
      </c>
      <c r="G63" s="12" t="s">
        <v>44</v>
      </c>
      <c r="H63" s="12" t="s">
        <v>44</v>
      </c>
      <c r="I63" s="12" t="s">
        <v>44</v>
      </c>
      <c r="J63" s="12" t="s">
        <v>44</v>
      </c>
      <c r="K63" s="12" t="s">
        <v>44</v>
      </c>
      <c r="L63" s="12" t="s">
        <v>44</v>
      </c>
      <c r="M63" s="12" t="s">
        <v>44</v>
      </c>
      <c r="N63" s="12" t="s">
        <v>44</v>
      </c>
      <c r="O63" s="12" t="s">
        <v>44</v>
      </c>
    </row>
    <row r="64" spans="1:15" ht="18" customHeight="1" x14ac:dyDescent="0.25">
      <c r="A64" s="7" t="s">
        <v>18</v>
      </c>
      <c r="B64" s="13">
        <f>'Mensual 2024'!C98</f>
        <v>8.8739999999999988</v>
      </c>
      <c r="C64" s="13">
        <f>'Mensual 2024'!D98</f>
        <v>9.9960000000000004</v>
      </c>
      <c r="D64" s="13">
        <f>'Mensual 2024'!E98</f>
        <v>7.2420000000000009</v>
      </c>
      <c r="E64" s="13">
        <f>'Mensual 2024'!F98</f>
        <v>18.666</v>
      </c>
      <c r="F64" s="13">
        <f>'Mensual 2024'!G98</f>
        <v>21.904499999999999</v>
      </c>
      <c r="G64" s="13">
        <f>'Mensual 2024'!H98</f>
        <v>11.067</v>
      </c>
      <c r="H64" s="13">
        <f>'Mensual 2024'!I98</f>
        <v>7.6244999999999994</v>
      </c>
      <c r="I64" s="13">
        <f>'Mensual 2024'!J98</f>
        <v>20.119500000000002</v>
      </c>
      <c r="J64" s="13">
        <f>'Mensual 2024'!K98</f>
        <v>21.700499999999998</v>
      </c>
      <c r="K64" s="13">
        <f>'Mensual 2024'!L98</f>
        <v>20.680499999999999</v>
      </c>
      <c r="L64" s="13">
        <f>'Mensual 2024'!M98</f>
        <v>5.6099999999999994</v>
      </c>
      <c r="M64" s="13">
        <f>'Mensual 2024'!N98</f>
        <v>13.923</v>
      </c>
      <c r="N64" s="13">
        <f t="shared" ref="N64:N70" si="13">SUM(B64:M64)</f>
        <v>167.40750000000003</v>
      </c>
      <c r="O64" s="14">
        <v>670</v>
      </c>
    </row>
    <row r="65" spans="1:15" ht="15" customHeight="1" x14ac:dyDescent="0.25">
      <c r="A65" s="7" t="s">
        <v>41</v>
      </c>
      <c r="B65" s="13">
        <f>'Mensual 2024'!C99</f>
        <v>23.838000000000001</v>
      </c>
      <c r="C65" s="13">
        <f>'Mensual 2024'!D99</f>
        <v>26.852</v>
      </c>
      <c r="D65" s="13">
        <f>'Mensual 2024'!E99</f>
        <v>19.454000000000001</v>
      </c>
      <c r="E65" s="13">
        <f>'Mensual 2024'!F99</f>
        <v>50.141999999999996</v>
      </c>
      <c r="F65" s="13">
        <f>'Mensual 2024'!G99</f>
        <v>58.841499999999996</v>
      </c>
      <c r="G65" s="13">
        <f>'Mensual 2024'!H99</f>
        <v>29.728999999999999</v>
      </c>
      <c r="H65" s="13">
        <f>'Mensual 2024'!I99</f>
        <v>20.4815</v>
      </c>
      <c r="I65" s="13">
        <f>'Mensual 2024'!J99</f>
        <v>54.046500000000002</v>
      </c>
      <c r="J65" s="13">
        <f>'Mensual 2024'!K99</f>
        <v>58.293500000000002</v>
      </c>
      <c r="K65" s="13">
        <f>'Mensual 2024'!L99</f>
        <v>55.5535</v>
      </c>
      <c r="L65" s="13">
        <f>'Mensual 2024'!M99</f>
        <v>15.07</v>
      </c>
      <c r="M65" s="13">
        <f>'Mensual 2024'!N99</f>
        <v>37.400999999999996</v>
      </c>
      <c r="N65" s="13">
        <f t="shared" si="13"/>
        <v>449.70249999999999</v>
      </c>
      <c r="O65" s="14">
        <v>1800</v>
      </c>
    </row>
    <row r="66" spans="1:15" ht="15" customHeight="1" x14ac:dyDescent="0.25">
      <c r="A66" s="7" t="s">
        <v>20</v>
      </c>
      <c r="B66" s="13">
        <f>'Mensual 2024'!C103</f>
        <v>25.998699999999996</v>
      </c>
      <c r="C66" s="13">
        <f>'Mensual 2024'!D103</f>
        <v>24.9344</v>
      </c>
      <c r="D66" s="13">
        <f>'Mensual 2024'!E103</f>
        <v>22.71125</v>
      </c>
      <c r="E66" s="13">
        <f>'Mensual 2024'!F103</f>
        <v>36.080399999999997</v>
      </c>
      <c r="F66" s="13">
        <f>'Mensual 2024'!G103</f>
        <v>40.589199999999998</v>
      </c>
      <c r="G66" s="13">
        <f>'Mensual 2024'!H103</f>
        <v>24.045500000000001</v>
      </c>
      <c r="H66" s="13">
        <f>'Mensual 2024'!I103</f>
        <v>19.279049999999998</v>
      </c>
      <c r="I66" s="13">
        <f>'Mensual 2024'!J103</f>
        <v>36.580350000000003</v>
      </c>
      <c r="J66" s="13">
        <f>'Mensual 2024'!K103</f>
        <v>36.593499999999999</v>
      </c>
      <c r="K66" s="13">
        <f>'Mensual 2024'!L103</f>
        <v>34.995750000000001</v>
      </c>
      <c r="L66" s="13">
        <f>'Mensual 2024'!M103</f>
        <v>15.344899999999999</v>
      </c>
      <c r="M66" s="13">
        <f>'Mensual 2024'!N103</f>
        <v>26.887650000000001</v>
      </c>
      <c r="N66" s="13">
        <f t="shared" si="13"/>
        <v>344.04065000000003</v>
      </c>
      <c r="O66" s="14">
        <v>1801</v>
      </c>
    </row>
    <row r="67" spans="1:15" ht="15" customHeight="1" x14ac:dyDescent="0.25">
      <c r="A67" s="7" t="s">
        <v>22</v>
      </c>
      <c r="B67" s="13">
        <f>'Mensual 2024'!C100</f>
        <v>2.024</v>
      </c>
      <c r="C67" s="13">
        <f>'Mensual 2024'!D100</f>
        <v>2.2409999999999997</v>
      </c>
      <c r="D67" s="13">
        <f>'Mensual 2024'!E100</f>
        <v>1.599</v>
      </c>
      <c r="E67" s="13">
        <f>'Mensual 2024'!F100</f>
        <v>4.1660000000000004</v>
      </c>
      <c r="F67" s="13">
        <f>'Mensual 2024'!G100</f>
        <v>4.9885000000000002</v>
      </c>
      <c r="G67" s="13">
        <f>'Mensual 2024'!H100</f>
        <v>2.4989999999999997</v>
      </c>
      <c r="H67" s="13">
        <f>'Mensual 2024'!I100</f>
        <v>1.7244999999999999</v>
      </c>
      <c r="I67" s="13">
        <f>'Mensual 2024'!J100</f>
        <v>4.6295000000000002</v>
      </c>
      <c r="J67" s="13">
        <f>'Mensual 2024'!K100</f>
        <v>4.9585000000000008</v>
      </c>
      <c r="K67" s="13">
        <f>'Mensual 2024'!L100</f>
        <v>4.7294999999999998</v>
      </c>
      <c r="L67" s="13">
        <f>'Mensual 2024'!M100</f>
        <v>1.2490000000000001</v>
      </c>
      <c r="M67" s="13">
        <f>'Mensual 2024'!N100</f>
        <v>3.0609999999999999</v>
      </c>
      <c r="N67" s="13">
        <f t="shared" si="13"/>
        <v>37.869500000000002</v>
      </c>
      <c r="O67" s="14">
        <v>180</v>
      </c>
    </row>
    <row r="68" spans="1:15" ht="15" customHeight="1" x14ac:dyDescent="0.25">
      <c r="A68" s="7" t="s">
        <v>21</v>
      </c>
      <c r="B68" s="13">
        <f>'Mensual 2024'!C104</f>
        <v>4.7995000000000001</v>
      </c>
      <c r="C68" s="13">
        <f>'Mensual 2024'!D104</f>
        <v>4.4204999999999997</v>
      </c>
      <c r="D68" s="13">
        <f>'Mensual 2024'!E104</f>
        <v>4.6535000000000002</v>
      </c>
      <c r="E68" s="13">
        <f>'Mensual 2024'!F104</f>
        <v>4.5289999999999999</v>
      </c>
      <c r="F68" s="13">
        <f>'Mensual 2024'!G104</f>
        <v>4.0465</v>
      </c>
      <c r="G68" s="13">
        <f>'Mensual 2024'!H104</f>
        <v>3.9935</v>
      </c>
      <c r="H68" s="13">
        <f>'Mensual 2024'!I104</f>
        <v>4.343</v>
      </c>
      <c r="I68" s="13">
        <f>'Mensual 2024'!J104</f>
        <v>3.9045000000000001</v>
      </c>
      <c r="J68" s="13">
        <f>'Mensual 2024'!K104</f>
        <v>3.1225000000000001</v>
      </c>
      <c r="K68" s="13">
        <f>'Mensual 2024'!L104</f>
        <v>2.8130000000000002</v>
      </c>
      <c r="L68" s="13">
        <f>'Mensual 2024'!M104</f>
        <v>2.8895</v>
      </c>
      <c r="M68" s="13">
        <f>'Mensual 2024'!N104</f>
        <v>3.5305</v>
      </c>
      <c r="N68" s="13">
        <f t="shared" si="13"/>
        <v>47.045500000000004</v>
      </c>
      <c r="O68" s="14">
        <v>713</v>
      </c>
    </row>
    <row r="69" spans="1:15" ht="15" customHeight="1" x14ac:dyDescent="0.25">
      <c r="A69" s="7" t="s">
        <v>23</v>
      </c>
      <c r="B69" s="13">
        <f>'Mensual 2024'!C101</f>
        <v>3.1689999999999999E-3</v>
      </c>
      <c r="C69" s="13">
        <f>'Mensual 2024'!D101</f>
        <v>3.4335000000000004E-3</v>
      </c>
      <c r="D69" s="13">
        <f>'Mensual 2024'!E101</f>
        <v>2.4015E-3</v>
      </c>
      <c r="E69" s="13">
        <f>'Mensual 2024'!F101</f>
        <v>6.3460000000000001E-3</v>
      </c>
      <c r="F69" s="13">
        <f>'Mensual 2024'!G101</f>
        <v>7.7960000000000008E-3</v>
      </c>
      <c r="G69" s="13">
        <f>'Mensual 2024'!H101</f>
        <v>3.8640000000000002E-3</v>
      </c>
      <c r="H69" s="13">
        <f>'Mensual 2024'!I101</f>
        <v>2.6720000000000003E-3</v>
      </c>
      <c r="I69" s="13">
        <f>'Mensual 2024'!J101</f>
        <v>7.3270000000000002E-3</v>
      </c>
      <c r="J69" s="13">
        <f>'Mensual 2024'!K101</f>
        <v>7.7809999999999997E-3</v>
      </c>
      <c r="K69" s="13">
        <f>'Mensual 2024'!L101</f>
        <v>7.4295000000000003E-3</v>
      </c>
      <c r="L69" s="13">
        <f>'Mensual 2024'!M101</f>
        <v>1.8965000000000002E-3</v>
      </c>
      <c r="M69" s="13">
        <f>'Mensual 2024'!N101</f>
        <v>4.5710000000000004E-3</v>
      </c>
      <c r="N69" s="13">
        <f t="shared" si="13"/>
        <v>5.8686999999999996E-2</v>
      </c>
      <c r="O69" s="14">
        <v>0.3</v>
      </c>
    </row>
    <row r="70" spans="1:15" ht="15" customHeight="1" x14ac:dyDescent="0.25">
      <c r="A70" s="7" t="s">
        <v>24</v>
      </c>
      <c r="B70" s="13">
        <f>'Mensual 2024'!C102</f>
        <v>23963.242709699996</v>
      </c>
      <c r="C70" s="13">
        <f>'Mensual 2024'!D102</f>
        <v>24889.81741344</v>
      </c>
      <c r="D70" s="13">
        <f>'Mensual 2024'!E102</f>
        <v>21756.7466991</v>
      </c>
      <c r="E70" s="13">
        <f>'Mensual 2024'!F102</f>
        <v>43306.432592220001</v>
      </c>
      <c r="F70" s="13">
        <f>'Mensual 2024'!G102</f>
        <v>53639.17978482</v>
      </c>
      <c r="G70" s="13">
        <f>'Mensual 2024'!H102</f>
        <v>27506.879000999998</v>
      </c>
      <c r="H70" s="13">
        <f>'Mensual 2024'!I102</f>
        <v>20153.335258979998</v>
      </c>
      <c r="I70" s="13">
        <f>'Mensual 2024'!J102</f>
        <v>49434.448138740001</v>
      </c>
      <c r="J70" s="13">
        <f>'Mensual 2024'!K102</f>
        <v>51808.684690980001</v>
      </c>
      <c r="K70" s="13">
        <f>'Mensual 2024'!L102</f>
        <v>49181.424395040005</v>
      </c>
      <c r="L70" s="13">
        <f>'Mensual 2024'!M102</f>
        <v>14696.618516999999</v>
      </c>
      <c r="M70" s="13">
        <f>'Mensual 2024'!N102</f>
        <v>32929.67116908</v>
      </c>
      <c r="N70" s="13">
        <f t="shared" si="13"/>
        <v>413266.48037010006</v>
      </c>
      <c r="O70" s="15" t="s">
        <v>25</v>
      </c>
    </row>
    <row r="71" spans="1:15" ht="19.5" customHeight="1" x14ac:dyDescent="0.3">
      <c r="A71" s="16" t="s">
        <v>26</v>
      </c>
      <c r="B71" s="17">
        <f t="shared" ref="B71:O71" si="14">SUM(B64:B69)</f>
        <v>65.537368999999998</v>
      </c>
      <c r="C71" s="17">
        <f t="shared" si="14"/>
        <v>68.447333499999999</v>
      </c>
      <c r="D71" s="17">
        <f t="shared" si="14"/>
        <v>55.6621515</v>
      </c>
      <c r="E71" s="17">
        <f t="shared" si="14"/>
        <v>113.58974599999998</v>
      </c>
      <c r="F71" s="17">
        <f t="shared" si="14"/>
        <v>130.377996</v>
      </c>
      <c r="G71" s="17">
        <f t="shared" si="14"/>
        <v>71.337863999999982</v>
      </c>
      <c r="H71" s="17">
        <f t="shared" si="14"/>
        <v>53.455221999999999</v>
      </c>
      <c r="I71" s="17">
        <f t="shared" si="14"/>
        <v>119.28767700000002</v>
      </c>
      <c r="J71" s="17">
        <f t="shared" si="14"/>
        <v>124.676281</v>
      </c>
      <c r="K71" s="17">
        <f t="shared" si="14"/>
        <v>118.7796795</v>
      </c>
      <c r="L71" s="17">
        <f t="shared" si="14"/>
        <v>40.165296500000004</v>
      </c>
      <c r="M71" s="17">
        <f t="shared" si="14"/>
        <v>84.807721000000001</v>
      </c>
      <c r="N71" s="17">
        <f t="shared" si="14"/>
        <v>1046.124337</v>
      </c>
      <c r="O71" s="17">
        <f t="shared" si="14"/>
        <v>5164.3</v>
      </c>
    </row>
    <row r="72" spans="1:15" ht="15.7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1:15" ht="18.75" customHeight="1" x14ac:dyDescent="0.3">
      <c r="A73" s="7"/>
      <c r="B73" s="12" t="s">
        <v>45</v>
      </c>
      <c r="C73" s="12" t="s">
        <v>45</v>
      </c>
      <c r="D73" s="12" t="s">
        <v>45</v>
      </c>
      <c r="E73" s="12" t="s">
        <v>45</v>
      </c>
      <c r="F73" s="12" t="s">
        <v>45</v>
      </c>
      <c r="G73" s="12" t="s">
        <v>45</v>
      </c>
      <c r="H73" s="12" t="s">
        <v>45</v>
      </c>
      <c r="I73" s="12" t="s">
        <v>45</v>
      </c>
      <c r="J73" s="12" t="s">
        <v>45</v>
      </c>
      <c r="K73" s="12" t="s">
        <v>45</v>
      </c>
      <c r="L73" s="12" t="s">
        <v>45</v>
      </c>
      <c r="M73" s="12" t="s">
        <v>45</v>
      </c>
      <c r="N73" s="12" t="s">
        <v>45</v>
      </c>
      <c r="O73" s="12" t="s">
        <v>45</v>
      </c>
    </row>
    <row r="74" spans="1:15" ht="15" customHeight="1" x14ac:dyDescent="0.25">
      <c r="A74" s="7" t="s">
        <v>17</v>
      </c>
      <c r="B74" s="13">
        <f>'Mensual 2024'!C162</f>
        <v>3.7655567560800005</v>
      </c>
      <c r="C74" s="13">
        <f>'Mensual 2024'!D162</f>
        <v>3.2787379648800004</v>
      </c>
      <c r="D74" s="13">
        <f>'Mensual 2024'!E162</f>
        <v>2.8912947235200006</v>
      </c>
      <c r="E74" s="13">
        <f>'Mensual 2024'!F162</f>
        <v>3.8730890167200007</v>
      </c>
      <c r="F74" s="13">
        <f>'Mensual 2024'!G162</f>
        <v>4.3965870984000013</v>
      </c>
      <c r="G74" s="13">
        <f>'Mensual 2024'!H162</f>
        <v>3.0876862716000004</v>
      </c>
      <c r="H74" s="13">
        <f>'Mensual 2024'!I162</f>
        <v>2.2909135132800005</v>
      </c>
      <c r="I74" s="13">
        <f>'Mensual 2024'!J162</f>
        <v>3.3124832042400003</v>
      </c>
      <c r="J74" s="13">
        <f>'Mensual 2024'!K162</f>
        <v>3.1539390724800005</v>
      </c>
      <c r="K74" s="13">
        <f>'Mensual 2024'!L162</f>
        <v>3.1669529472</v>
      </c>
      <c r="L74" s="13">
        <f>'Mensual 2024'!M162</f>
        <v>2.1161133403200001</v>
      </c>
      <c r="M74" s="13">
        <f>'Mensual 2024'!N162</f>
        <v>2.7511936956000005</v>
      </c>
      <c r="N74" s="13">
        <f t="shared" ref="N74:N80" si="15">SUM(B74:M74)</f>
        <v>38.084547604320001</v>
      </c>
      <c r="O74" s="14">
        <v>83.1</v>
      </c>
    </row>
    <row r="75" spans="1:15" ht="15" customHeight="1" x14ac:dyDescent="0.25">
      <c r="A75" s="7" t="s">
        <v>41</v>
      </c>
      <c r="B75" s="13">
        <f>'Mensual 2024'!C163</f>
        <v>3.1693436030339996</v>
      </c>
      <c r="C75" s="13">
        <f>'Mensual 2024'!D163</f>
        <v>2.7596044537740001</v>
      </c>
      <c r="D75" s="13">
        <f>'Mensual 2024'!E163</f>
        <v>2.4335063922960001</v>
      </c>
      <c r="E75" s="13">
        <f>'Mensual 2024'!F163</f>
        <v>3.2598499224060005</v>
      </c>
      <c r="F75" s="13">
        <f>'Mensual 2024'!G163</f>
        <v>3.7004608078199999</v>
      </c>
      <c r="G75" s="13">
        <f>'Mensual 2024'!H163</f>
        <v>2.5988026119300001</v>
      </c>
      <c r="H75" s="13">
        <f>'Mensual 2024'!I163</f>
        <v>1.9281855403440002</v>
      </c>
      <c r="I75" s="13">
        <f>'Mensual 2024'!J163</f>
        <v>2.7880066969019999</v>
      </c>
      <c r="J75" s="13">
        <f>'Mensual 2024'!K163</f>
        <v>2.6545653860040002</v>
      </c>
      <c r="K75" s="13">
        <f>'Mensual 2024'!L163</f>
        <v>2.6655187305599997</v>
      </c>
      <c r="L75" s="13">
        <f>'Mensual 2024'!M163</f>
        <v>1.7810620614360002</v>
      </c>
      <c r="M75" s="13">
        <f>'Mensual 2024'!N163</f>
        <v>2.31558802713</v>
      </c>
      <c r="N75" s="13">
        <f t="shared" si="15"/>
        <v>32.054494233635999</v>
      </c>
      <c r="O75" s="14">
        <v>304.82</v>
      </c>
    </row>
    <row r="76" spans="1:15" ht="15" customHeight="1" x14ac:dyDescent="0.25">
      <c r="A76" s="7" t="s">
        <v>20</v>
      </c>
      <c r="B76" s="13">
        <f>'Mensual 2024'!C164</f>
        <v>90.259678902463008</v>
      </c>
      <c r="C76" s="13">
        <f>'Mensual 2024'!D164</f>
        <v>78.590725113239159</v>
      </c>
      <c r="D76" s="13">
        <f>'Mensual 2024'!E164</f>
        <v>69.30378434369203</v>
      </c>
      <c r="E76" s="13">
        <f>'Mensual 2024'!F164</f>
        <v>92.837206727890432</v>
      </c>
      <c r="F76" s="13">
        <f>'Mensual 2024'!G164</f>
        <v>105.38535613028608</v>
      </c>
      <c r="G76" s="13">
        <f>'Mensual 2024'!H164</f>
        <v>74.011252380188083</v>
      </c>
      <c r="H76" s="13">
        <f>'Mensual 2024'!I164</f>
        <v>54.912760979660355</v>
      </c>
      <c r="I76" s="13">
        <f>'Mensual 2024'!J164</f>
        <v>79.399592079379673</v>
      </c>
      <c r="J76" s="13">
        <f>'Mensual 2024'!K164</f>
        <v>75.599319410159723</v>
      </c>
      <c r="K76" s="13">
        <f>'Mensual 2024'!L164</f>
        <v>75.911259510812172</v>
      </c>
      <c r="L76" s="13">
        <f>'Mensual 2024'!M164</f>
        <v>50.722834096208167</v>
      </c>
      <c r="M76" s="13">
        <f>'Mensual 2024'!N164</f>
        <v>65.945589364013003</v>
      </c>
      <c r="N76" s="13">
        <f t="shared" si="15"/>
        <v>912.879359037992</v>
      </c>
      <c r="O76" s="14">
        <v>796.29</v>
      </c>
    </row>
    <row r="77" spans="1:15" ht="15" customHeight="1" x14ac:dyDescent="0.25">
      <c r="A77" s="7" t="s">
        <v>22</v>
      </c>
      <c r="B77" s="13">
        <f>'Mensual 2024'!C165</f>
        <v>0.12865652249940002</v>
      </c>
      <c r="C77" s="13">
        <f>'Mensual 2024'!D165</f>
        <v>0.1120235471334</v>
      </c>
      <c r="D77" s="13">
        <f>'Mensual 2024'!E165</f>
        <v>9.8785903053600008E-2</v>
      </c>
      <c r="E77" s="13">
        <f>'Mensual 2024'!F165</f>
        <v>0.13233054140460002</v>
      </c>
      <c r="F77" s="13">
        <f>'Mensual 2024'!G165</f>
        <v>0.15021672586200002</v>
      </c>
      <c r="G77" s="13">
        <f>'Mensual 2024'!H165</f>
        <v>0.105495947613</v>
      </c>
      <c r="H77" s="13">
        <f>'Mensual 2024'!I165</f>
        <v>7.8272878370400006E-2</v>
      </c>
      <c r="I77" s="13">
        <f>'Mensual 2024'!J165</f>
        <v>0.11317650947820002</v>
      </c>
      <c r="J77" s="13">
        <f>'Mensual 2024'!K165</f>
        <v>0.10775958497640001</v>
      </c>
      <c r="K77" s="13">
        <f>'Mensual 2024'!L165</f>
        <v>0.10820422569600001</v>
      </c>
      <c r="L77" s="13">
        <f>'Mensual 2024'!M165</f>
        <v>7.2300539127599997E-2</v>
      </c>
      <c r="M77" s="13">
        <f>'Mensual 2024'!N165</f>
        <v>9.3999117933000004E-2</v>
      </c>
      <c r="N77" s="13">
        <f t="shared" si="15"/>
        <v>1.3012220431476</v>
      </c>
      <c r="O77" s="14">
        <v>25.06</v>
      </c>
    </row>
    <row r="78" spans="1:15" ht="15" customHeight="1" x14ac:dyDescent="0.25">
      <c r="A78" s="7" t="s">
        <v>21</v>
      </c>
      <c r="B78" s="13">
        <f>'Mensual 2024'!C166</f>
        <v>1.0355281079220002</v>
      </c>
      <c r="C78" s="13">
        <f>'Mensual 2024'!D166</f>
        <v>0.90165294034200005</v>
      </c>
      <c r="D78" s="13">
        <f>'Mensual 2024'!E166</f>
        <v>0.79510604896800019</v>
      </c>
      <c r="E78" s="13">
        <f>'Mensual 2024'!F166</f>
        <v>1.065099479598</v>
      </c>
      <c r="F78" s="13">
        <f>'Mensual 2024'!G166</f>
        <v>1.2090614520600003</v>
      </c>
      <c r="G78" s="13">
        <f>'Mensual 2024'!H166</f>
        <v>0.84911372469000013</v>
      </c>
      <c r="H78" s="13">
        <f>'Mensual 2024'!I166</f>
        <v>0.63000121615200011</v>
      </c>
      <c r="I78" s="13">
        <f>'Mensual 2024'!J166</f>
        <v>0.91093288116600002</v>
      </c>
      <c r="J78" s="13">
        <f>'Mensual 2024'!K166</f>
        <v>0.86733324493200004</v>
      </c>
      <c r="K78" s="13">
        <f>'Mensual 2024'!L166</f>
        <v>0.87091206048000003</v>
      </c>
      <c r="L78" s="13">
        <f>'Mensual 2024'!M166</f>
        <v>0.58193116858799998</v>
      </c>
      <c r="M78" s="13">
        <f>'Mensual 2024'!N166</f>
        <v>0.75657826629000002</v>
      </c>
      <c r="N78" s="13">
        <f t="shared" si="15"/>
        <v>10.473250591188002</v>
      </c>
      <c r="O78" s="14">
        <v>93.93</v>
      </c>
    </row>
    <row r="79" spans="1:15" ht="15" customHeight="1" x14ac:dyDescent="0.25">
      <c r="A79" s="7" t="s">
        <v>23</v>
      </c>
      <c r="B79" s="13">
        <f>'Mensual 2024'!C167</f>
        <v>4.39314954876E-3</v>
      </c>
      <c r="C79" s="13">
        <f>'Mensual 2024'!D167</f>
        <v>3.82519429236E-3</v>
      </c>
      <c r="D79" s="13">
        <f>'Mensual 2024'!E167</f>
        <v>3.3731771774400004E-3</v>
      </c>
      <c r="E79" s="13">
        <f>'Mensual 2024'!F167</f>
        <v>4.5186038528400004E-3</v>
      </c>
      <c r="F79" s="13">
        <f>'Mensual 2024'!G167</f>
        <v>5.1293516147999998E-3</v>
      </c>
      <c r="G79" s="13">
        <f>'Mensual 2024'!H167</f>
        <v>3.6023006501999999E-3</v>
      </c>
      <c r="H79" s="13">
        <f>'Mensual 2024'!I167</f>
        <v>2.6727324321600006E-3</v>
      </c>
      <c r="I79" s="13">
        <f>'Mensual 2024'!J167</f>
        <v>3.8645637382800002E-3</v>
      </c>
      <c r="J79" s="13">
        <f>'Mensual 2024'!K167</f>
        <v>3.6795955845600006E-3</v>
      </c>
      <c r="K79" s="13">
        <f>'Mensual 2024'!L167</f>
        <v>3.6947784384E-3</v>
      </c>
      <c r="L79" s="13">
        <f>'Mensual 2024'!M167</f>
        <v>2.4687988970400004E-3</v>
      </c>
      <c r="M79" s="13">
        <f>'Mensual 2024'!N167</f>
        <v>3.2097259782000002E-3</v>
      </c>
      <c r="N79" s="13">
        <f t="shared" si="15"/>
        <v>4.4431972205039999E-2</v>
      </c>
      <c r="O79" s="23">
        <v>1.7000000000000001E-2</v>
      </c>
    </row>
    <row r="80" spans="1:15" ht="15" customHeight="1" x14ac:dyDescent="0.25">
      <c r="A80" s="7" t="s">
        <v>24</v>
      </c>
      <c r="B80" s="13">
        <f>'Mensual 2024'!C168</f>
        <v>51340.775502928496</v>
      </c>
      <c r="C80" s="13">
        <f>'Mensual 2024'!D168</f>
        <v>44703.336237340322</v>
      </c>
      <c r="D80" s="13">
        <f>'Mensual 2024'!E168</f>
        <v>39420.81421913598</v>
      </c>
      <c r="E80" s="13">
        <f>'Mensual 2024'!F168</f>
        <v>52806.903889899841</v>
      </c>
      <c r="F80" s="13">
        <f>'Mensual 2024'!G168</f>
        <v>59944.440044241528</v>
      </c>
      <c r="G80" s="13">
        <f>'Mensual 2024'!H168</f>
        <v>42098.4778513114</v>
      </c>
      <c r="H80" s="13">
        <f>'Mensual 2024'!I168</f>
        <v>31235.029505802748</v>
      </c>
      <c r="I80" s="13">
        <f>'Mensual 2024'!J168</f>
        <v>45163.42935782695</v>
      </c>
      <c r="J80" s="13">
        <f>'Mensual 2024'!K168</f>
        <v>43001.789206512243</v>
      </c>
      <c r="K80" s="13">
        <f>'Mensual 2024'!L168</f>
        <v>43179.224434209704</v>
      </c>
      <c r="L80" s="13">
        <f>'Mensual 2024'!M168</f>
        <v>28851.74941758682</v>
      </c>
      <c r="M80" s="13">
        <f>'Mensual 2024'!N168</f>
        <v>37510.633099025035</v>
      </c>
      <c r="N80" s="13">
        <f t="shared" si="15"/>
        <v>519256.60276582104</v>
      </c>
      <c r="O80" s="24" t="s">
        <v>25</v>
      </c>
    </row>
    <row r="81" spans="1:15" ht="19.5" customHeight="1" x14ac:dyDescent="0.3">
      <c r="A81" s="16" t="s">
        <v>26</v>
      </c>
      <c r="B81" s="17">
        <f t="shared" ref="B81:O81" si="16">SUM(B74:B79)</f>
        <v>98.363157041547169</v>
      </c>
      <c r="C81" s="17">
        <f t="shared" si="16"/>
        <v>85.646569213660925</v>
      </c>
      <c r="D81" s="17">
        <f t="shared" si="16"/>
        <v>75.525850588707058</v>
      </c>
      <c r="E81" s="17">
        <f t="shared" si="16"/>
        <v>101.17209429187189</v>
      </c>
      <c r="F81" s="17">
        <f t="shared" si="16"/>
        <v>114.84681156604287</v>
      </c>
      <c r="G81" s="17">
        <f t="shared" si="16"/>
        <v>80.65595323667128</v>
      </c>
      <c r="H81" s="17">
        <f t="shared" si="16"/>
        <v>59.842806860238916</v>
      </c>
      <c r="I81" s="17">
        <f t="shared" si="16"/>
        <v>86.528055934904145</v>
      </c>
      <c r="J81" s="17">
        <f t="shared" si="16"/>
        <v>82.38659629413668</v>
      </c>
      <c r="K81" s="17">
        <f t="shared" si="16"/>
        <v>82.726542253186565</v>
      </c>
      <c r="L81" s="17">
        <f t="shared" si="16"/>
        <v>55.276710004576813</v>
      </c>
      <c r="M81" s="17">
        <f t="shared" si="16"/>
        <v>71.866158196944198</v>
      </c>
      <c r="N81" s="17">
        <f t="shared" si="16"/>
        <v>994.83730548248877</v>
      </c>
      <c r="O81" s="17">
        <f t="shared" si="16"/>
        <v>1303.2170000000001</v>
      </c>
    </row>
    <row r="82" spans="1:15" ht="15.75" customHeight="1" x14ac:dyDescent="0.25">
      <c r="A82" s="7"/>
      <c r="B82" s="7"/>
      <c r="C82" s="7"/>
      <c r="D82" s="7"/>
      <c r="E82" s="7"/>
      <c r="F82" s="7"/>
      <c r="G82" s="7"/>
      <c r="H82" s="14"/>
      <c r="I82" s="7"/>
      <c r="J82" s="7"/>
      <c r="K82" s="7"/>
      <c r="L82" s="7"/>
      <c r="M82" s="7"/>
      <c r="N82" s="7"/>
      <c r="O82" s="7"/>
    </row>
    <row r="83" spans="1:15" ht="18.75" customHeight="1" x14ac:dyDescent="0.3">
      <c r="A83" s="7"/>
      <c r="B83" s="12" t="s">
        <v>46</v>
      </c>
      <c r="C83" s="12" t="s">
        <v>46</v>
      </c>
      <c r="D83" s="12" t="s">
        <v>46</v>
      </c>
      <c r="E83" s="12" t="s">
        <v>46</v>
      </c>
      <c r="F83" s="12" t="s">
        <v>46</v>
      </c>
      <c r="G83" s="12" t="s">
        <v>46</v>
      </c>
      <c r="H83" s="12" t="s">
        <v>46</v>
      </c>
      <c r="I83" s="12" t="s">
        <v>46</v>
      </c>
      <c r="J83" s="12" t="s">
        <v>46</v>
      </c>
      <c r="K83" s="12" t="s">
        <v>46</v>
      </c>
      <c r="L83" s="12" t="s">
        <v>46</v>
      </c>
      <c r="M83" s="12" t="s">
        <v>46</v>
      </c>
      <c r="N83" s="12" t="s">
        <v>46</v>
      </c>
      <c r="O83" s="12" t="s">
        <v>46</v>
      </c>
    </row>
    <row r="84" spans="1:15" ht="15" customHeight="1" x14ac:dyDescent="0.25">
      <c r="A84" s="7" t="s">
        <v>17</v>
      </c>
      <c r="B84" s="13">
        <f>'Mensual 2024'!C110</f>
        <v>0.45654489216000005</v>
      </c>
      <c r="C84" s="13">
        <f>'Mensual 2024'!D110</f>
        <v>0.31168163880000005</v>
      </c>
      <c r="D84" s="13">
        <f>'Mensual 2024'!E110</f>
        <v>0.31788011304000002</v>
      </c>
      <c r="E84" s="13">
        <f>'Mensual 2024'!F110</f>
        <v>0.53260591608000007</v>
      </c>
      <c r="F84" s="13">
        <f>'Mensual 2024'!G110</f>
        <v>0.81799620336000012</v>
      </c>
      <c r="G84" s="13">
        <f>'Mensual 2024'!H110</f>
        <v>0.15025075127999998</v>
      </c>
      <c r="H84" s="13">
        <f>'Mensual 2024'!I110</f>
        <v>9.5054284080000023E-2</v>
      </c>
      <c r="I84" s="13">
        <f>'Mensual 2024'!J110</f>
        <v>0.31159469880000007</v>
      </c>
      <c r="J84" s="13">
        <f>'Mensual 2024'!K110</f>
        <v>0.28805030352000005</v>
      </c>
      <c r="K84" s="13">
        <f>'Mensual 2024'!L110</f>
        <v>0.25603343136000001</v>
      </c>
      <c r="L84" s="13">
        <f>'Mensual 2024'!M110</f>
        <v>5.9291341200000014E-2</v>
      </c>
      <c r="M84" s="13">
        <f>'Mensual 2024'!N110</f>
        <v>0.11461439304000003</v>
      </c>
      <c r="N84" s="13">
        <f t="shared" ref="N84:N90" si="17">SUM(B84:M84)</f>
        <v>3.7115979667200003</v>
      </c>
      <c r="O84" s="14">
        <v>9.41</v>
      </c>
    </row>
    <row r="85" spans="1:15" ht="15" customHeight="1" x14ac:dyDescent="0.25">
      <c r="A85" s="7" t="s">
        <v>41</v>
      </c>
      <c r="B85" s="13">
        <f>'Mensual 2024'!C111</f>
        <v>0.38425861756800006</v>
      </c>
      <c r="C85" s="13">
        <f>'Mensual 2024'!D111</f>
        <v>0.26233204599000004</v>
      </c>
      <c r="D85" s="13">
        <f>'Mensual 2024'!E111</f>
        <v>0.26754909514199998</v>
      </c>
      <c r="E85" s="13">
        <f>'Mensual 2024'!F111</f>
        <v>0.44827664603400008</v>
      </c>
      <c r="F85" s="13">
        <f>'Mensual 2024'!G111</f>
        <v>0.68848013782799999</v>
      </c>
      <c r="G85" s="13">
        <f>'Mensual 2024'!H111</f>
        <v>0.12646104899399999</v>
      </c>
      <c r="H85" s="13">
        <f>'Mensual 2024'!I111</f>
        <v>8.0004022434000011E-2</v>
      </c>
      <c r="I85" s="13">
        <f>'Mensual 2024'!J111</f>
        <v>0.26225887148999999</v>
      </c>
      <c r="J85" s="13">
        <f>'Mensual 2024'!K111</f>
        <v>0.24244233879600002</v>
      </c>
      <c r="K85" s="13">
        <f>'Mensual 2024'!L111</f>
        <v>0.21549480472800003</v>
      </c>
      <c r="L85" s="13">
        <f>'Mensual 2024'!M111</f>
        <v>4.9903545510000008E-2</v>
      </c>
      <c r="M85" s="13">
        <f>'Mensual 2024'!N111</f>
        <v>9.6467114142000016E-2</v>
      </c>
      <c r="N85" s="13">
        <f t="shared" si="17"/>
        <v>3.1239282886559998</v>
      </c>
      <c r="O85" s="14">
        <v>395.87</v>
      </c>
    </row>
    <row r="86" spans="1:15" ht="15" customHeight="1" x14ac:dyDescent="0.25">
      <c r="A86" s="7" t="s">
        <v>20</v>
      </c>
      <c r="B86" s="13">
        <f>'Mensual 2024'!C112</f>
        <v>33.479958758400002</v>
      </c>
      <c r="C86" s="13">
        <f>'Mensual 2024'!D112</f>
        <v>22.856653512000001</v>
      </c>
      <c r="D86" s="13">
        <f>'Mensual 2024'!E112</f>
        <v>23.3112082896</v>
      </c>
      <c r="E86" s="13">
        <f>'Mensual 2024'!F112</f>
        <v>39.057767179199999</v>
      </c>
      <c r="F86" s="13">
        <f>'Mensual 2024'!G112</f>
        <v>59.986388246400004</v>
      </c>
      <c r="G86" s="13">
        <f>'Mensual 2024'!H112</f>
        <v>11.018388427199998</v>
      </c>
      <c r="H86" s="13">
        <f>'Mensual 2024'!I112</f>
        <v>6.9706474992</v>
      </c>
      <c r="I86" s="13">
        <f>'Mensual 2024'!J112</f>
        <v>22.850277912000003</v>
      </c>
      <c r="J86" s="13">
        <f>'Mensual 2024'!K112</f>
        <v>21.1236889248</v>
      </c>
      <c r="K86" s="13">
        <f>'Mensual 2024'!L112</f>
        <v>18.7757849664</v>
      </c>
      <c r="L86" s="13">
        <f>'Mensual 2024'!M112</f>
        <v>4.3480316880000007</v>
      </c>
      <c r="M86" s="13">
        <f>'Mensual 2024'!N112</f>
        <v>8.4050554896000023</v>
      </c>
      <c r="N86" s="13">
        <f t="shared" si="17"/>
        <v>272.18385089279997</v>
      </c>
      <c r="O86" s="14">
        <v>689.83</v>
      </c>
    </row>
    <row r="87" spans="1:15" ht="15" customHeight="1" x14ac:dyDescent="0.25">
      <c r="A87" s="7" t="s">
        <v>22</v>
      </c>
      <c r="B87" s="13">
        <f>'Mensual 2024'!C113</f>
        <v>1.5598617148800002E-2</v>
      </c>
      <c r="C87" s="13">
        <f>'Mensual 2024'!D113</f>
        <v>1.0649122659000001E-2</v>
      </c>
      <c r="D87" s="13">
        <f>'Mensual 2024'!E113</f>
        <v>1.0860903862200001E-2</v>
      </c>
      <c r="E87" s="13">
        <f>'Mensual 2024'!F113</f>
        <v>1.81973687994E-2</v>
      </c>
      <c r="F87" s="13">
        <f>'Mensual 2024'!G113</f>
        <v>2.79482036148E-2</v>
      </c>
      <c r="G87" s="13">
        <f>'Mensual 2024'!H113</f>
        <v>5.1335673353999998E-3</v>
      </c>
      <c r="H87" s="13">
        <f>'Mensual 2024'!I113</f>
        <v>3.2476880394000001E-3</v>
      </c>
      <c r="I87" s="13">
        <f>'Mensual 2024'!J113</f>
        <v>1.0646152209E-2</v>
      </c>
      <c r="J87" s="13">
        <f>'Mensual 2024'!K113</f>
        <v>9.8417187036000005E-3</v>
      </c>
      <c r="K87" s="13">
        <f>'Mensual 2024'!L113</f>
        <v>8.7478089048000016E-3</v>
      </c>
      <c r="L87" s="13">
        <f>'Mensual 2024'!M113</f>
        <v>2.0257874910000005E-3</v>
      </c>
      <c r="M87" s="13">
        <f>'Mensual 2024'!N113</f>
        <v>3.9159917622000008E-3</v>
      </c>
      <c r="N87" s="13">
        <f t="shared" si="17"/>
        <v>0.12681293052959999</v>
      </c>
      <c r="O87" s="14">
        <v>0.32</v>
      </c>
    </row>
    <row r="88" spans="1:15" ht="15" customHeight="1" x14ac:dyDescent="0.25">
      <c r="A88" s="7" t="s">
        <v>21</v>
      </c>
      <c r="B88" s="13">
        <f>'Mensual 2024'!C114</f>
        <v>0.12554984534399999</v>
      </c>
      <c r="C88" s="13">
        <f>'Mensual 2024'!D114</f>
        <v>8.5712450670000009E-2</v>
      </c>
      <c r="D88" s="13">
        <f>'Mensual 2024'!E114</f>
        <v>8.7417031086000019E-2</v>
      </c>
      <c r="E88" s="13">
        <f>'Mensual 2024'!F114</f>
        <v>0.14646662692200002</v>
      </c>
      <c r="F88" s="13">
        <f>'Mensual 2024'!G114</f>
        <v>0.22494895592399999</v>
      </c>
      <c r="G88" s="13">
        <f>'Mensual 2024'!H114</f>
        <v>4.1318956602000002E-2</v>
      </c>
      <c r="H88" s="13">
        <f>'Mensual 2024'!I114</f>
        <v>2.6139928122000004E-2</v>
      </c>
      <c r="I88" s="13">
        <f>'Mensual 2024'!J114</f>
        <v>8.5688542170000007E-2</v>
      </c>
      <c r="J88" s="13">
        <f>'Mensual 2024'!K114</f>
        <v>7.9213833468000011E-2</v>
      </c>
      <c r="K88" s="13">
        <f>'Mensual 2024'!L114</f>
        <v>7.0409193624000013E-2</v>
      </c>
      <c r="L88" s="13">
        <f>'Mensual 2024'!M114</f>
        <v>1.6305118830000007E-2</v>
      </c>
      <c r="M88" s="13">
        <f>'Mensual 2024'!N114</f>
        <v>3.1518958086000005E-2</v>
      </c>
      <c r="N88" s="13">
        <f t="shared" si="17"/>
        <v>1.0206894408480001</v>
      </c>
      <c r="O88" s="14">
        <v>2.59</v>
      </c>
    </row>
    <row r="89" spans="1:15" ht="15" customHeight="1" x14ac:dyDescent="0.25">
      <c r="A89" s="7" t="s">
        <v>23</v>
      </c>
      <c r="B89" s="13">
        <f>'Mensual 2024'!C115</f>
        <v>5.3263570752000011E-4</v>
      </c>
      <c r="C89" s="13">
        <f>'Mensual 2024'!D115</f>
        <v>3.6362857860000001E-4</v>
      </c>
      <c r="D89" s="13">
        <f>'Mensual 2024'!E115</f>
        <v>3.7086013188000007E-4</v>
      </c>
      <c r="E89" s="13">
        <f>'Mensual 2024'!F115</f>
        <v>6.2137356875999997E-4</v>
      </c>
      <c r="F89" s="13">
        <f>'Mensual 2024'!G115</f>
        <v>9.543289039200001E-4</v>
      </c>
      <c r="G89" s="13">
        <f>'Mensual 2024'!H115</f>
        <v>1.7529254316000001E-4</v>
      </c>
      <c r="H89" s="13">
        <f>'Mensual 2024'!I115</f>
        <v>1.1089666475999999E-4</v>
      </c>
      <c r="I89" s="13">
        <f>'Mensual 2024'!J115</f>
        <v>3.6352714859999997E-4</v>
      </c>
      <c r="J89" s="13">
        <f>'Mensual 2024'!K115</f>
        <v>3.3605868744000008E-4</v>
      </c>
      <c r="K89" s="13">
        <f>'Mensual 2024'!L115</f>
        <v>2.9870566992000003E-4</v>
      </c>
      <c r="L89" s="13">
        <f>'Mensual 2024'!M115</f>
        <v>6.9173231400000015E-5</v>
      </c>
      <c r="M89" s="13">
        <f>'Mensual 2024'!N115</f>
        <v>1.3371679188000003E-4</v>
      </c>
      <c r="N89" s="13">
        <f t="shared" si="17"/>
        <v>4.3301976278400014E-3</v>
      </c>
      <c r="O89" s="23">
        <v>1.0999999999999999E-2</v>
      </c>
    </row>
    <row r="90" spans="1:15" ht="15" customHeight="1" x14ac:dyDescent="0.25">
      <c r="A90" s="7" t="s">
        <v>24</v>
      </c>
      <c r="B90" s="13">
        <f>'Mensual 2024'!C116</f>
        <v>6224.6754819321814</v>
      </c>
      <c r="C90" s="13">
        <f>'Mensual 2024'!D116</f>
        <v>4249.564694564302</v>
      </c>
      <c r="D90" s="13">
        <f>'Mensual 2024'!E116</f>
        <v>4334.0766260078235</v>
      </c>
      <c r="E90" s="13">
        <f>'Mensual 2024'!F116</f>
        <v>7261.7152098009474</v>
      </c>
      <c r="F90" s="13">
        <f>'Mensual 2024'!G116</f>
        <v>11152.815415979187</v>
      </c>
      <c r="G90" s="13">
        <f>'Mensual 2024'!H116</f>
        <v>2048.5656146750534</v>
      </c>
      <c r="H90" s="13">
        <f>'Mensual 2024'!I116</f>
        <v>1295.9997619643339</v>
      </c>
      <c r="I90" s="13">
        <f>'Mensual 2024'!J116</f>
        <v>4248.3793274827885</v>
      </c>
      <c r="J90" s="13">
        <f>'Mensual 2024'!K116</f>
        <v>3927.3676974041987</v>
      </c>
      <c r="K90" s="13">
        <f>'Mensual 2024'!L116</f>
        <v>3490.8396744980428</v>
      </c>
      <c r="L90" s="13">
        <f>'Mensual 2024'!M116</f>
        <v>808.39664224996318</v>
      </c>
      <c r="M90" s="13">
        <f>'Mensual 2024'!N116</f>
        <v>1562.6883894313651</v>
      </c>
      <c r="N90" s="13">
        <f t="shared" si="17"/>
        <v>50605.084535990187</v>
      </c>
      <c r="O90" s="24" t="s">
        <v>25</v>
      </c>
    </row>
    <row r="91" spans="1:15" ht="19.5" customHeight="1" x14ac:dyDescent="0.3">
      <c r="A91" s="16" t="s">
        <v>26</v>
      </c>
      <c r="B91" s="17">
        <f t="shared" ref="B91:O91" si="18">SUM(B84:B89)</f>
        <v>34.462443366328316</v>
      </c>
      <c r="C91" s="17">
        <f t="shared" si="18"/>
        <v>23.527392398697604</v>
      </c>
      <c r="D91" s="17">
        <f t="shared" si="18"/>
        <v>23.99528629286208</v>
      </c>
      <c r="E91" s="17">
        <f t="shared" si="18"/>
        <v>40.203935110604156</v>
      </c>
      <c r="F91" s="17">
        <f t="shared" si="18"/>
        <v>61.746716076030722</v>
      </c>
      <c r="G91" s="17">
        <f t="shared" si="18"/>
        <v>11.341728043954559</v>
      </c>
      <c r="H91" s="17">
        <f t="shared" si="18"/>
        <v>7.1752043185401595</v>
      </c>
      <c r="I91" s="17">
        <f t="shared" si="18"/>
        <v>23.520829703817604</v>
      </c>
      <c r="J91" s="17">
        <f t="shared" si="18"/>
        <v>21.743573177975041</v>
      </c>
      <c r="K91" s="17">
        <f t="shared" si="18"/>
        <v>19.32676891068672</v>
      </c>
      <c r="L91" s="17">
        <f t="shared" si="18"/>
        <v>4.4756266542624008</v>
      </c>
      <c r="M91" s="17">
        <f t="shared" si="18"/>
        <v>8.6517056634220815</v>
      </c>
      <c r="N91" s="17">
        <f t="shared" si="18"/>
        <v>280.1712097171814</v>
      </c>
      <c r="O91" s="17">
        <f t="shared" si="18"/>
        <v>1098.0309999999999</v>
      </c>
    </row>
    <row r="92" spans="1:15" ht="15.7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1:15" ht="18.75" customHeight="1" x14ac:dyDescent="0.3">
      <c r="A93" s="7"/>
      <c r="B93" s="12" t="s">
        <v>47</v>
      </c>
      <c r="C93" s="12" t="s">
        <v>47</v>
      </c>
      <c r="D93" s="12" t="s">
        <v>47</v>
      </c>
      <c r="E93" s="12" t="s">
        <v>47</v>
      </c>
      <c r="F93" s="12" t="s">
        <v>47</v>
      </c>
      <c r="G93" s="12" t="s">
        <v>47</v>
      </c>
      <c r="H93" s="12" t="s">
        <v>47</v>
      </c>
      <c r="I93" s="12" t="s">
        <v>47</v>
      </c>
      <c r="J93" s="12" t="s">
        <v>47</v>
      </c>
      <c r="K93" s="12" t="s">
        <v>47</v>
      </c>
      <c r="L93" s="12" t="s">
        <v>47</v>
      </c>
      <c r="M93" s="12" t="s">
        <v>47</v>
      </c>
      <c r="N93" s="12" t="s">
        <v>47</v>
      </c>
      <c r="O93" s="12" t="s">
        <v>47</v>
      </c>
    </row>
    <row r="94" spans="1:15" ht="15" customHeight="1" x14ac:dyDescent="0.25">
      <c r="A94" s="7" t="s">
        <v>17</v>
      </c>
      <c r="B94" s="13">
        <f>'Mensual 2024'!C146</f>
        <v>0</v>
      </c>
      <c r="C94" s="13">
        <f>'Mensual 2024'!D146</f>
        <v>0.12105108287999999</v>
      </c>
      <c r="D94" s="13">
        <f>'Mensual 2024'!E146</f>
        <v>0.10451405160000002</v>
      </c>
      <c r="E94" s="13">
        <f>'Mensual 2024'!F146</f>
        <v>0.21653693712000002</v>
      </c>
      <c r="F94" s="13">
        <f>'Mensual 2024'!G146</f>
        <v>0.34049529360000003</v>
      </c>
      <c r="G94" s="13">
        <f>'Mensual 2024'!H146</f>
        <v>0.15323244552000007</v>
      </c>
      <c r="H94" s="13">
        <f>'Mensual 2024'!I146</f>
        <v>6.4908360720000016E-2</v>
      </c>
      <c r="I94" s="13">
        <f>'Mensual 2024'!J146</f>
        <v>0.27752882472000007</v>
      </c>
      <c r="J94" s="13">
        <f>'Mensual 2024'!K146</f>
        <v>0.29179950407999999</v>
      </c>
      <c r="K94" s="13">
        <f>'Mensual 2024'!L146</f>
        <v>0.23102913960000004</v>
      </c>
      <c r="L94" s="13">
        <f>'Mensual 2024'!M146</f>
        <v>4.0330074960000004E-2</v>
      </c>
      <c r="M94" s="13">
        <f>'Mensual 2024'!N146</f>
        <v>7.0820628480000009E-2</v>
      </c>
      <c r="N94" s="13">
        <f t="shared" ref="N94:N100" si="19">SUM(B94:M94)</f>
        <v>1.9122463432800001</v>
      </c>
      <c r="O94" s="14">
        <v>9.86</v>
      </c>
    </row>
    <row r="95" spans="1:15" ht="15" customHeight="1" x14ac:dyDescent="0.25">
      <c r="A95" s="7" t="s">
        <v>41</v>
      </c>
      <c r="B95" s="13">
        <f>'Mensual 2024'!C147</f>
        <v>0</v>
      </c>
      <c r="C95" s="13">
        <f>'Mensual 2024'!D147</f>
        <v>0.101884661424</v>
      </c>
      <c r="D95" s="13">
        <f>'Mensual 2024'!E147</f>
        <v>8.796599343E-2</v>
      </c>
      <c r="E95" s="13">
        <f>'Mensual 2024'!F147</f>
        <v>0.18225192207599999</v>
      </c>
      <c r="F95" s="13">
        <f>'Mensual 2024'!G147</f>
        <v>0.28658353878000004</v>
      </c>
      <c r="G95" s="13">
        <f>'Mensual 2024'!H147</f>
        <v>0.12897064164600003</v>
      </c>
      <c r="H95" s="13">
        <f>'Mensual 2024'!I147</f>
        <v>5.4631203606000003E-2</v>
      </c>
      <c r="I95" s="13">
        <f>'Mensual 2024'!J147</f>
        <v>0.23358676080599999</v>
      </c>
      <c r="J95" s="13">
        <f>'Mensual 2024'!K147</f>
        <v>0.24559791593400002</v>
      </c>
      <c r="K95" s="13">
        <f>'Mensual 2024'!L147</f>
        <v>0.19444952583000003</v>
      </c>
      <c r="L95" s="13">
        <f>'Mensual 2024'!M147</f>
        <v>3.3944479758000003E-2</v>
      </c>
      <c r="M95" s="13">
        <f>'Mensual 2024'!N147</f>
        <v>5.9607362304000003E-2</v>
      </c>
      <c r="N95" s="13">
        <f t="shared" si="19"/>
        <v>1.6094740055940002</v>
      </c>
      <c r="O95" s="14">
        <v>414.78</v>
      </c>
    </row>
    <row r="96" spans="1:15" ht="15" customHeight="1" x14ac:dyDescent="0.25">
      <c r="A96" s="7" t="s">
        <v>20</v>
      </c>
      <c r="B96" s="13">
        <f>'Mensual 2024'!C148</f>
        <v>0</v>
      </c>
      <c r="C96" s="13">
        <f>'Mensual 2024'!D148</f>
        <v>8.8770794112000004</v>
      </c>
      <c r="D96" s="13">
        <f>'Mensual 2024'!E148</f>
        <v>7.6643637840000007</v>
      </c>
      <c r="E96" s="13">
        <f>'Mensual 2024'!F148</f>
        <v>15.879375388800003</v>
      </c>
      <c r="F96" s="13">
        <f>'Mensual 2024'!G148</f>
        <v>24.969654864000002</v>
      </c>
      <c r="G96" s="13">
        <f>'Mensual 2024'!H148</f>
        <v>11.237046004800002</v>
      </c>
      <c r="H96" s="13">
        <f>'Mensual 2024'!I148</f>
        <v>4.7599464528000004</v>
      </c>
      <c r="I96" s="13">
        <f>'Mensual 2024'!J148</f>
        <v>20.352113812800003</v>
      </c>
      <c r="J96" s="13">
        <f>'Mensual 2024'!K148</f>
        <v>21.398630299200001</v>
      </c>
      <c r="K96" s="13">
        <f>'Mensual 2024'!L148</f>
        <v>16.942136904000002</v>
      </c>
      <c r="L96" s="13">
        <f>'Mensual 2024'!M148</f>
        <v>2.9575388304000003</v>
      </c>
      <c r="M96" s="13">
        <f>'Mensual 2024'!N148</f>
        <v>5.1935127552000004</v>
      </c>
      <c r="N96" s="13">
        <f t="shared" si="19"/>
        <v>140.23139850720003</v>
      </c>
      <c r="O96" s="14">
        <v>722.78</v>
      </c>
    </row>
    <row r="97" spans="1:15" ht="15" customHeight="1" x14ac:dyDescent="0.25">
      <c r="A97" s="7" t="s">
        <v>22</v>
      </c>
      <c r="B97" s="13">
        <f>'Mensual 2024'!C149</f>
        <v>0</v>
      </c>
      <c r="C97" s="13">
        <f>'Mensual 2024'!D149</f>
        <v>4.1359119983999998E-3</v>
      </c>
      <c r="D97" s="13">
        <f>'Mensual 2024'!E149</f>
        <v>3.570896763E-3</v>
      </c>
      <c r="E97" s="13">
        <f>'Mensual 2024'!F149</f>
        <v>7.3983453516000015E-3</v>
      </c>
      <c r="F97" s="13">
        <f>'Mensual 2024'!G149</f>
        <v>1.1633589198000002E-2</v>
      </c>
      <c r="G97" s="13">
        <f>'Mensual 2024'!H149</f>
        <v>5.2354418886000004E-3</v>
      </c>
      <c r="H97" s="13">
        <f>'Mensual 2024'!I149</f>
        <v>2.2177023246000003E-3</v>
      </c>
      <c r="I97" s="13">
        <f>'Mensual 2024'!J149</f>
        <v>9.4822348446000002E-3</v>
      </c>
      <c r="J97" s="13">
        <f>'Mensual 2024'!K149</f>
        <v>9.9698163893999995E-3</v>
      </c>
      <c r="K97" s="13">
        <f>'Mensual 2024'!L149</f>
        <v>7.893495603000001E-3</v>
      </c>
      <c r="L97" s="13">
        <f>'Mensual 2024'!M149</f>
        <v>1.3779442278000001E-3</v>
      </c>
      <c r="M97" s="13">
        <f>'Mensual 2024'!N149</f>
        <v>2.4197048064000001E-3</v>
      </c>
      <c r="N97" s="13">
        <f t="shared" si="19"/>
        <v>6.5335083395400007E-2</v>
      </c>
      <c r="O97" s="14">
        <v>0.34</v>
      </c>
    </row>
    <row r="98" spans="1:15" ht="15" customHeight="1" x14ac:dyDescent="0.25">
      <c r="A98" s="7" t="s">
        <v>21</v>
      </c>
      <c r="B98" s="13">
        <f>'Mensual 2024'!C150</f>
        <v>0</v>
      </c>
      <c r="C98" s="13">
        <f>'Mensual 2024'!D150</f>
        <v>3.3289047791999996E-2</v>
      </c>
      <c r="D98" s="13">
        <f>'Mensual 2024'!E150</f>
        <v>2.874136419E-2</v>
      </c>
      <c r="E98" s="13">
        <f>'Mensual 2024'!F150</f>
        <v>5.954765770800001E-2</v>
      </c>
      <c r="F98" s="13">
        <f>'Mensual 2024'!G150</f>
        <v>9.3636205740000006E-2</v>
      </c>
      <c r="G98" s="13">
        <f>'Mensual 2024'!H150</f>
        <v>4.2138922518000006E-2</v>
      </c>
      <c r="H98" s="13">
        <f>'Mensual 2024'!I150</f>
        <v>1.7849799198000001E-2</v>
      </c>
      <c r="I98" s="13">
        <f>'Mensual 2024'!J150</f>
        <v>7.6320426797999996E-2</v>
      </c>
      <c r="J98" s="13">
        <f>'Mensual 2024'!K150</f>
        <v>8.0244863621999993E-2</v>
      </c>
      <c r="K98" s="13">
        <f>'Mensual 2024'!L150</f>
        <v>6.3533013390000004E-2</v>
      </c>
      <c r="L98" s="13">
        <f>'Mensual 2024'!M150</f>
        <v>1.1090770614E-2</v>
      </c>
      <c r="M98" s="13">
        <f>'Mensual 2024'!N150</f>
        <v>1.9475672832E-2</v>
      </c>
      <c r="N98" s="13">
        <f t="shared" si="19"/>
        <v>0.52586774440200013</v>
      </c>
      <c r="O98" s="14">
        <v>2.71</v>
      </c>
    </row>
    <row r="99" spans="1:15" ht="15" customHeight="1" x14ac:dyDescent="0.25">
      <c r="A99" s="7" t="s">
        <v>23</v>
      </c>
      <c r="B99" s="13">
        <f>'Mensual 2024'!C151</f>
        <v>0</v>
      </c>
      <c r="C99" s="13">
        <f>'Mensual 2024'!D151</f>
        <v>1.4122626336000003E-4</v>
      </c>
      <c r="D99" s="13">
        <f>'Mensual 2024'!E151</f>
        <v>1.2193306020000001E-4</v>
      </c>
      <c r="E99" s="13">
        <f>'Mensual 2024'!F151</f>
        <v>2.5262642664000001E-4</v>
      </c>
      <c r="F99" s="13">
        <f>'Mensual 2024'!G151</f>
        <v>3.9724450920000003E-4</v>
      </c>
      <c r="G99" s="13">
        <f>'Mensual 2024'!H151</f>
        <v>1.7877118644000006E-4</v>
      </c>
      <c r="H99" s="13">
        <f>'Mensual 2024'!I151</f>
        <v>7.5726420840000014E-5</v>
      </c>
      <c r="I99" s="13">
        <f>'Mensual 2024'!J151</f>
        <v>3.2378362884E-4</v>
      </c>
      <c r="J99" s="13">
        <f>'Mensual 2024'!K151</f>
        <v>3.4043275475999999E-4</v>
      </c>
      <c r="K99" s="13">
        <f>'Mensual 2024'!L151</f>
        <v>2.6953399620000001E-4</v>
      </c>
      <c r="L99" s="13">
        <f>'Mensual 2024'!M151</f>
        <v>4.7051754120000001E-5</v>
      </c>
      <c r="M99" s="13">
        <f>'Mensual 2024'!N151</f>
        <v>8.2624066559999998E-5</v>
      </c>
      <c r="N99" s="13">
        <f t="shared" si="19"/>
        <v>2.2309540671600005E-3</v>
      </c>
      <c r="O99" s="23">
        <v>1.0999999999999999E-2</v>
      </c>
    </row>
    <row r="100" spans="1:15" ht="15" customHeight="1" x14ac:dyDescent="0.25">
      <c r="A100" s="7" t="s">
        <v>24</v>
      </c>
      <c r="B100" s="13">
        <f>'Mensual 2024'!C152</f>
        <v>0</v>
      </c>
      <c r="C100" s="13">
        <f>'Mensual 2024'!D152</f>
        <v>1650.4482266782318</v>
      </c>
      <c r="D100" s="13">
        <f>'Mensual 2024'!E152</f>
        <v>1424.977183369557</v>
      </c>
      <c r="E100" s="13">
        <f>'Mensual 2024'!F152</f>
        <v>2952.3321508351946</v>
      </c>
      <c r="F100" s="13">
        <f>'Mensual 2024'!G152</f>
        <v>4642.4190527192077</v>
      </c>
      <c r="G100" s="13">
        <f>'Mensual 2024'!H152</f>
        <v>2089.2189641026098</v>
      </c>
      <c r="H100" s="13">
        <f>'Mensual 2024'!I152</f>
        <v>884.98083865232923</v>
      </c>
      <c r="I100" s="13">
        <f>'Mensual 2024'!J152</f>
        <v>3783.9145731995436</v>
      </c>
      <c r="J100" s="13">
        <f>'Mensual 2024'!K152</f>
        <v>3978.4854674273479</v>
      </c>
      <c r="K100" s="13">
        <f>'Mensual 2024'!L152</f>
        <v>3149.9233603866928</v>
      </c>
      <c r="L100" s="13">
        <f>'Mensual 2024'!M152</f>
        <v>549.87282324039097</v>
      </c>
      <c r="M100" s="13">
        <f>'Mensual 2024'!N152</f>
        <v>965.590541663512</v>
      </c>
      <c r="N100" s="13">
        <f t="shared" si="19"/>
        <v>26072.163182274617</v>
      </c>
      <c r="O100" s="24" t="s">
        <v>25</v>
      </c>
    </row>
    <row r="101" spans="1:15" ht="19.5" customHeight="1" x14ac:dyDescent="0.3">
      <c r="A101" s="16" t="s">
        <v>26</v>
      </c>
      <c r="B101" s="17">
        <f t="shared" ref="B101:O101" si="20">SUM(B94:B99)</f>
        <v>0</v>
      </c>
      <c r="C101" s="17">
        <f t="shared" si="20"/>
        <v>9.1375813415577589</v>
      </c>
      <c r="D101" s="17">
        <f t="shared" si="20"/>
        <v>7.8892780230432002</v>
      </c>
      <c r="E101" s="17">
        <f t="shared" si="20"/>
        <v>16.345362877482241</v>
      </c>
      <c r="F101" s="17">
        <f t="shared" si="20"/>
        <v>25.702400735827204</v>
      </c>
      <c r="G101" s="17">
        <f t="shared" si="20"/>
        <v>11.566802227559039</v>
      </c>
      <c r="H101" s="17">
        <f t="shared" si="20"/>
        <v>4.8996292450694403</v>
      </c>
      <c r="I101" s="17">
        <f t="shared" si="20"/>
        <v>20.949355843597441</v>
      </c>
      <c r="J101" s="17">
        <f t="shared" si="20"/>
        <v>22.026582831980161</v>
      </c>
      <c r="K101" s="17">
        <f t="shared" si="20"/>
        <v>17.4393116124192</v>
      </c>
      <c r="L101" s="17">
        <f t="shared" si="20"/>
        <v>3.0443291517139204</v>
      </c>
      <c r="M101" s="17">
        <f t="shared" si="20"/>
        <v>5.3459187476889598</v>
      </c>
      <c r="N101" s="17">
        <f t="shared" si="20"/>
        <v>144.3465526379386</v>
      </c>
      <c r="O101" s="17">
        <f t="shared" si="20"/>
        <v>1150.481</v>
      </c>
    </row>
    <row r="102" spans="1:15" ht="15.7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1:15" ht="18.75" customHeight="1" x14ac:dyDescent="0.3">
      <c r="A103" s="7"/>
      <c r="B103" s="12" t="s">
        <v>48</v>
      </c>
      <c r="C103" s="12" t="s">
        <v>48</v>
      </c>
      <c r="D103" s="12" t="s">
        <v>48</v>
      </c>
      <c r="E103" s="12" t="s">
        <v>48</v>
      </c>
      <c r="F103" s="12" t="s">
        <v>48</v>
      </c>
      <c r="G103" s="12" t="s">
        <v>48</v>
      </c>
      <c r="H103" s="12" t="s">
        <v>48</v>
      </c>
      <c r="I103" s="12" t="s">
        <v>48</v>
      </c>
      <c r="J103" s="12" t="s">
        <v>48</v>
      </c>
      <c r="K103" s="12" t="s">
        <v>48</v>
      </c>
      <c r="L103" s="12" t="s">
        <v>48</v>
      </c>
      <c r="M103" s="12" t="s">
        <v>48</v>
      </c>
      <c r="N103" s="12" t="s">
        <v>48</v>
      </c>
      <c r="O103" s="12" t="s">
        <v>48</v>
      </c>
    </row>
    <row r="104" spans="1:15" ht="15" customHeight="1" x14ac:dyDescent="0.25">
      <c r="A104" s="7" t="s">
        <v>17</v>
      </c>
      <c r="B104" s="13">
        <f>'Mensual 2024'!C134</f>
        <v>0</v>
      </c>
      <c r="C104" s="13">
        <f>'Mensual 2024'!D134</f>
        <v>0</v>
      </c>
      <c r="D104" s="13">
        <f>'Mensual 2024'!E134</f>
        <v>0</v>
      </c>
      <c r="E104" s="13">
        <f>'Mensual 2024'!F134</f>
        <v>0</v>
      </c>
      <c r="F104" s="13">
        <f>'Mensual 2024'!G134</f>
        <v>0</v>
      </c>
      <c r="G104" s="13">
        <f>'Mensual 2024'!H134</f>
        <v>0</v>
      </c>
      <c r="H104" s="13">
        <f>'Mensual 2024'!I134</f>
        <v>0</v>
      </c>
      <c r="I104" s="13">
        <f>'Mensual 2024'!J134</f>
        <v>0</v>
      </c>
      <c r="J104" s="13">
        <f>'Mensual 2024'!K134</f>
        <v>0</v>
      </c>
      <c r="K104" s="13">
        <f>'Mensual 2024'!L134</f>
        <v>0</v>
      </c>
      <c r="L104" s="13">
        <f>'Mensual 2024'!M134</f>
        <v>0</v>
      </c>
      <c r="M104" s="13">
        <f>'Mensual 2024'!N134</f>
        <v>0</v>
      </c>
      <c r="N104" s="13">
        <f t="shared" ref="N104:N110" si="21">SUM(B104:M104)</f>
        <v>0</v>
      </c>
      <c r="O104" s="14">
        <v>9.41</v>
      </c>
    </row>
    <row r="105" spans="1:15" ht="15" customHeight="1" x14ac:dyDescent="0.25">
      <c r="A105" s="7" t="s">
        <v>41</v>
      </c>
      <c r="B105" s="13">
        <f>'Mensual 2024'!C135</f>
        <v>0</v>
      </c>
      <c r="C105" s="13">
        <f>'Mensual 2024'!D135</f>
        <v>0</v>
      </c>
      <c r="D105" s="13">
        <f>'Mensual 2024'!E135</f>
        <v>0</v>
      </c>
      <c r="E105" s="13">
        <f>'Mensual 2024'!F135</f>
        <v>0</v>
      </c>
      <c r="F105" s="13">
        <f>'Mensual 2024'!G135</f>
        <v>0</v>
      </c>
      <c r="G105" s="13">
        <f>'Mensual 2024'!H135</f>
        <v>0</v>
      </c>
      <c r="H105" s="13">
        <f>'Mensual 2024'!I135</f>
        <v>0</v>
      </c>
      <c r="I105" s="13">
        <f>'Mensual 2024'!J135</f>
        <v>0</v>
      </c>
      <c r="J105" s="13">
        <f>'Mensual 2024'!K135</f>
        <v>0</v>
      </c>
      <c r="K105" s="13">
        <f>'Mensual 2024'!L135</f>
        <v>0</v>
      </c>
      <c r="L105" s="13">
        <f>'Mensual 2024'!M135</f>
        <v>0</v>
      </c>
      <c r="M105" s="13">
        <f>'Mensual 2024'!N135</f>
        <v>0</v>
      </c>
      <c r="N105" s="13">
        <f t="shared" si="21"/>
        <v>0</v>
      </c>
      <c r="O105" s="14">
        <v>395.87</v>
      </c>
    </row>
    <row r="106" spans="1:15" ht="15" customHeight="1" x14ac:dyDescent="0.25">
      <c r="A106" s="7" t="s">
        <v>20</v>
      </c>
      <c r="B106" s="13">
        <f>'Mensual 2024'!C136</f>
        <v>0</v>
      </c>
      <c r="C106" s="13">
        <f>'Mensual 2024'!D136</f>
        <v>0</v>
      </c>
      <c r="D106" s="13">
        <f>'Mensual 2024'!E136</f>
        <v>0</v>
      </c>
      <c r="E106" s="13">
        <f>'Mensual 2024'!F136</f>
        <v>0</v>
      </c>
      <c r="F106" s="13">
        <f>'Mensual 2024'!G136</f>
        <v>0</v>
      </c>
      <c r="G106" s="13">
        <f>'Mensual 2024'!H136</f>
        <v>0</v>
      </c>
      <c r="H106" s="13">
        <f>'Mensual 2024'!I136</f>
        <v>0</v>
      </c>
      <c r="I106" s="13">
        <f>'Mensual 2024'!J136</f>
        <v>0</v>
      </c>
      <c r="J106" s="13">
        <f>'Mensual 2024'!K136</f>
        <v>0</v>
      </c>
      <c r="K106" s="13">
        <f>'Mensual 2024'!L136</f>
        <v>0</v>
      </c>
      <c r="L106" s="13">
        <f>'Mensual 2024'!M136</f>
        <v>0</v>
      </c>
      <c r="M106" s="13">
        <f>'Mensual 2024'!N136</f>
        <v>0</v>
      </c>
      <c r="N106" s="13">
        <f t="shared" si="21"/>
        <v>0</v>
      </c>
      <c r="O106" s="14">
        <v>689.83</v>
      </c>
    </row>
    <row r="107" spans="1:15" ht="15" customHeight="1" x14ac:dyDescent="0.25">
      <c r="A107" s="7" t="s">
        <v>22</v>
      </c>
      <c r="B107" s="13">
        <f>'Mensual 2024'!C137</f>
        <v>0</v>
      </c>
      <c r="C107" s="13">
        <f>'Mensual 2024'!D137</f>
        <v>0</v>
      </c>
      <c r="D107" s="13">
        <f>'Mensual 2024'!E137</f>
        <v>0</v>
      </c>
      <c r="E107" s="13">
        <f>'Mensual 2024'!F137</f>
        <v>0</v>
      </c>
      <c r="F107" s="13">
        <f>'Mensual 2024'!G137</f>
        <v>0</v>
      </c>
      <c r="G107" s="13">
        <f>'Mensual 2024'!H137</f>
        <v>0</v>
      </c>
      <c r="H107" s="13">
        <f>'Mensual 2024'!I137</f>
        <v>0</v>
      </c>
      <c r="I107" s="13">
        <f>'Mensual 2024'!J137</f>
        <v>0</v>
      </c>
      <c r="J107" s="13">
        <f>'Mensual 2024'!K137</f>
        <v>0</v>
      </c>
      <c r="K107" s="13">
        <f>'Mensual 2024'!L137</f>
        <v>0</v>
      </c>
      <c r="L107" s="13">
        <f>'Mensual 2024'!M137</f>
        <v>0</v>
      </c>
      <c r="M107" s="13">
        <f>'Mensual 2024'!N137</f>
        <v>0</v>
      </c>
      <c r="N107" s="13">
        <f t="shared" si="21"/>
        <v>0</v>
      </c>
      <c r="O107" s="14">
        <v>0.32</v>
      </c>
    </row>
    <row r="108" spans="1:15" ht="15" customHeight="1" x14ac:dyDescent="0.25">
      <c r="A108" s="7" t="s">
        <v>21</v>
      </c>
      <c r="B108" s="13">
        <f>'Mensual 2024'!C138</f>
        <v>0</v>
      </c>
      <c r="C108" s="13">
        <f>'Mensual 2024'!D138</f>
        <v>0</v>
      </c>
      <c r="D108" s="13">
        <f>'Mensual 2024'!E138</f>
        <v>0</v>
      </c>
      <c r="E108" s="13">
        <f>'Mensual 2024'!F138</f>
        <v>0</v>
      </c>
      <c r="F108" s="13">
        <f>'Mensual 2024'!G138</f>
        <v>0</v>
      </c>
      <c r="G108" s="13">
        <f>'Mensual 2024'!H138</f>
        <v>0</v>
      </c>
      <c r="H108" s="13">
        <f>'Mensual 2024'!I138</f>
        <v>0</v>
      </c>
      <c r="I108" s="13">
        <f>'Mensual 2024'!J138</f>
        <v>0</v>
      </c>
      <c r="J108" s="13">
        <f>'Mensual 2024'!K138</f>
        <v>0</v>
      </c>
      <c r="K108" s="13">
        <f>'Mensual 2024'!L138</f>
        <v>0</v>
      </c>
      <c r="L108" s="13">
        <f>'Mensual 2024'!M138</f>
        <v>0</v>
      </c>
      <c r="M108" s="13">
        <f>'Mensual 2024'!N138</f>
        <v>0</v>
      </c>
      <c r="N108" s="13">
        <f t="shared" si="21"/>
        <v>0</v>
      </c>
      <c r="O108" s="14">
        <v>2.59</v>
      </c>
    </row>
    <row r="109" spans="1:15" ht="15" customHeight="1" x14ac:dyDescent="0.25">
      <c r="A109" s="7" t="s">
        <v>23</v>
      </c>
      <c r="B109" s="13">
        <f>'Mensual 2024'!C139</f>
        <v>0</v>
      </c>
      <c r="C109" s="13">
        <f>'Mensual 2024'!D139</f>
        <v>0</v>
      </c>
      <c r="D109" s="13">
        <f>'Mensual 2024'!E139</f>
        <v>0</v>
      </c>
      <c r="E109" s="13">
        <f>'Mensual 2024'!F139</f>
        <v>0</v>
      </c>
      <c r="F109" s="13">
        <f>'Mensual 2024'!G139</f>
        <v>0</v>
      </c>
      <c r="G109" s="13">
        <f>'Mensual 2024'!H139</f>
        <v>0</v>
      </c>
      <c r="H109" s="13">
        <f>'Mensual 2024'!I139</f>
        <v>0</v>
      </c>
      <c r="I109" s="13">
        <f>'Mensual 2024'!J139</f>
        <v>0</v>
      </c>
      <c r="J109" s="13">
        <f>'Mensual 2024'!K139</f>
        <v>0</v>
      </c>
      <c r="K109" s="13">
        <f>'Mensual 2024'!L139</f>
        <v>0</v>
      </c>
      <c r="L109" s="13">
        <f>'Mensual 2024'!M139</f>
        <v>0</v>
      </c>
      <c r="M109" s="13">
        <f>'Mensual 2024'!N139</f>
        <v>0</v>
      </c>
      <c r="N109" s="13">
        <f t="shared" si="21"/>
        <v>0</v>
      </c>
      <c r="O109" s="23">
        <v>1.0999999999999999E-2</v>
      </c>
    </row>
    <row r="110" spans="1:15" ht="15" customHeight="1" x14ac:dyDescent="0.25">
      <c r="A110" s="7" t="s">
        <v>24</v>
      </c>
      <c r="B110" s="13">
        <f>'Mensual 2024'!C140</f>
        <v>0</v>
      </c>
      <c r="C110" s="13">
        <f>'Mensual 2024'!D140</f>
        <v>0</v>
      </c>
      <c r="D110" s="13">
        <f>'Mensual 2024'!E140</f>
        <v>0</v>
      </c>
      <c r="E110" s="13">
        <f>'Mensual 2024'!F140</f>
        <v>0</v>
      </c>
      <c r="F110" s="13">
        <f>'Mensual 2024'!G140</f>
        <v>0</v>
      </c>
      <c r="G110" s="13">
        <f>'Mensual 2024'!H140</f>
        <v>0</v>
      </c>
      <c r="H110" s="13">
        <f>'Mensual 2024'!I140</f>
        <v>0</v>
      </c>
      <c r="I110" s="13">
        <f>'Mensual 2024'!J140</f>
        <v>0</v>
      </c>
      <c r="J110" s="13">
        <f>'Mensual 2024'!K140</f>
        <v>0</v>
      </c>
      <c r="K110" s="13">
        <f>'Mensual 2024'!L140</f>
        <v>0</v>
      </c>
      <c r="L110" s="13">
        <f>'Mensual 2024'!M140</f>
        <v>0</v>
      </c>
      <c r="M110" s="13">
        <f>'Mensual 2024'!N140</f>
        <v>0</v>
      </c>
      <c r="N110" s="13">
        <f t="shared" si="21"/>
        <v>0</v>
      </c>
      <c r="O110" s="24" t="s">
        <v>25</v>
      </c>
    </row>
    <row r="111" spans="1:15" ht="19.5" customHeight="1" x14ac:dyDescent="0.3">
      <c r="A111" s="16" t="s">
        <v>26</v>
      </c>
      <c r="B111" s="17">
        <f t="shared" ref="B111:O111" si="22">SUM(B104:B109)</f>
        <v>0</v>
      </c>
      <c r="C111" s="17">
        <f t="shared" si="22"/>
        <v>0</v>
      </c>
      <c r="D111" s="17">
        <f t="shared" si="22"/>
        <v>0</v>
      </c>
      <c r="E111" s="17">
        <f t="shared" si="22"/>
        <v>0</v>
      </c>
      <c r="F111" s="17">
        <f t="shared" si="22"/>
        <v>0</v>
      </c>
      <c r="G111" s="17">
        <f t="shared" si="22"/>
        <v>0</v>
      </c>
      <c r="H111" s="17">
        <f t="shared" si="22"/>
        <v>0</v>
      </c>
      <c r="I111" s="17">
        <f t="shared" si="22"/>
        <v>0</v>
      </c>
      <c r="J111" s="17">
        <f t="shared" si="22"/>
        <v>0</v>
      </c>
      <c r="K111" s="17">
        <f t="shared" si="22"/>
        <v>0</v>
      </c>
      <c r="L111" s="17">
        <f t="shared" si="22"/>
        <v>0</v>
      </c>
      <c r="M111" s="17">
        <f t="shared" si="22"/>
        <v>0</v>
      </c>
      <c r="N111" s="17">
        <f t="shared" si="22"/>
        <v>0</v>
      </c>
      <c r="O111" s="17">
        <f t="shared" si="22"/>
        <v>1098.0309999999999</v>
      </c>
    </row>
    <row r="112" spans="1:15" ht="15.7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1:15" ht="18.75" customHeight="1" x14ac:dyDescent="0.3">
      <c r="A113" s="7"/>
      <c r="B113" s="12" t="s">
        <v>49</v>
      </c>
      <c r="C113" s="12" t="s">
        <v>49</v>
      </c>
      <c r="D113" s="12" t="s">
        <v>49</v>
      </c>
      <c r="E113" s="12" t="s">
        <v>49</v>
      </c>
      <c r="F113" s="12" t="s">
        <v>49</v>
      </c>
      <c r="G113" s="12" t="s">
        <v>49</v>
      </c>
      <c r="H113" s="12" t="s">
        <v>49</v>
      </c>
      <c r="I113" s="12" t="s">
        <v>49</v>
      </c>
      <c r="J113" s="12" t="s">
        <v>49</v>
      </c>
      <c r="K113" s="12" t="s">
        <v>49</v>
      </c>
      <c r="L113" s="12" t="s">
        <v>49</v>
      </c>
      <c r="M113" s="12" t="s">
        <v>49</v>
      </c>
      <c r="N113" s="12" t="s">
        <v>49</v>
      </c>
      <c r="O113" s="12" t="s">
        <v>49</v>
      </c>
    </row>
    <row r="114" spans="1:15" ht="15" customHeight="1" x14ac:dyDescent="0.25">
      <c r="A114" s="7" t="s">
        <v>17</v>
      </c>
      <c r="B114" s="13">
        <f>'Mensual 2024'!C122</f>
        <v>0.14996871792000005</v>
      </c>
      <c r="C114" s="13">
        <f>'Mensual 2024'!D122</f>
        <v>0.10492127856000001</v>
      </c>
      <c r="D114" s="13">
        <f>'Mensual 2024'!E122</f>
        <v>9.0735800400000011E-2</v>
      </c>
      <c r="E114" s="13">
        <f>'Mensual 2024'!F122</f>
        <v>0.17648820000000004</v>
      </c>
      <c r="F114" s="13">
        <f>'Mensual 2024'!G122</f>
        <v>0.32555482848</v>
      </c>
      <c r="G114" s="13">
        <f>'Mensual 2024'!H122</f>
        <v>0.10945502568000003</v>
      </c>
      <c r="H114" s="13">
        <f>'Mensual 2024'!I122</f>
        <v>5.7764327040000001E-2</v>
      </c>
      <c r="I114" s="13">
        <f>'Mensual 2024'!J122</f>
        <v>0.24851381688000004</v>
      </c>
      <c r="J114" s="13">
        <f>'Mensual 2024'!K122</f>
        <v>0.2206954512</v>
      </c>
      <c r="K114" s="13">
        <f>'Mensual 2024'!L122</f>
        <v>0.13299246576000001</v>
      </c>
      <c r="L114" s="13">
        <f>'Mensual 2024'!M122</f>
        <v>3.2274562320000005E-2</v>
      </c>
      <c r="M114" s="13">
        <f>'Mensual 2024'!N122</f>
        <v>4.2382902239999999E-2</v>
      </c>
      <c r="N114" s="13">
        <f t="shared" ref="N114:N120" si="23">SUM(B114:M114)</f>
        <v>1.6917473764800004</v>
      </c>
      <c r="O114" s="14">
        <v>9.41</v>
      </c>
    </row>
    <row r="115" spans="1:15" ht="15" customHeight="1" x14ac:dyDescent="0.25">
      <c r="A115" s="7" t="s">
        <v>41</v>
      </c>
      <c r="B115" s="13">
        <f>'Mensual 2024'!C123</f>
        <v>0.12622367091600001</v>
      </c>
      <c r="C115" s="13">
        <f>'Mensual 2024'!D123</f>
        <v>8.8308742788000008E-2</v>
      </c>
      <c r="D115" s="13">
        <f>'Mensual 2024'!E123</f>
        <v>7.6369298670000002E-2</v>
      </c>
      <c r="E115" s="13">
        <f>'Mensual 2024'!F123</f>
        <v>0.14854423500000002</v>
      </c>
      <c r="F115" s="13">
        <f>'Mensual 2024'!G123</f>
        <v>0.27400864730399999</v>
      </c>
      <c r="G115" s="13">
        <f>'Mensual 2024'!H123</f>
        <v>9.2124646613999994E-2</v>
      </c>
      <c r="H115" s="13">
        <f>'Mensual 2024'!I123</f>
        <v>4.861830859199999E-2</v>
      </c>
      <c r="I115" s="13">
        <f>'Mensual 2024'!J123</f>
        <v>0.20916579587400003</v>
      </c>
      <c r="J115" s="13">
        <f>'Mensual 2024'!K123</f>
        <v>0.18575200475999998</v>
      </c>
      <c r="K115" s="13">
        <f>'Mensual 2024'!L123</f>
        <v>0.11193532534800001</v>
      </c>
      <c r="L115" s="13">
        <f>'Mensual 2024'!M123</f>
        <v>2.7164423286000002E-2</v>
      </c>
      <c r="M115" s="13">
        <f>'Mensual 2024'!N123</f>
        <v>3.5672276052000004E-2</v>
      </c>
      <c r="N115" s="13">
        <f t="shared" si="23"/>
        <v>1.4238873752040002</v>
      </c>
      <c r="O115" s="14">
        <v>395.87</v>
      </c>
    </row>
    <row r="116" spans="1:15" ht="15" customHeight="1" x14ac:dyDescent="0.25">
      <c r="A116" s="7" t="s">
        <v>20</v>
      </c>
      <c r="B116" s="13">
        <f>'Mensual 2024'!C124</f>
        <v>10.997705980800001</v>
      </c>
      <c r="C116" s="13">
        <f>'Mensual 2024'!D124</f>
        <v>7.6942270944000013</v>
      </c>
      <c r="D116" s="13">
        <f>'Mensual 2024'!E124</f>
        <v>6.6539586960000019</v>
      </c>
      <c r="E116" s="13">
        <f>'Mensual 2024'!F124</f>
        <v>12.942468000000002</v>
      </c>
      <c r="F116" s="13">
        <f>'Mensual 2024'!G124</f>
        <v>23.8740207552</v>
      </c>
      <c r="G116" s="13">
        <f>'Mensual 2024'!H124</f>
        <v>8.0267018832000012</v>
      </c>
      <c r="H116" s="13">
        <f>'Mensual 2024'!I124</f>
        <v>4.2360506496000001</v>
      </c>
      <c r="I116" s="13">
        <f>'Mensual 2024'!J124</f>
        <v>18.224346571200002</v>
      </c>
      <c r="J116" s="13">
        <f>'Mensual 2024'!K124</f>
        <v>16.184333087999999</v>
      </c>
      <c r="K116" s="13">
        <f>'Mensual 2024'!L124</f>
        <v>9.7527808224000019</v>
      </c>
      <c r="L116" s="13">
        <f>'Mensual 2024'!M124</f>
        <v>2.3668012367999998</v>
      </c>
      <c r="M116" s="13">
        <f>'Mensual 2024'!N124</f>
        <v>3.1080794976000004</v>
      </c>
      <c r="N116" s="13">
        <f t="shared" si="23"/>
        <v>124.06147427520001</v>
      </c>
      <c r="O116" s="14">
        <v>689.83</v>
      </c>
    </row>
    <row r="117" spans="1:15" ht="15" customHeight="1" x14ac:dyDescent="0.25">
      <c r="A117" s="7" t="s">
        <v>22</v>
      </c>
      <c r="B117" s="13">
        <f>'Mensual 2024'!C125</f>
        <v>5.1239311956000006E-3</v>
      </c>
      <c r="C117" s="13">
        <f>'Mensual 2024'!D125</f>
        <v>3.5848103508000001E-3</v>
      </c>
      <c r="D117" s="13">
        <f>'Mensual 2024'!E125</f>
        <v>3.1001398470000005E-3</v>
      </c>
      <c r="E117" s="13">
        <f>'Mensual 2024'!F125</f>
        <v>6.0300134999999996E-3</v>
      </c>
      <c r="F117" s="13">
        <f>'Mensual 2024'!G125</f>
        <v>1.11231233064E-2</v>
      </c>
      <c r="G117" s="13">
        <f>'Mensual 2024'!H125</f>
        <v>3.7397133774000001E-3</v>
      </c>
      <c r="H117" s="13">
        <f>'Mensual 2024'!I125</f>
        <v>1.9736145072000002E-3</v>
      </c>
      <c r="I117" s="13">
        <f>'Mensual 2024'!J125</f>
        <v>8.4908887434000015E-3</v>
      </c>
      <c r="J117" s="13">
        <f>'Mensual 2024'!K125</f>
        <v>7.5404279159999995E-3</v>
      </c>
      <c r="K117" s="13">
        <f>'Mensual 2024'!L125</f>
        <v>4.5439092468000011E-3</v>
      </c>
      <c r="L117" s="13">
        <f>'Mensual 2024'!M125</f>
        <v>1.1027142126000002E-3</v>
      </c>
      <c r="M117" s="13">
        <f>'Mensual 2024'!N125</f>
        <v>1.4480824932E-3</v>
      </c>
      <c r="N117" s="13">
        <f t="shared" si="23"/>
        <v>5.7801368696400006E-2</v>
      </c>
      <c r="O117" s="23">
        <v>0.32</v>
      </c>
    </row>
    <row r="118" spans="1:15" ht="15" customHeight="1" x14ac:dyDescent="0.25">
      <c r="A118" s="7" t="s">
        <v>21</v>
      </c>
      <c r="B118" s="13">
        <f>'Mensual 2024'!C126</f>
        <v>4.124139742800001E-2</v>
      </c>
      <c r="C118" s="13">
        <f>'Mensual 2024'!D126</f>
        <v>2.8853351603999999E-2</v>
      </c>
      <c r="D118" s="13">
        <f>'Mensual 2024'!E126</f>
        <v>2.4952345110000003E-2</v>
      </c>
      <c r="E118" s="13">
        <f>'Mensual 2024'!F126</f>
        <v>4.8534254999999998E-2</v>
      </c>
      <c r="F118" s="13">
        <f>'Mensual 2024'!G126</f>
        <v>8.9527577832000008E-2</v>
      </c>
      <c r="G118" s="13">
        <f>'Mensual 2024'!H126</f>
        <v>3.0100132062000001E-2</v>
      </c>
      <c r="H118" s="13">
        <f>'Mensual 2024'!I126</f>
        <v>1.5885189936000001E-2</v>
      </c>
      <c r="I118" s="13">
        <f>'Mensual 2024'!J126</f>
        <v>6.8341299642000003E-2</v>
      </c>
      <c r="J118" s="13">
        <f>'Mensual 2024'!K126</f>
        <v>6.0691249079999988E-2</v>
      </c>
      <c r="K118" s="13">
        <f>'Mensual 2024'!L126</f>
        <v>3.6572928084000006E-2</v>
      </c>
      <c r="L118" s="13">
        <f>'Mensual 2024'!M126</f>
        <v>8.8755046380000011E-3</v>
      </c>
      <c r="M118" s="13">
        <f>'Mensual 2024'!N126</f>
        <v>1.1655298116000001E-2</v>
      </c>
      <c r="N118" s="13">
        <f t="shared" si="23"/>
        <v>0.46523052853200014</v>
      </c>
      <c r="O118" s="23">
        <v>2.59</v>
      </c>
    </row>
    <row r="119" spans="1:15" ht="15" customHeight="1" x14ac:dyDescent="0.25">
      <c r="A119" s="7" t="s">
        <v>23</v>
      </c>
      <c r="B119" s="13">
        <f>'Mensual 2024'!C127</f>
        <v>1.7496350424E-4</v>
      </c>
      <c r="C119" s="13">
        <f>'Mensual 2024'!D127</f>
        <v>1.2240815832000002E-4</v>
      </c>
      <c r="D119" s="13">
        <f>'Mensual 2024'!E127</f>
        <v>1.0585843380000001E-4</v>
      </c>
      <c r="E119" s="13">
        <f>'Mensual 2024'!F127</f>
        <v>2.059029E-4</v>
      </c>
      <c r="F119" s="13">
        <f>'Mensual 2024'!G127</f>
        <v>3.7981396656000001E-4</v>
      </c>
      <c r="G119" s="13">
        <f>'Mensual 2024'!H127</f>
        <v>1.2769752996E-4</v>
      </c>
      <c r="H119" s="13">
        <f>'Mensual 2024'!I127</f>
        <v>6.7391714879999997E-5</v>
      </c>
      <c r="I119" s="13">
        <f>'Mensual 2024'!J127</f>
        <v>2.8993278636000003E-4</v>
      </c>
      <c r="J119" s="13">
        <f>'Mensual 2024'!K127</f>
        <v>2.5747802639999997E-4</v>
      </c>
      <c r="K119" s="13">
        <f>'Mensual 2024'!L127</f>
        <v>1.5515787672000004E-4</v>
      </c>
      <c r="L119" s="13">
        <f>'Mensual 2024'!M127</f>
        <v>3.7653656040000001E-5</v>
      </c>
      <c r="M119" s="13">
        <f>'Mensual 2024'!N127</f>
        <v>4.9446719280000009E-5</v>
      </c>
      <c r="N119" s="13">
        <f t="shared" si="23"/>
        <v>1.9737052725599998E-3</v>
      </c>
      <c r="O119" s="25">
        <v>1.0999999999999999E-2</v>
      </c>
    </row>
    <row r="120" spans="1:15" ht="15" customHeight="1" x14ac:dyDescent="0.25">
      <c r="A120" s="7" t="s">
        <v>24</v>
      </c>
      <c r="B120" s="13">
        <f>'Mensual 2024'!C128</f>
        <v>2044.720283862627</v>
      </c>
      <c r="C120" s="13">
        <f>'Mensual 2024'!D128</f>
        <v>1430.5294427793622</v>
      </c>
      <c r="D120" s="13">
        <f>'Mensual 2024'!E128</f>
        <v>1237.1202082914403</v>
      </c>
      <c r="E120" s="13">
        <f>'Mensual 2024'!F128</f>
        <v>2406.2951754705782</v>
      </c>
      <c r="F120" s="13">
        <f>'Mensual 2024'!G128</f>
        <v>4438.7160904954299</v>
      </c>
      <c r="G120" s="13">
        <f>'Mensual 2024'!H128</f>
        <v>1492.3439653460812</v>
      </c>
      <c r="H120" s="13">
        <f>'Mensual 2024'!I128</f>
        <v>787.57685483027569</v>
      </c>
      <c r="I120" s="13">
        <f>'Mensual 2024'!J128</f>
        <v>3388.314904883855</v>
      </c>
      <c r="J120" s="13">
        <f>'Mensual 2024'!K128</f>
        <v>3009.0306290781045</v>
      </c>
      <c r="K120" s="13">
        <f>'Mensual 2024'!L128</f>
        <v>1813.2607660581505</v>
      </c>
      <c r="L120" s="13">
        <f>'Mensual 2024'!M128</f>
        <v>440.04145093575954</v>
      </c>
      <c r="M120" s="13">
        <f>'Mensual 2024'!N128</f>
        <v>577.86171076906646</v>
      </c>
      <c r="N120" s="13">
        <f t="shared" si="23"/>
        <v>23065.811482800727</v>
      </c>
      <c r="O120" s="19" t="s">
        <v>25</v>
      </c>
    </row>
    <row r="121" spans="1:15" ht="19.5" customHeight="1" x14ac:dyDescent="0.3">
      <c r="A121" s="16" t="s">
        <v>26</v>
      </c>
      <c r="B121" s="17">
        <f t="shared" ref="B121:O121" si="24">SUM(B114:B119)</f>
        <v>11.32043866176384</v>
      </c>
      <c r="C121" s="17">
        <f t="shared" si="24"/>
        <v>7.9200176858611204</v>
      </c>
      <c r="D121" s="17">
        <f t="shared" si="24"/>
        <v>6.8492221384608012</v>
      </c>
      <c r="E121" s="17">
        <f t="shared" si="24"/>
        <v>13.322270606400002</v>
      </c>
      <c r="F121" s="17">
        <f t="shared" si="24"/>
        <v>24.574614746088962</v>
      </c>
      <c r="G121" s="17">
        <f t="shared" si="24"/>
        <v>8.2622490984633608</v>
      </c>
      <c r="H121" s="17">
        <f t="shared" si="24"/>
        <v>4.3603594813900806</v>
      </c>
      <c r="I121" s="17">
        <f t="shared" si="24"/>
        <v>18.759148305125759</v>
      </c>
      <c r="J121" s="17">
        <f t="shared" si="24"/>
        <v>16.659269698982396</v>
      </c>
      <c r="K121" s="17">
        <f t="shared" si="24"/>
        <v>10.038980608715521</v>
      </c>
      <c r="L121" s="17">
        <f t="shared" si="24"/>
        <v>2.4362560949126397</v>
      </c>
      <c r="M121" s="17">
        <f t="shared" si="24"/>
        <v>3.1992875032204804</v>
      </c>
      <c r="N121" s="17">
        <f t="shared" si="24"/>
        <v>127.70211462938498</v>
      </c>
      <c r="O121" s="17">
        <f t="shared" si="24"/>
        <v>1098.0309999999999</v>
      </c>
    </row>
    <row r="122" spans="1:15" ht="68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1:15" ht="18.75" customHeight="1" x14ac:dyDescent="0.3">
      <c r="A123" s="7"/>
      <c r="B123" s="26" t="s">
        <v>475</v>
      </c>
      <c r="C123" s="26" t="s">
        <v>475</v>
      </c>
      <c r="D123" s="26" t="s">
        <v>475</v>
      </c>
      <c r="E123" s="26" t="s">
        <v>475</v>
      </c>
      <c r="F123" s="26" t="s">
        <v>475</v>
      </c>
      <c r="G123" s="26" t="s">
        <v>475</v>
      </c>
      <c r="H123" s="26" t="s">
        <v>475</v>
      </c>
      <c r="I123" s="26" t="s">
        <v>475</v>
      </c>
      <c r="J123" s="26" t="s">
        <v>475</v>
      </c>
      <c r="K123" s="26" t="s">
        <v>475</v>
      </c>
      <c r="L123" s="26" t="s">
        <v>475</v>
      </c>
      <c r="M123" s="26" t="s">
        <v>475</v>
      </c>
      <c r="N123" s="26" t="s">
        <v>50</v>
      </c>
      <c r="O123" s="26" t="s">
        <v>51</v>
      </c>
    </row>
    <row r="124" spans="1:15" ht="19.5" customHeight="1" x14ac:dyDescent="0.3">
      <c r="A124" s="7" t="s">
        <v>52</v>
      </c>
      <c r="B124" s="17">
        <f t="shared" ref="B124:O124" si="25">SUM(B12,B30,B47,B61,B71,B81,B91,B101,B111,B121)</f>
        <v>1646.4186819469883</v>
      </c>
      <c r="C124" s="17">
        <f t="shared" si="25"/>
        <v>1930.6899161006315</v>
      </c>
      <c r="D124" s="17">
        <f t="shared" si="25"/>
        <v>1808.7195109049496</v>
      </c>
      <c r="E124" s="17">
        <f t="shared" si="25"/>
        <v>2165.0927473303768</v>
      </c>
      <c r="F124" s="17">
        <f t="shared" si="25"/>
        <v>3983.8876152053622</v>
      </c>
      <c r="G124" s="17">
        <f t="shared" si="25"/>
        <v>4047.8754875667496</v>
      </c>
      <c r="H124" s="17">
        <f t="shared" si="25"/>
        <v>3917.6819524253956</v>
      </c>
      <c r="I124" s="17">
        <f t="shared" si="25"/>
        <v>3989.8587460954336</v>
      </c>
      <c r="J124" s="17">
        <f t="shared" si="25"/>
        <v>3986.6534772772834</v>
      </c>
      <c r="K124" s="17">
        <f t="shared" si="25"/>
        <v>3561.5545512389349</v>
      </c>
      <c r="L124" s="17">
        <f t="shared" si="25"/>
        <v>2703.1759467066099</v>
      </c>
      <c r="M124" s="17">
        <f t="shared" si="25"/>
        <v>2098.8313140947957</v>
      </c>
      <c r="N124" s="17">
        <f t="shared" si="25"/>
        <v>35840.439946893523</v>
      </c>
      <c r="O124" s="17">
        <f t="shared" si="25"/>
        <v>150686.30099999998</v>
      </c>
    </row>
    <row r="125" spans="1:15" ht="15.75" customHeight="1" x14ac:dyDescent="0.25">
      <c r="A125" s="7" t="s">
        <v>53</v>
      </c>
      <c r="B125" s="14">
        <v>6.2298179999999999</v>
      </c>
      <c r="C125" s="14">
        <v>6.341475</v>
      </c>
      <c r="D125" s="14">
        <v>6.6515700000000004</v>
      </c>
      <c r="E125" s="14">
        <v>7.3771599999999999</v>
      </c>
      <c r="F125" s="14">
        <v>10.754788</v>
      </c>
      <c r="G125" s="14">
        <v>11.470338999999999</v>
      </c>
      <c r="H125" s="14">
        <v>10.82663</v>
      </c>
      <c r="I125" s="14">
        <v>11.570912999999999</v>
      </c>
      <c r="J125" s="14">
        <v>11.157813000000001</v>
      </c>
      <c r="K125" s="14">
        <v>10.546614</v>
      </c>
      <c r="L125" s="14">
        <v>8.6315209999999993</v>
      </c>
      <c r="M125" s="14">
        <v>7.0212199999999996</v>
      </c>
      <c r="N125" s="14">
        <f>SUM(B125:M125)</f>
        <v>108.57986099999999</v>
      </c>
      <c r="O125" s="15" t="s">
        <v>25</v>
      </c>
    </row>
    <row r="126" spans="1:15" ht="15" customHeight="1" x14ac:dyDescent="0.25">
      <c r="A126" s="7" t="s">
        <v>54</v>
      </c>
      <c r="B126" s="14">
        <f t="shared" ref="B126:N126" si="26">B124*2000/B125/1000000</f>
        <v>0.52856076435844135</v>
      </c>
      <c r="C126" s="14">
        <f t="shared" si="26"/>
        <v>0.60890878418684347</v>
      </c>
      <c r="D126" s="14">
        <f t="shared" si="26"/>
        <v>0.54384739569904539</v>
      </c>
      <c r="E126" s="14">
        <f t="shared" si="26"/>
        <v>0.58697188276528556</v>
      </c>
      <c r="F126" s="14">
        <f t="shared" si="26"/>
        <v>0.74085841863277313</v>
      </c>
      <c r="G126" s="14">
        <f t="shared" si="26"/>
        <v>0.70579875408507975</v>
      </c>
      <c r="H126" s="14">
        <f t="shared" si="26"/>
        <v>0.72371217127128118</v>
      </c>
      <c r="I126" s="14">
        <f t="shared" si="26"/>
        <v>0.68963594248706817</v>
      </c>
      <c r="J126" s="14">
        <f t="shared" si="26"/>
        <v>0.71459406557132366</v>
      </c>
      <c r="K126" s="14">
        <f t="shared" si="26"/>
        <v>0.67539298418220961</v>
      </c>
      <c r="L126" s="14">
        <f t="shared" si="26"/>
        <v>0.62634985113437369</v>
      </c>
      <c r="M126" s="14">
        <f t="shared" si="26"/>
        <v>0.59785373883592763</v>
      </c>
      <c r="N126" s="14">
        <f t="shared" si="26"/>
        <v>0.66016735731303844</v>
      </c>
      <c r="O126" s="15" t="s">
        <v>25</v>
      </c>
    </row>
    <row r="127" spans="1:15" ht="15" customHeight="1" x14ac:dyDescent="0.25">
      <c r="A127" s="7" t="s">
        <v>24</v>
      </c>
      <c r="B127" s="14">
        <f t="shared" ref="B127:N127" si="27">SUM(B11,B21,B39,B60,B70,B80,B90,B100,B110,B120)</f>
        <v>444908.22477975144</v>
      </c>
      <c r="C127" s="14">
        <f t="shared" si="27"/>
        <v>479252.00503369787</v>
      </c>
      <c r="D127" s="14">
        <f t="shared" si="27"/>
        <v>486809.35056644538</v>
      </c>
      <c r="E127" s="14">
        <f t="shared" si="27"/>
        <v>547154.62659349805</v>
      </c>
      <c r="F127" s="14">
        <f t="shared" si="27"/>
        <v>860662.93445889407</v>
      </c>
      <c r="G127" s="14">
        <f t="shared" si="27"/>
        <v>884961.82807933202</v>
      </c>
      <c r="H127" s="14">
        <f t="shared" si="27"/>
        <v>849299.90605443937</v>
      </c>
      <c r="I127" s="14">
        <f t="shared" si="27"/>
        <v>889219.35738685168</v>
      </c>
      <c r="J127" s="14">
        <f t="shared" si="27"/>
        <v>863380.71325514547</v>
      </c>
      <c r="K127" s="14">
        <f t="shared" si="27"/>
        <v>817581.28618226643</v>
      </c>
      <c r="L127" s="14">
        <f t="shared" si="27"/>
        <v>645208.16802315332</v>
      </c>
      <c r="M127" s="14">
        <f t="shared" si="27"/>
        <v>521603.59436829051</v>
      </c>
      <c r="N127" s="14">
        <f t="shared" si="27"/>
        <v>8290041.9947817652</v>
      </c>
      <c r="O127" s="27" t="s">
        <v>25</v>
      </c>
    </row>
    <row r="128" spans="1:15" ht="15" customHeight="1" x14ac:dyDescent="0.25">
      <c r="A128" s="7" t="s">
        <v>55</v>
      </c>
      <c r="B128" s="14">
        <v>579.13259900000003</v>
      </c>
      <c r="C128" s="14">
        <v>552.05184199999997</v>
      </c>
      <c r="D128" s="14">
        <v>602.31278199999997</v>
      </c>
      <c r="E128" s="14">
        <v>663.71160099999997</v>
      </c>
      <c r="F128" s="14">
        <v>939.71646499999997</v>
      </c>
      <c r="G128" s="14">
        <v>988.85629400000005</v>
      </c>
      <c r="H128" s="14">
        <v>927.56298500000003</v>
      </c>
      <c r="I128" s="14">
        <v>979.08456899999999</v>
      </c>
      <c r="J128" s="14">
        <v>984.82698200000004</v>
      </c>
      <c r="K128" s="14">
        <v>938.91382699999997</v>
      </c>
      <c r="L128" s="14">
        <v>770.25089500000001</v>
      </c>
      <c r="M128" s="14">
        <v>642.31630399999995</v>
      </c>
      <c r="N128" s="14">
        <f>SUM(B128:M128)</f>
        <v>9568.7371449999991</v>
      </c>
      <c r="O128" s="27" t="s">
        <v>25</v>
      </c>
    </row>
    <row r="129" spans="1:15" ht="15" customHeight="1" x14ac:dyDescent="0.25">
      <c r="A129" s="7" t="s">
        <v>56</v>
      </c>
      <c r="B129" s="14">
        <f t="shared" ref="B129:N129" si="28">B127/B128/1000</f>
        <v>0.76823205177533338</v>
      </c>
      <c r="C129" s="14">
        <f t="shared" si="28"/>
        <v>0.86812862230010979</v>
      </c>
      <c r="D129" s="14">
        <f t="shared" si="28"/>
        <v>0.80823347123728384</v>
      </c>
      <c r="E129" s="14">
        <f t="shared" si="28"/>
        <v>0.82438611253609539</v>
      </c>
      <c r="F129" s="14">
        <f t="shared" si="28"/>
        <v>0.91587512458760001</v>
      </c>
      <c r="G129" s="14">
        <f t="shared" si="28"/>
        <v>0.89493471745989817</v>
      </c>
      <c r="H129" s="14">
        <f t="shared" si="28"/>
        <v>0.91562505165559116</v>
      </c>
      <c r="I129" s="14">
        <f t="shared" si="28"/>
        <v>0.90821506695286469</v>
      </c>
      <c r="J129" s="14">
        <f t="shared" si="28"/>
        <v>0.87668263465099228</v>
      </c>
      <c r="K129" s="14">
        <f t="shared" si="28"/>
        <v>0.87077350729255631</v>
      </c>
      <c r="L129" s="14">
        <f t="shared" si="28"/>
        <v>0.83765974465132342</v>
      </c>
      <c r="M129" s="14">
        <f t="shared" si="28"/>
        <v>0.81206656458823212</v>
      </c>
      <c r="N129" s="14">
        <f t="shared" si="28"/>
        <v>0.86636740764831255</v>
      </c>
      <c r="O129" s="15" t="s">
        <v>25</v>
      </c>
    </row>
    <row r="130" spans="1:15" ht="1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</row>
    <row r="131" spans="1:15" ht="1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</row>
    <row r="132" spans="1:15" ht="1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</row>
    <row r="133" spans="1:15" ht="1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</row>
    <row r="134" spans="1:15" ht="18.75" customHeight="1" x14ac:dyDescent="0.3">
      <c r="A134" s="7" t="s">
        <v>57</v>
      </c>
      <c r="B134" s="26" t="s">
        <v>58</v>
      </c>
      <c r="C134" s="26" t="s">
        <v>58</v>
      </c>
      <c r="D134" s="26" t="s">
        <v>58</v>
      </c>
      <c r="E134" s="26" t="s">
        <v>58</v>
      </c>
      <c r="F134" s="26" t="s">
        <v>58</v>
      </c>
      <c r="G134" s="26" t="s">
        <v>58</v>
      </c>
      <c r="H134" s="26" t="s">
        <v>58</v>
      </c>
      <c r="I134" s="26" t="s">
        <v>58</v>
      </c>
      <c r="J134" s="26" t="s">
        <v>58</v>
      </c>
      <c r="K134" s="26" t="s">
        <v>58</v>
      </c>
      <c r="L134" s="26" t="s">
        <v>58</v>
      </c>
      <c r="M134" s="26" t="s">
        <v>58</v>
      </c>
      <c r="N134" s="26" t="s">
        <v>58</v>
      </c>
      <c r="O134" s="26" t="s">
        <v>58</v>
      </c>
    </row>
    <row r="135" spans="1:15" ht="15" customHeight="1" x14ac:dyDescent="0.25">
      <c r="A135" s="7" t="s">
        <v>17</v>
      </c>
      <c r="B135" s="14">
        <f t="shared" ref="B135:O135" si="29">SUM(B4,B5,B15,B33,B50,B51,B52,B64,B74,B84,B94,B104,B114)</f>
        <v>98.664740129800123</v>
      </c>
      <c r="C135" s="14">
        <f t="shared" si="29"/>
        <v>111.90093965461165</v>
      </c>
      <c r="D135" s="14">
        <f t="shared" si="29"/>
        <v>104.60632348716783</v>
      </c>
      <c r="E135" s="14">
        <f t="shared" si="29"/>
        <v>123.54269979735795</v>
      </c>
      <c r="F135" s="14">
        <f t="shared" si="29"/>
        <v>267.91594901546</v>
      </c>
      <c r="G135" s="14">
        <f t="shared" si="29"/>
        <v>280.75773745495093</v>
      </c>
      <c r="H135" s="14">
        <f t="shared" si="29"/>
        <v>295.476670891477</v>
      </c>
      <c r="I135" s="14">
        <f t="shared" si="29"/>
        <v>265.18620637715537</v>
      </c>
      <c r="J135" s="14">
        <f t="shared" si="29"/>
        <v>277.93529711383468</v>
      </c>
      <c r="K135" s="14">
        <f t="shared" si="29"/>
        <v>227.27923069795031</v>
      </c>
      <c r="L135" s="14">
        <f t="shared" si="29"/>
        <v>160.74027169043987</v>
      </c>
      <c r="M135" s="14">
        <f t="shared" si="29"/>
        <v>140.93938342008337</v>
      </c>
      <c r="N135" s="14">
        <f t="shared" si="29"/>
        <v>2354.9454497302895</v>
      </c>
      <c r="O135" s="14">
        <f t="shared" si="29"/>
        <v>11181.18</v>
      </c>
    </row>
    <row r="136" spans="1:15" ht="15" customHeight="1" x14ac:dyDescent="0.25">
      <c r="A136" s="7" t="s">
        <v>41</v>
      </c>
      <c r="B136" s="14">
        <f t="shared" ref="B136:O136" si="30">SUM(B6,B16,B34,B53,B65,B75,B85,B95,B105,B115)</f>
        <v>605.09185324329769</v>
      </c>
      <c r="C136" s="14">
        <f t="shared" si="30"/>
        <v>787.24160121295643</v>
      </c>
      <c r="D136" s="14">
        <f t="shared" si="30"/>
        <v>627.19683459772648</v>
      </c>
      <c r="E136" s="14">
        <f t="shared" si="30"/>
        <v>653.88942911329661</v>
      </c>
      <c r="F136" s="14">
        <f t="shared" si="30"/>
        <v>1638.6415454272067</v>
      </c>
      <c r="G136" s="14">
        <f t="shared" si="30"/>
        <v>1731.2313357030212</v>
      </c>
      <c r="H136" s="14">
        <f t="shared" si="30"/>
        <v>1771.571049121912</v>
      </c>
      <c r="I136" s="14">
        <f t="shared" si="30"/>
        <v>1554.3057586721461</v>
      </c>
      <c r="J136" s="14">
        <f t="shared" si="30"/>
        <v>1557.7444675629677</v>
      </c>
      <c r="K136" s="14">
        <f t="shared" si="30"/>
        <v>1172.8663542974018</v>
      </c>
      <c r="L136" s="14">
        <f t="shared" si="30"/>
        <v>893.64358219691076</v>
      </c>
      <c r="M136" s="14">
        <f t="shared" si="30"/>
        <v>589.34320043075297</v>
      </c>
      <c r="N136" s="14">
        <f t="shared" si="30"/>
        <v>13582.767011579595</v>
      </c>
      <c r="O136" s="14">
        <f t="shared" si="30"/>
        <v>69283.94</v>
      </c>
    </row>
    <row r="137" spans="1:15" ht="15" customHeight="1" x14ac:dyDescent="0.25">
      <c r="A137" s="7" t="s">
        <v>20</v>
      </c>
      <c r="B137" s="14">
        <f t="shared" ref="B137:O137" si="31">SUM(B7,B17,B35,B54,B66,B76,B86,B96,B106,B116)</f>
        <v>864.88628097383025</v>
      </c>
      <c r="C137" s="14">
        <f t="shared" si="31"/>
        <v>943.15242943896669</v>
      </c>
      <c r="D137" s="14">
        <f t="shared" si="31"/>
        <v>993.79176855176843</v>
      </c>
      <c r="E137" s="14">
        <f t="shared" si="31"/>
        <v>1308.3313341793557</v>
      </c>
      <c r="F137" s="14">
        <f t="shared" si="31"/>
        <v>1937.9315374219311</v>
      </c>
      <c r="G137" s="14">
        <f t="shared" si="31"/>
        <v>1883.4584974625336</v>
      </c>
      <c r="H137" s="14">
        <f t="shared" si="31"/>
        <v>1699.4166966376742</v>
      </c>
      <c r="I137" s="14">
        <f t="shared" si="31"/>
        <v>2028.0258670346818</v>
      </c>
      <c r="J137" s="14">
        <f t="shared" si="31"/>
        <v>2017.8148424035446</v>
      </c>
      <c r="K137" s="14">
        <f t="shared" si="31"/>
        <v>2046.9822345977341</v>
      </c>
      <c r="L137" s="14">
        <f t="shared" si="31"/>
        <v>1550.8605128005363</v>
      </c>
      <c r="M137" s="14">
        <f t="shared" si="31"/>
        <v>1300.8815960726031</v>
      </c>
      <c r="N137" s="14">
        <f t="shared" si="31"/>
        <v>18575.533597575162</v>
      </c>
      <c r="O137" s="14">
        <f t="shared" si="31"/>
        <v>63794.43</v>
      </c>
    </row>
    <row r="138" spans="1:15" ht="15" customHeight="1" x14ac:dyDescent="0.25">
      <c r="A138" s="7" t="s">
        <v>22</v>
      </c>
      <c r="B138" s="14">
        <f t="shared" ref="B138:O138" si="32">SUM(B9,B18,B36,B55,B67,B77,B87,B97,B107,B117)</f>
        <v>10.16543214274731</v>
      </c>
      <c r="C138" s="14">
        <f t="shared" si="32"/>
        <v>11.946799822684172</v>
      </c>
      <c r="D138" s="14">
        <f t="shared" si="32"/>
        <v>10.835372715267329</v>
      </c>
      <c r="E138" s="14">
        <f t="shared" si="32"/>
        <v>12.246591638113681</v>
      </c>
      <c r="F138" s="14">
        <f t="shared" si="32"/>
        <v>18.821100763914</v>
      </c>
      <c r="G138" s="14">
        <f t="shared" si="32"/>
        <v>17.923470712310991</v>
      </c>
      <c r="H138" s="14">
        <f t="shared" si="32"/>
        <v>17.081790314207602</v>
      </c>
      <c r="I138" s="14">
        <f t="shared" si="32"/>
        <v>20.055158961057401</v>
      </c>
      <c r="J138" s="14">
        <f t="shared" si="32"/>
        <v>17.47508661514394</v>
      </c>
      <c r="K138" s="14">
        <f t="shared" si="32"/>
        <v>16.806068100304859</v>
      </c>
      <c r="L138" s="14">
        <f t="shared" si="32"/>
        <v>12.11231387053706</v>
      </c>
      <c r="M138" s="14">
        <f t="shared" si="32"/>
        <v>8.7986631316875492</v>
      </c>
      <c r="N138" s="14">
        <f t="shared" si="32"/>
        <v>174.26784878797591</v>
      </c>
      <c r="O138" s="14">
        <f t="shared" si="32"/>
        <v>758.42000000000007</v>
      </c>
    </row>
    <row r="139" spans="1:15" ht="15" customHeight="1" x14ac:dyDescent="0.25">
      <c r="A139" s="7" t="s">
        <v>21</v>
      </c>
      <c r="B139" s="14">
        <f t="shared" ref="B139:O139" si="33">SUM(B8,B19,B37,B56,B68,B78,B88,B98,B108,B118)</f>
        <v>67.586450170369005</v>
      </c>
      <c r="C139" s="14">
        <f t="shared" si="33"/>
        <v>76.418096110411</v>
      </c>
      <c r="D139" s="14">
        <f t="shared" si="33"/>
        <v>72.075614369104557</v>
      </c>
      <c r="E139" s="14">
        <f t="shared" si="33"/>
        <v>65.296343125497899</v>
      </c>
      <c r="F139" s="14">
        <f t="shared" si="33"/>
        <v>95.455824514134846</v>
      </c>
      <c r="G139" s="14">
        <f t="shared" si="33"/>
        <v>107.42047952544199</v>
      </c>
      <c r="H139" s="14">
        <f t="shared" si="33"/>
        <v>100.81235959356162</v>
      </c>
      <c r="I139" s="14">
        <f t="shared" si="33"/>
        <v>103.81812676773316</v>
      </c>
      <c r="J139" s="14">
        <f t="shared" si="33"/>
        <v>87.216229307436024</v>
      </c>
      <c r="K139" s="14">
        <f t="shared" si="33"/>
        <v>80.731446069980009</v>
      </c>
      <c r="L139" s="14">
        <f t="shared" si="33"/>
        <v>80.262797751127238</v>
      </c>
      <c r="M139" s="14">
        <f t="shared" si="33"/>
        <v>44.40037429339224</v>
      </c>
      <c r="N139" s="14">
        <f t="shared" si="33"/>
        <v>981.49414159818957</v>
      </c>
      <c r="O139" s="14">
        <f t="shared" si="33"/>
        <v>5016.6200000000008</v>
      </c>
    </row>
    <row r="140" spans="1:15" ht="15" customHeight="1" x14ac:dyDescent="0.25">
      <c r="A140" s="7" t="s">
        <v>23</v>
      </c>
      <c r="B140" s="14">
        <f t="shared" ref="B140:O140" si="34">SUM(B10,B20,B38,B58,B69,B79,B89,B99,B109,B119)</f>
        <v>2.3863894210480005E-2</v>
      </c>
      <c r="C140" s="14">
        <f t="shared" si="34"/>
        <v>2.6869408374375004E-2</v>
      </c>
      <c r="D140" s="14">
        <f t="shared" si="34"/>
        <v>2.2720708514892007E-2</v>
      </c>
      <c r="E140" s="14">
        <f t="shared" si="34"/>
        <v>2.9617549165269999E-2</v>
      </c>
      <c r="F140" s="14">
        <f t="shared" si="34"/>
        <v>4.8446987105329999E-2</v>
      </c>
      <c r="G140" s="14">
        <f t="shared" si="34"/>
        <v>4.1060407160850007E-2</v>
      </c>
      <c r="H140" s="14">
        <f t="shared" si="34"/>
        <v>3.6940288313210008E-2</v>
      </c>
      <c r="I140" s="14">
        <f t="shared" si="34"/>
        <v>4.7334262085455006E-2</v>
      </c>
      <c r="J140" s="14">
        <f t="shared" si="34"/>
        <v>4.4265040581274999E-2</v>
      </c>
      <c r="K140" s="14">
        <f t="shared" si="34"/>
        <v>4.2399456515130003E-2</v>
      </c>
      <c r="L140" s="14">
        <f t="shared" si="34"/>
        <v>2.5222607173039997E-2</v>
      </c>
      <c r="M140" s="14">
        <f t="shared" si="34"/>
        <v>2.1782721501065007E-2</v>
      </c>
      <c r="N140" s="14">
        <f t="shared" si="34"/>
        <v>0.410523330700372</v>
      </c>
      <c r="O140" s="14">
        <f t="shared" si="34"/>
        <v>4.9810000000000008</v>
      </c>
    </row>
    <row r="141" spans="1:15" ht="18" customHeight="1" x14ac:dyDescent="0.25">
      <c r="A141" s="7" t="s">
        <v>42</v>
      </c>
      <c r="B141" s="14">
        <f t="shared" ref="B141:O141" si="35">SUM(B57)</f>
        <v>6.1392733999999992E-5</v>
      </c>
      <c r="C141" s="14">
        <f t="shared" si="35"/>
        <v>3.1804526274000003E-3</v>
      </c>
      <c r="D141" s="14">
        <f t="shared" si="35"/>
        <v>0.1908764754</v>
      </c>
      <c r="E141" s="14">
        <f t="shared" si="35"/>
        <v>1.75673192759</v>
      </c>
      <c r="F141" s="14">
        <f t="shared" si="35"/>
        <v>25.073211075609997</v>
      </c>
      <c r="G141" s="14">
        <f t="shared" si="35"/>
        <v>27.04290630133</v>
      </c>
      <c r="H141" s="14">
        <f t="shared" si="35"/>
        <v>33.286445578249996</v>
      </c>
      <c r="I141" s="14">
        <f t="shared" si="35"/>
        <v>18.420294020575</v>
      </c>
      <c r="J141" s="14">
        <f t="shared" si="35"/>
        <v>28.423289233774994</v>
      </c>
      <c r="K141" s="14">
        <f t="shared" si="35"/>
        <v>16.846818019048797</v>
      </c>
      <c r="L141" s="14">
        <f t="shared" si="35"/>
        <v>5.5312457898859995</v>
      </c>
      <c r="M141" s="14">
        <f t="shared" si="35"/>
        <v>14.446314024775162</v>
      </c>
      <c r="N141" s="14">
        <f t="shared" si="35"/>
        <v>171.02137429160132</v>
      </c>
      <c r="O141" s="14">
        <f t="shared" si="35"/>
        <v>469</v>
      </c>
    </row>
    <row r="142" spans="1:15" ht="15" customHeight="1" x14ac:dyDescent="0.25">
      <c r="A142" s="7" t="s">
        <v>24</v>
      </c>
      <c r="B142" s="14">
        <f t="shared" ref="B142:N142" si="36">SUM(B11,B21,B39,B60,B70,B80,B90,B100,B110,B120)</f>
        <v>444908.22477975144</v>
      </c>
      <c r="C142" s="14">
        <f t="shared" si="36"/>
        <v>479252.00503369787</v>
      </c>
      <c r="D142" s="14">
        <f t="shared" si="36"/>
        <v>486809.35056644538</v>
      </c>
      <c r="E142" s="14">
        <f t="shared" si="36"/>
        <v>547154.62659349805</v>
      </c>
      <c r="F142" s="14">
        <f t="shared" si="36"/>
        <v>860662.93445889407</v>
      </c>
      <c r="G142" s="14">
        <f t="shared" si="36"/>
        <v>884961.82807933202</v>
      </c>
      <c r="H142" s="14">
        <f t="shared" si="36"/>
        <v>849299.90605443937</v>
      </c>
      <c r="I142" s="14">
        <f t="shared" si="36"/>
        <v>889219.35738685168</v>
      </c>
      <c r="J142" s="14">
        <f t="shared" si="36"/>
        <v>863380.71325514547</v>
      </c>
      <c r="K142" s="14">
        <f t="shared" si="36"/>
        <v>817581.28618226643</v>
      </c>
      <c r="L142" s="14">
        <f t="shared" si="36"/>
        <v>645208.16802315332</v>
      </c>
      <c r="M142" s="14">
        <f t="shared" si="36"/>
        <v>521603.59436829051</v>
      </c>
      <c r="N142" s="14">
        <f t="shared" si="36"/>
        <v>8290041.9947817652</v>
      </c>
      <c r="O142" s="27" t="s">
        <v>25</v>
      </c>
    </row>
    <row r="143" spans="1:15" ht="19.5" customHeight="1" x14ac:dyDescent="0.3">
      <c r="A143" s="16" t="s">
        <v>26</v>
      </c>
      <c r="B143" s="17">
        <f t="shared" ref="B143:O143" si="37">SUM(B135,B136,B137,B138,B139,B140,B141)</f>
        <v>1646.418681946989</v>
      </c>
      <c r="C143" s="17">
        <f t="shared" si="37"/>
        <v>1930.6899161006315</v>
      </c>
      <c r="D143" s="17">
        <f t="shared" si="37"/>
        <v>1808.7195109049499</v>
      </c>
      <c r="E143" s="17">
        <f t="shared" si="37"/>
        <v>2165.0927473303773</v>
      </c>
      <c r="F143" s="17">
        <f t="shared" si="37"/>
        <v>3983.8876152053613</v>
      </c>
      <c r="G143" s="17">
        <f t="shared" si="37"/>
        <v>4047.8754875667491</v>
      </c>
      <c r="H143" s="17">
        <f t="shared" si="37"/>
        <v>3917.681952425396</v>
      </c>
      <c r="I143" s="17">
        <f t="shared" si="37"/>
        <v>3989.8587460954341</v>
      </c>
      <c r="J143" s="17">
        <f t="shared" si="37"/>
        <v>3986.6534772772834</v>
      </c>
      <c r="K143" s="17">
        <f t="shared" si="37"/>
        <v>3561.5545512389353</v>
      </c>
      <c r="L143" s="17">
        <f t="shared" si="37"/>
        <v>2703.1759467066104</v>
      </c>
      <c r="M143" s="17">
        <f t="shared" si="37"/>
        <v>2098.8313140947957</v>
      </c>
      <c r="N143" s="17">
        <f t="shared" si="37"/>
        <v>35840.439946893515</v>
      </c>
      <c r="O143" s="17">
        <f t="shared" si="37"/>
        <v>150508.571</v>
      </c>
    </row>
    <row r="144" spans="1:15" ht="15.7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</row>
    <row r="145" spans="1:15" ht="1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</row>
    <row r="146" spans="1:15" ht="18.75" customHeight="1" x14ac:dyDescent="0.3">
      <c r="A146" s="7" t="s">
        <v>59</v>
      </c>
      <c r="B146" s="26" t="s">
        <v>58</v>
      </c>
      <c r="C146" s="26" t="s">
        <v>58</v>
      </c>
      <c r="D146" s="26" t="s">
        <v>58</v>
      </c>
      <c r="E146" s="26" t="s">
        <v>58</v>
      </c>
      <c r="F146" s="26" t="s">
        <v>58</v>
      </c>
      <c r="G146" s="26" t="s">
        <v>58</v>
      </c>
      <c r="H146" s="26" t="s">
        <v>58</v>
      </c>
      <c r="I146" s="26" t="s">
        <v>58</v>
      </c>
      <c r="J146" s="26" t="s">
        <v>58</v>
      </c>
      <c r="K146" s="26" t="s">
        <v>58</v>
      </c>
      <c r="L146" s="26" t="s">
        <v>58</v>
      </c>
      <c r="M146" s="26" t="s">
        <v>58</v>
      </c>
      <c r="N146" s="26" t="s">
        <v>58</v>
      </c>
      <c r="O146" s="26" t="s">
        <v>58</v>
      </c>
    </row>
    <row r="147" spans="1:15" ht="15" customHeight="1" x14ac:dyDescent="0.25">
      <c r="A147" s="7" t="s">
        <v>17</v>
      </c>
      <c r="B147" s="14">
        <f t="shared" ref="B147:N147" si="38">B135*2000/B$125/1000000</f>
        <v>3.1674999215001179E-2</v>
      </c>
      <c r="C147" s="14">
        <f t="shared" si="38"/>
        <v>3.5291770338797088E-2</v>
      </c>
      <c r="D147" s="14">
        <f t="shared" si="38"/>
        <v>3.1453122642374001E-2</v>
      </c>
      <c r="E147" s="14">
        <f t="shared" si="38"/>
        <v>3.3493295468000679E-2</v>
      </c>
      <c r="F147" s="14">
        <f t="shared" si="38"/>
        <v>4.9822636953040816E-2</v>
      </c>
      <c r="G147" s="14">
        <f t="shared" si="38"/>
        <v>4.895369482191432E-2</v>
      </c>
      <c r="H147" s="14">
        <f t="shared" si="38"/>
        <v>5.4583313716544672E-2</v>
      </c>
      <c r="I147" s="14">
        <f t="shared" si="38"/>
        <v>4.5836695233497204E-2</v>
      </c>
      <c r="J147" s="14">
        <f t="shared" si="38"/>
        <v>4.9818955939454207E-2</v>
      </c>
      <c r="K147" s="14">
        <f t="shared" si="38"/>
        <v>4.3099942919680251E-2</v>
      </c>
      <c r="L147" s="14">
        <f t="shared" si="38"/>
        <v>3.7244947139777544E-2</v>
      </c>
      <c r="M147" s="14">
        <f t="shared" si="38"/>
        <v>4.0146693429370786E-2</v>
      </c>
      <c r="N147" s="14">
        <f t="shared" si="38"/>
        <v>4.3377205092025119E-2</v>
      </c>
      <c r="O147" s="15" t="s">
        <v>25</v>
      </c>
    </row>
    <row r="148" spans="1:15" ht="15" customHeight="1" x14ac:dyDescent="0.25">
      <c r="A148" s="7" t="s">
        <v>41</v>
      </c>
      <c r="B148" s="14">
        <f t="shared" ref="B148:N148" si="39">B136*2000/B$125/1000000</f>
        <v>0.19425667113976611</v>
      </c>
      <c r="C148" s="14">
        <f t="shared" si="39"/>
        <v>0.24828343601857816</v>
      </c>
      <c r="D148" s="14">
        <f t="shared" si="39"/>
        <v>0.18858610361094491</v>
      </c>
      <c r="E148" s="14">
        <f t="shared" si="39"/>
        <v>0.17727402662089384</v>
      </c>
      <c r="F148" s="14">
        <f t="shared" si="39"/>
        <v>0.30472781898205836</v>
      </c>
      <c r="G148" s="14">
        <f t="shared" si="39"/>
        <v>0.3018622789968145</v>
      </c>
      <c r="H148" s="14">
        <f t="shared" si="39"/>
        <v>0.32726177012088009</v>
      </c>
      <c r="I148" s="14">
        <f t="shared" si="39"/>
        <v>0.26865740995064891</v>
      </c>
      <c r="J148" s="14">
        <f t="shared" si="39"/>
        <v>0.2792203933804891</v>
      </c>
      <c r="K148" s="14">
        <f t="shared" si="39"/>
        <v>0.22241571641806593</v>
      </c>
      <c r="L148" s="14">
        <f t="shared" si="39"/>
        <v>0.20706514696469158</v>
      </c>
      <c r="M148" s="14">
        <f t="shared" si="39"/>
        <v>0.16787487087165848</v>
      </c>
      <c r="N148" s="14">
        <f t="shared" si="39"/>
        <v>0.25018943451363596</v>
      </c>
      <c r="O148" s="15" t="s">
        <v>25</v>
      </c>
    </row>
    <row r="149" spans="1:15" ht="15" customHeight="1" x14ac:dyDescent="0.25">
      <c r="A149" s="7" t="s">
        <v>20</v>
      </c>
      <c r="B149" s="14">
        <f t="shared" ref="B149:N149" si="40">B137*2000/B$125/1000000</f>
        <v>0.27766020804262026</v>
      </c>
      <c r="C149" s="14">
        <f t="shared" si="40"/>
        <v>0.2974552227798633</v>
      </c>
      <c r="D149" s="14">
        <f t="shared" si="40"/>
        <v>0.29881419531081183</v>
      </c>
      <c r="E149" s="14">
        <f t="shared" si="40"/>
        <v>0.35469783336117305</v>
      </c>
      <c r="F149" s="14">
        <f t="shared" si="40"/>
        <v>0.36038488855790207</v>
      </c>
      <c r="G149" s="14">
        <f t="shared" si="40"/>
        <v>0.32840502751706535</v>
      </c>
      <c r="H149" s="14">
        <f t="shared" si="40"/>
        <v>0.31393271897860636</v>
      </c>
      <c r="I149" s="14">
        <f t="shared" si="40"/>
        <v>0.35053860780643359</v>
      </c>
      <c r="J149" s="14">
        <f t="shared" si="40"/>
        <v>0.36168644203009037</v>
      </c>
      <c r="K149" s="14">
        <f t="shared" si="40"/>
        <v>0.38817808911897872</v>
      </c>
      <c r="L149" s="14">
        <f t="shared" si="40"/>
        <v>0.3593481410288028</v>
      </c>
      <c r="M149" s="14">
        <f t="shared" si="40"/>
        <v>0.37055713852367628</v>
      </c>
      <c r="N149" s="14">
        <f t="shared" si="40"/>
        <v>0.34215430792594514</v>
      </c>
      <c r="O149" s="15" t="s">
        <v>25</v>
      </c>
    </row>
    <row r="150" spans="1:15" ht="15" customHeight="1" x14ac:dyDescent="0.25">
      <c r="A150" s="7" t="s">
        <v>22</v>
      </c>
      <c r="B150" s="14">
        <f t="shared" ref="B150:N150" si="41">B138*2000/B$125/1000000</f>
        <v>3.263476442729887E-3</v>
      </c>
      <c r="C150" s="14">
        <f t="shared" si="41"/>
        <v>3.767829983618692E-3</v>
      </c>
      <c r="D150" s="14">
        <f t="shared" si="41"/>
        <v>3.2579895318751296E-3</v>
      </c>
      <c r="E150" s="14">
        <f t="shared" si="41"/>
        <v>3.3201371904943585E-3</v>
      </c>
      <c r="F150" s="14">
        <f t="shared" si="41"/>
        <v>3.5000412400344855E-3</v>
      </c>
      <c r="G150" s="14">
        <f t="shared" si="41"/>
        <v>3.1251858750314166E-3</v>
      </c>
      <c r="H150" s="14">
        <f t="shared" si="41"/>
        <v>3.1555138236381225E-3</v>
      </c>
      <c r="I150" s="14">
        <f t="shared" si="41"/>
        <v>3.4664782219099568E-3</v>
      </c>
      <c r="J150" s="14">
        <f t="shared" si="41"/>
        <v>3.1323497920504565E-3</v>
      </c>
      <c r="K150" s="14">
        <f t="shared" si="41"/>
        <v>3.1870073371993816E-3</v>
      </c>
      <c r="L150" s="14">
        <f t="shared" si="41"/>
        <v>2.8065305918938415E-3</v>
      </c>
      <c r="M150" s="14">
        <f t="shared" si="41"/>
        <v>2.5063060640992734E-3</v>
      </c>
      <c r="N150" s="14">
        <f t="shared" si="41"/>
        <v>3.2099479071533515E-3</v>
      </c>
      <c r="O150" s="15" t="s">
        <v>25</v>
      </c>
    </row>
    <row r="151" spans="1:15" ht="15" customHeight="1" x14ac:dyDescent="0.25">
      <c r="A151" s="7" t="s">
        <v>21</v>
      </c>
      <c r="B151" s="14">
        <f t="shared" ref="B151:N151" si="42">B139*2000/B$125/1000000</f>
        <v>2.1697728623972321E-2</v>
      </c>
      <c r="C151" s="14">
        <f t="shared" si="42"/>
        <v>2.4101047819446105E-2</v>
      </c>
      <c r="D151" s="14">
        <f t="shared" si="42"/>
        <v>2.1671760011276905E-2</v>
      </c>
      <c r="E151" s="14">
        <f t="shared" si="42"/>
        <v>1.7702298208388565E-2</v>
      </c>
      <c r="F151" s="14">
        <f t="shared" si="42"/>
        <v>1.7751316811476871E-2</v>
      </c>
      <c r="G151" s="14">
        <f t="shared" si="42"/>
        <v>1.8730131607346913E-2</v>
      </c>
      <c r="H151" s="14">
        <f t="shared" si="42"/>
        <v>1.8623035901949477E-2</v>
      </c>
      <c r="I151" s="14">
        <f t="shared" si="42"/>
        <v>1.7944673297212273E-2</v>
      </c>
      <c r="J151" s="14">
        <f t="shared" si="42"/>
        <v>1.563321222670357E-2</v>
      </c>
      <c r="K151" s="14">
        <f t="shared" si="42"/>
        <v>1.530945307564684E-2</v>
      </c>
      <c r="L151" s="14">
        <f t="shared" si="42"/>
        <v>1.8597602381116199E-2</v>
      </c>
      <c r="M151" s="14">
        <f t="shared" si="42"/>
        <v>1.264748129054274E-2</v>
      </c>
      <c r="N151" s="14">
        <f t="shared" si="42"/>
        <v>1.807875111570072E-2</v>
      </c>
      <c r="O151" s="15" t="s">
        <v>25</v>
      </c>
    </row>
    <row r="152" spans="1:15" ht="15" customHeight="1" x14ac:dyDescent="0.25">
      <c r="A152" s="7" t="s">
        <v>23</v>
      </c>
      <c r="B152" s="14">
        <f t="shared" ref="B152:N152" si="43">B140*2000/B$125/1000000</f>
        <v>7.6611850331679038E-6</v>
      </c>
      <c r="C152" s="14">
        <f t="shared" si="43"/>
        <v>8.4741825440847765E-6</v>
      </c>
      <c r="D152" s="14">
        <f t="shared" si="43"/>
        <v>6.831682900395547E-6</v>
      </c>
      <c r="E152" s="14">
        <f t="shared" si="43"/>
        <v>8.0295260412597806E-6</v>
      </c>
      <c r="F152" s="14">
        <f t="shared" si="43"/>
        <v>9.0093802137857109E-6</v>
      </c>
      <c r="G152" s="14">
        <f t="shared" si="43"/>
        <v>7.1594060403707348E-6</v>
      </c>
      <c r="H152" s="14">
        <f t="shared" si="43"/>
        <v>6.8239679961742505E-6</v>
      </c>
      <c r="I152" s="14">
        <f t="shared" si="43"/>
        <v>8.1815950194172251E-6</v>
      </c>
      <c r="J152" s="14">
        <f t="shared" si="43"/>
        <v>7.9343578497461823E-6</v>
      </c>
      <c r="K152" s="14">
        <f t="shared" si="43"/>
        <v>8.0403922083675384E-6</v>
      </c>
      <c r="L152" s="14">
        <f t="shared" si="43"/>
        <v>5.8443018728773289E-6</v>
      </c>
      <c r="M152" s="14">
        <f t="shared" si="43"/>
        <v>6.2048252301067369E-6</v>
      </c>
      <c r="N152" s="14">
        <f t="shared" si="43"/>
        <v>7.5616845871698437E-6</v>
      </c>
      <c r="O152" s="15" t="s">
        <v>25</v>
      </c>
    </row>
    <row r="153" spans="1:15" ht="18" customHeight="1" x14ac:dyDescent="0.25">
      <c r="A153" s="7" t="s">
        <v>42</v>
      </c>
      <c r="B153" s="14">
        <f t="shared" ref="B153:N153" si="44">B141*2000/B$125/1000000</f>
        <v>1.970931863499062E-8</v>
      </c>
      <c r="C153" s="14">
        <f t="shared" si="44"/>
        <v>1.0030639961207763E-6</v>
      </c>
      <c r="D153" s="14">
        <f t="shared" si="44"/>
        <v>5.7392908862118264E-5</v>
      </c>
      <c r="E153" s="14">
        <f t="shared" si="44"/>
        <v>4.7626239029382577E-4</v>
      </c>
      <c r="F153" s="14">
        <f t="shared" si="44"/>
        <v>4.6627067080466855E-3</v>
      </c>
      <c r="G153" s="14">
        <f t="shared" si="44"/>
        <v>4.7152758608668844E-3</v>
      </c>
      <c r="H153" s="14">
        <f t="shared" si="44"/>
        <v>6.1489947616663711E-3</v>
      </c>
      <c r="I153" s="14">
        <f t="shared" si="44"/>
        <v>3.1838963823468381E-3</v>
      </c>
      <c r="J153" s="14">
        <f t="shared" si="44"/>
        <v>5.0947778446860494E-3</v>
      </c>
      <c r="K153" s="14">
        <f t="shared" si="44"/>
        <v>3.1947349204301586E-3</v>
      </c>
      <c r="L153" s="14">
        <f t="shared" si="44"/>
        <v>1.2816387262189364E-3</v>
      </c>
      <c r="M153" s="14">
        <f t="shared" si="44"/>
        <v>4.1150438313498688E-3</v>
      </c>
      <c r="N153" s="14">
        <f t="shared" si="44"/>
        <v>3.1501490739908266E-3</v>
      </c>
      <c r="O153" s="15" t="s">
        <v>25</v>
      </c>
    </row>
    <row r="154" spans="1:15" ht="15" customHeight="1" x14ac:dyDescent="0.25">
      <c r="A154" s="7" t="s">
        <v>24</v>
      </c>
      <c r="B154" s="14">
        <f t="shared" ref="B154:N154" si="45">B142*2000/B$125/1000000</f>
        <v>142.83185312307725</v>
      </c>
      <c r="C154" s="14">
        <f t="shared" si="45"/>
        <v>151.14843314329804</v>
      </c>
      <c r="D154" s="14">
        <f t="shared" si="45"/>
        <v>146.37426970367758</v>
      </c>
      <c r="E154" s="14">
        <f t="shared" si="45"/>
        <v>148.337470406904</v>
      </c>
      <c r="F154" s="14">
        <f t="shared" si="45"/>
        <v>160.05205020478209</v>
      </c>
      <c r="G154" s="14">
        <f t="shared" si="45"/>
        <v>154.30438944818144</v>
      </c>
      <c r="H154" s="14">
        <f t="shared" si="45"/>
        <v>156.89090807655558</v>
      </c>
      <c r="I154" s="14">
        <f t="shared" si="45"/>
        <v>153.69908275809379</v>
      </c>
      <c r="J154" s="14">
        <f t="shared" si="45"/>
        <v>154.75805397619504</v>
      </c>
      <c r="K154" s="14">
        <f t="shared" si="45"/>
        <v>155.04147325051747</v>
      </c>
      <c r="L154" s="14">
        <f t="shared" si="45"/>
        <v>149.50045722489773</v>
      </c>
      <c r="M154" s="14">
        <f t="shared" si="45"/>
        <v>148.57919118566019</v>
      </c>
      <c r="N154" s="14">
        <f t="shared" si="45"/>
        <v>152.69944018038052</v>
      </c>
      <c r="O154" s="15" t="s">
        <v>25</v>
      </c>
    </row>
    <row r="155" spans="1:15" ht="19.5" customHeight="1" x14ac:dyDescent="0.3">
      <c r="A155" s="16" t="s">
        <v>26</v>
      </c>
      <c r="B155" s="17">
        <f t="shared" ref="B155:N155" si="46">SUM(B147:B153)</f>
        <v>0.52856076435844157</v>
      </c>
      <c r="C155" s="17">
        <f t="shared" si="46"/>
        <v>0.60890878418684358</v>
      </c>
      <c r="D155" s="17">
        <f t="shared" si="46"/>
        <v>0.54384739569904528</v>
      </c>
      <c r="E155" s="17">
        <f t="shared" si="46"/>
        <v>0.58697188276528567</v>
      </c>
      <c r="F155" s="17">
        <f t="shared" si="46"/>
        <v>0.74085841863277302</v>
      </c>
      <c r="G155" s="17">
        <f t="shared" si="46"/>
        <v>0.70579875408507975</v>
      </c>
      <c r="H155" s="17">
        <f t="shared" si="46"/>
        <v>0.72371217127128129</v>
      </c>
      <c r="I155" s="17">
        <f t="shared" si="46"/>
        <v>0.68963594248706817</v>
      </c>
      <c r="J155" s="17">
        <f t="shared" si="46"/>
        <v>0.71459406557132343</v>
      </c>
      <c r="K155" s="17">
        <f t="shared" si="46"/>
        <v>0.67539298418220961</v>
      </c>
      <c r="L155" s="17">
        <f t="shared" si="46"/>
        <v>0.6263498511343738</v>
      </c>
      <c r="M155" s="17">
        <f t="shared" si="46"/>
        <v>0.59785373883592752</v>
      </c>
      <c r="N155" s="17">
        <f t="shared" si="46"/>
        <v>0.66016735731303822</v>
      </c>
      <c r="O155" s="28" t="s">
        <v>25</v>
      </c>
    </row>
  </sheetData>
  <pageMargins left="0.75" right="0.75" top="1" bottom="1" header="0.511811023622047" footer="0.511811023622047"/>
  <pageSetup fitToHeight="0" orientation="landscape" horizontalDpi="300" verticalDpi="30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54"/>
  <sheetViews>
    <sheetView zoomScaleNormal="100" workbookViewId="0">
      <selection sqref="A1:O1"/>
    </sheetView>
  </sheetViews>
  <sheetFormatPr defaultColWidth="8.85546875" defaultRowHeight="15" x14ac:dyDescent="0.25"/>
  <cols>
    <col min="1" max="1" width="9.42578125" style="29" customWidth="1"/>
    <col min="2" max="2" width="23.7109375" style="29" customWidth="1"/>
    <col min="3" max="3" width="22.5703125" style="29" customWidth="1"/>
    <col min="4" max="4" width="12.85546875" style="29" customWidth="1"/>
    <col min="5" max="5" width="13.7109375" style="29" customWidth="1"/>
    <col min="6" max="6" width="8.85546875" style="29"/>
    <col min="7" max="7" width="10.28515625" style="29" customWidth="1"/>
    <col min="8" max="8" width="10.42578125" style="29" customWidth="1"/>
    <col min="9" max="9" width="10.28515625" style="29" customWidth="1"/>
    <col min="10" max="10" width="11.7109375" style="29" customWidth="1"/>
    <col min="11" max="11" width="8.85546875" style="29"/>
    <col min="12" max="12" width="12.5703125" style="29" customWidth="1"/>
    <col min="13" max="13" width="12.42578125" style="29" customWidth="1"/>
    <col min="14" max="14" width="10.7109375" style="29" customWidth="1"/>
    <col min="15" max="15" width="10.42578125" style="29" customWidth="1"/>
    <col min="16" max="16384" width="8.85546875" style="29"/>
  </cols>
  <sheetData>
    <row r="2" spans="1:13" ht="14.25" customHeight="1" x14ac:dyDescent="0.25">
      <c r="A2" s="584" t="s">
        <v>60</v>
      </c>
      <c r="B2" s="584"/>
      <c r="C2" s="584"/>
      <c r="D2" s="584"/>
      <c r="E2" s="584"/>
      <c r="F2" s="584"/>
      <c r="G2" s="584"/>
      <c r="H2" s="584"/>
      <c r="I2" s="584"/>
    </row>
    <row r="3" spans="1:13" ht="14.25" customHeight="1" x14ac:dyDescent="0.25">
      <c r="A3" s="588" t="s">
        <v>61</v>
      </c>
      <c r="B3" s="588"/>
      <c r="C3" s="588"/>
      <c r="D3" s="588"/>
      <c r="E3" s="588"/>
      <c r="F3" s="587" t="s">
        <v>62</v>
      </c>
      <c r="G3" s="587"/>
      <c r="H3" s="587"/>
      <c r="I3" s="587"/>
      <c r="L3" s="29" t="s">
        <v>63</v>
      </c>
    </row>
    <row r="4" spans="1:13" ht="14.25" customHeight="1" x14ac:dyDescent="0.25">
      <c r="A4" s="30" t="s">
        <v>64</v>
      </c>
      <c r="B4" s="5" t="s">
        <v>65</v>
      </c>
      <c r="C4" s="5" t="s">
        <v>66</v>
      </c>
      <c r="D4" s="5" t="s">
        <v>67</v>
      </c>
      <c r="E4" s="5" t="s">
        <v>68</v>
      </c>
      <c r="F4" s="5" t="s">
        <v>65</v>
      </c>
      <c r="G4" s="5" t="s">
        <v>66</v>
      </c>
      <c r="H4" s="31" t="s">
        <v>67</v>
      </c>
      <c r="I4" s="31" t="s">
        <v>68</v>
      </c>
      <c r="J4" s="32" t="s">
        <v>65</v>
      </c>
      <c r="K4" s="33" t="s">
        <v>66</v>
      </c>
      <c r="L4" s="34" t="s">
        <v>67</v>
      </c>
      <c r="M4" s="35" t="s">
        <v>68</v>
      </c>
    </row>
    <row r="5" spans="1:13" ht="14.25" customHeight="1" x14ac:dyDescent="0.25">
      <c r="A5" s="36">
        <v>45292</v>
      </c>
      <c r="B5" s="37">
        <v>0</v>
      </c>
      <c r="C5" s="37">
        <v>0</v>
      </c>
      <c r="D5" s="38">
        <f t="shared" ref="D5:D16" si="0">SUM(L5*42)</f>
        <v>0</v>
      </c>
      <c r="E5" s="39">
        <f t="shared" ref="E5:E16" si="1">SUM(M5*42)</f>
        <v>0</v>
      </c>
      <c r="F5" s="37">
        <v>0</v>
      </c>
      <c r="G5" s="40">
        <v>0</v>
      </c>
      <c r="H5" s="38">
        <v>0.5</v>
      </c>
      <c r="I5" s="39">
        <v>0.5</v>
      </c>
      <c r="J5" s="41">
        <v>0</v>
      </c>
      <c r="K5" s="37">
        <v>0</v>
      </c>
      <c r="L5" s="38">
        <v>0</v>
      </c>
      <c r="M5" s="39">
        <v>0</v>
      </c>
    </row>
    <row r="6" spans="1:13" ht="14.25" customHeight="1" x14ac:dyDescent="0.25">
      <c r="A6" s="42">
        <v>45323</v>
      </c>
      <c r="B6" s="43">
        <v>0</v>
      </c>
      <c r="C6" s="43">
        <v>0</v>
      </c>
      <c r="D6" s="44">
        <f t="shared" si="0"/>
        <v>1867.74</v>
      </c>
      <c r="E6" s="45">
        <f t="shared" si="1"/>
        <v>0</v>
      </c>
      <c r="F6" s="43">
        <v>0</v>
      </c>
      <c r="G6" s="46">
        <v>0</v>
      </c>
      <c r="H6" s="44">
        <v>0.5</v>
      </c>
      <c r="I6" s="47">
        <v>0.5</v>
      </c>
      <c r="J6" s="48">
        <v>0</v>
      </c>
      <c r="K6" s="43">
        <v>0</v>
      </c>
      <c r="L6" s="44">
        <v>44.47</v>
      </c>
      <c r="M6" s="47">
        <v>0</v>
      </c>
    </row>
    <row r="7" spans="1:13" ht="14.25" customHeight="1" x14ac:dyDescent="0.25">
      <c r="A7" s="42">
        <v>45352</v>
      </c>
      <c r="B7" s="43">
        <v>0</v>
      </c>
      <c r="C7" s="43">
        <v>0</v>
      </c>
      <c r="D7" s="44">
        <f t="shared" si="0"/>
        <v>0</v>
      </c>
      <c r="E7" s="47">
        <f t="shared" si="1"/>
        <v>0</v>
      </c>
      <c r="F7" s="43">
        <v>0</v>
      </c>
      <c r="G7" s="46">
        <v>0</v>
      </c>
      <c r="H7" s="44">
        <v>0.49</v>
      </c>
      <c r="I7" s="47">
        <v>0.49</v>
      </c>
      <c r="J7" s="48">
        <v>0</v>
      </c>
      <c r="K7" s="43">
        <v>0</v>
      </c>
      <c r="L7" s="44">
        <v>0</v>
      </c>
      <c r="M7" s="47">
        <v>0</v>
      </c>
    </row>
    <row r="8" spans="1:13" ht="14.25" customHeight="1" x14ac:dyDescent="0.25">
      <c r="A8" s="42">
        <v>45383</v>
      </c>
      <c r="B8" s="43">
        <v>0</v>
      </c>
      <c r="C8" s="43">
        <v>0</v>
      </c>
      <c r="D8" s="44">
        <f t="shared" si="0"/>
        <v>789179.16</v>
      </c>
      <c r="E8" s="47">
        <f t="shared" si="1"/>
        <v>0</v>
      </c>
      <c r="F8" s="43">
        <v>0</v>
      </c>
      <c r="G8" s="46">
        <v>0</v>
      </c>
      <c r="H8" s="44">
        <v>0.49</v>
      </c>
      <c r="I8" s="47">
        <v>0.49</v>
      </c>
      <c r="J8" s="48">
        <v>0</v>
      </c>
      <c r="K8" s="43">
        <v>0</v>
      </c>
      <c r="L8" s="44">
        <v>18789.98</v>
      </c>
      <c r="M8" s="47">
        <v>0</v>
      </c>
    </row>
    <row r="9" spans="1:13" ht="14.25" customHeight="1" x14ac:dyDescent="0.25">
      <c r="A9" s="42">
        <v>45413</v>
      </c>
      <c r="B9" s="43">
        <v>0</v>
      </c>
      <c r="C9" s="43">
        <v>0</v>
      </c>
      <c r="D9" s="44">
        <f t="shared" si="0"/>
        <v>10722631.5</v>
      </c>
      <c r="E9" s="47">
        <f t="shared" si="1"/>
        <v>3992586.78</v>
      </c>
      <c r="F9" s="43">
        <v>0</v>
      </c>
      <c r="G9" s="46">
        <v>0</v>
      </c>
      <c r="H9" s="44">
        <v>0.49</v>
      </c>
      <c r="I9" s="47">
        <v>0.49</v>
      </c>
      <c r="J9" s="48">
        <v>0</v>
      </c>
      <c r="K9" s="43">
        <v>0</v>
      </c>
      <c r="L9" s="44">
        <v>255300.75</v>
      </c>
      <c r="M9" s="47">
        <v>95061.59</v>
      </c>
    </row>
    <row r="10" spans="1:13" ht="14.25" customHeight="1" x14ac:dyDescent="0.25">
      <c r="A10" s="42">
        <v>45444</v>
      </c>
      <c r="B10" s="43">
        <v>0</v>
      </c>
      <c r="C10" s="43">
        <v>0</v>
      </c>
      <c r="D10" s="44">
        <f t="shared" si="0"/>
        <v>4873351.1399999997</v>
      </c>
      <c r="E10" s="47">
        <f t="shared" si="1"/>
        <v>10911365.220000001</v>
      </c>
      <c r="F10" s="43">
        <v>0</v>
      </c>
      <c r="G10" s="46">
        <v>0</v>
      </c>
      <c r="H10" s="44">
        <v>0.49</v>
      </c>
      <c r="I10" s="47">
        <v>0.49</v>
      </c>
      <c r="J10" s="48">
        <v>0</v>
      </c>
      <c r="K10" s="43">
        <v>0</v>
      </c>
      <c r="L10" s="44">
        <v>116032.17</v>
      </c>
      <c r="M10" s="47">
        <v>259794.41</v>
      </c>
    </row>
    <row r="11" spans="1:13" ht="14.25" customHeight="1" x14ac:dyDescent="0.25">
      <c r="A11" s="42">
        <v>45474</v>
      </c>
      <c r="B11" s="43">
        <v>0</v>
      </c>
      <c r="C11" s="43">
        <v>0</v>
      </c>
      <c r="D11" s="44">
        <f t="shared" si="0"/>
        <v>5422408.3200000003</v>
      </c>
      <c r="E11" s="47">
        <f t="shared" si="1"/>
        <v>14119245</v>
      </c>
      <c r="F11" s="43">
        <v>0</v>
      </c>
      <c r="G11" s="46">
        <v>0</v>
      </c>
      <c r="H11" s="44">
        <v>0.5</v>
      </c>
      <c r="I11" s="47">
        <v>0.5</v>
      </c>
      <c r="J11" s="48">
        <v>0</v>
      </c>
      <c r="K11" s="43">
        <v>0</v>
      </c>
      <c r="L11" s="44">
        <v>129104.96000000001</v>
      </c>
      <c r="M11" s="47">
        <v>336172.5</v>
      </c>
    </row>
    <row r="12" spans="1:13" ht="14.25" customHeight="1" x14ac:dyDescent="0.25">
      <c r="A12" s="42">
        <v>45505</v>
      </c>
      <c r="B12" s="43">
        <v>0</v>
      </c>
      <c r="C12" s="43">
        <v>0</v>
      </c>
      <c r="D12" s="44">
        <f t="shared" si="0"/>
        <v>6083690.3399999999</v>
      </c>
      <c r="E12" s="47">
        <f t="shared" si="1"/>
        <v>4551498.84</v>
      </c>
      <c r="F12" s="43">
        <v>0</v>
      </c>
      <c r="G12" s="46">
        <v>0</v>
      </c>
      <c r="H12" s="44">
        <v>0.5</v>
      </c>
      <c r="I12" s="47">
        <v>0.5</v>
      </c>
      <c r="J12" s="48">
        <v>0</v>
      </c>
      <c r="K12" s="43">
        <v>0</v>
      </c>
      <c r="L12" s="44">
        <v>144849.76999999999</v>
      </c>
      <c r="M12" s="47">
        <v>108369.02</v>
      </c>
    </row>
    <row r="13" spans="1:13" ht="14.25" customHeight="1" x14ac:dyDescent="0.25">
      <c r="A13" s="42">
        <v>45536</v>
      </c>
      <c r="B13" s="43">
        <v>0</v>
      </c>
      <c r="C13" s="43">
        <v>0</v>
      </c>
      <c r="D13" s="44">
        <f t="shared" si="0"/>
        <v>6636131.46</v>
      </c>
      <c r="E13" s="47">
        <f t="shared" si="1"/>
        <v>9927512.2799999993</v>
      </c>
      <c r="F13" s="43">
        <v>0</v>
      </c>
      <c r="G13" s="46">
        <v>0</v>
      </c>
      <c r="H13" s="44">
        <v>0.5</v>
      </c>
      <c r="I13" s="47">
        <v>0.5</v>
      </c>
      <c r="J13" s="48">
        <v>0</v>
      </c>
      <c r="K13" s="43">
        <v>0</v>
      </c>
      <c r="L13" s="44">
        <v>158003.13</v>
      </c>
      <c r="M13" s="47">
        <v>236369.34</v>
      </c>
    </row>
    <row r="14" spans="1:13" ht="14.25" customHeight="1" x14ac:dyDescent="0.25">
      <c r="A14" s="42">
        <v>45566</v>
      </c>
      <c r="B14" s="43">
        <v>0</v>
      </c>
      <c r="C14" s="43">
        <v>0</v>
      </c>
      <c r="D14" s="44">
        <f t="shared" si="0"/>
        <v>2387110.3199999998</v>
      </c>
      <c r="E14" s="47">
        <f t="shared" si="1"/>
        <v>7214789.4000000004</v>
      </c>
      <c r="F14" s="43">
        <v>0</v>
      </c>
      <c r="G14" s="46">
        <v>0</v>
      </c>
      <c r="H14" s="44">
        <v>0.49</v>
      </c>
      <c r="I14" s="47">
        <v>0.49</v>
      </c>
      <c r="J14" s="48">
        <v>0</v>
      </c>
      <c r="K14" s="43">
        <v>0</v>
      </c>
      <c r="L14" s="44">
        <v>56835.96</v>
      </c>
      <c r="M14" s="47">
        <v>171780.7</v>
      </c>
    </row>
    <row r="15" spans="1:13" ht="14.25" customHeight="1" x14ac:dyDescent="0.25">
      <c r="A15" s="42">
        <v>45597</v>
      </c>
      <c r="B15" s="43">
        <v>0</v>
      </c>
      <c r="C15" s="43">
        <v>0</v>
      </c>
      <c r="D15" s="44">
        <f t="shared" si="0"/>
        <v>310128</v>
      </c>
      <c r="E15" s="47">
        <f t="shared" si="1"/>
        <v>2486694</v>
      </c>
      <c r="F15" s="43">
        <v>0</v>
      </c>
      <c r="G15" s="46">
        <v>0</v>
      </c>
      <c r="H15" s="44">
        <v>0.49</v>
      </c>
      <c r="I15" s="47">
        <v>0.49</v>
      </c>
      <c r="J15" s="48">
        <v>0</v>
      </c>
      <c r="K15" s="43">
        <v>0</v>
      </c>
      <c r="L15" s="44">
        <v>7384</v>
      </c>
      <c r="M15" s="47">
        <v>59207</v>
      </c>
    </row>
    <row r="16" spans="1:13" ht="14.25" customHeight="1" x14ac:dyDescent="0.25">
      <c r="A16" s="49">
        <v>45627</v>
      </c>
      <c r="B16" s="50">
        <v>0</v>
      </c>
      <c r="C16" s="50">
        <v>0</v>
      </c>
      <c r="D16" s="51">
        <f t="shared" si="0"/>
        <v>567774.9</v>
      </c>
      <c r="E16" s="52">
        <f t="shared" si="1"/>
        <v>7663387.2000000002</v>
      </c>
      <c r="F16" s="43">
        <v>0</v>
      </c>
      <c r="G16" s="46">
        <v>0</v>
      </c>
      <c r="H16" s="51">
        <v>0.49</v>
      </c>
      <c r="I16" s="52">
        <v>0.49</v>
      </c>
      <c r="J16" s="53">
        <v>0</v>
      </c>
      <c r="K16" s="50">
        <v>0</v>
      </c>
      <c r="L16" s="51">
        <v>13518.45</v>
      </c>
      <c r="M16" s="52">
        <v>182461.6</v>
      </c>
    </row>
    <row r="17" spans="1:9" ht="14.25" customHeight="1" x14ac:dyDescent="0.25">
      <c r="A17" s="5" t="s">
        <v>26</v>
      </c>
      <c r="B17" s="54">
        <f>SUM(B5:B16)</f>
        <v>0</v>
      </c>
      <c r="C17" s="54">
        <f>SUM(C5:C16)</f>
        <v>0</v>
      </c>
      <c r="D17" s="55">
        <f>SUM(D5:D16)</f>
        <v>37794272.879999995</v>
      </c>
      <c r="E17" s="55">
        <f>SUM(E5:E16)</f>
        <v>60867078.720000006</v>
      </c>
      <c r="F17" s="56">
        <f>AVERAGE(F5:F16)</f>
        <v>0</v>
      </c>
      <c r="G17" s="56">
        <f>AVERAGE(G5:G16)</f>
        <v>0</v>
      </c>
      <c r="H17" s="57">
        <f>AVERAGE(H5:H16)</f>
        <v>0.4941666666666667</v>
      </c>
      <c r="I17" s="57">
        <f>AVERAGE(I5:I16)</f>
        <v>0.4941666666666667</v>
      </c>
    </row>
    <row r="19" spans="1:9" ht="6" customHeight="1" x14ac:dyDescent="0.25">
      <c r="B19" s="58"/>
    </row>
    <row r="21" spans="1:9" ht="14.25" customHeight="1" x14ac:dyDescent="0.25">
      <c r="A21" s="584" t="s">
        <v>69</v>
      </c>
      <c r="B21" s="584"/>
      <c r="C21" s="584"/>
      <c r="D21" s="584"/>
      <c r="E21" s="584"/>
    </row>
    <row r="22" spans="1:9" ht="14.25" customHeight="1" x14ac:dyDescent="0.25">
      <c r="A22" s="585" t="s">
        <v>64</v>
      </c>
      <c r="B22" s="589" t="s">
        <v>61</v>
      </c>
      <c r="C22" s="589"/>
      <c r="D22" s="587" t="s">
        <v>62</v>
      </c>
      <c r="E22" s="587"/>
      <c r="G22" s="29" t="s">
        <v>63</v>
      </c>
    </row>
    <row r="23" spans="1:9" ht="14.25" customHeight="1" x14ac:dyDescent="0.25">
      <c r="A23" s="585"/>
      <c r="B23" s="34" t="s">
        <v>70</v>
      </c>
      <c r="C23" s="33" t="s">
        <v>71</v>
      </c>
      <c r="D23" s="34" t="s">
        <v>70</v>
      </c>
      <c r="E23" s="35" t="s">
        <v>71</v>
      </c>
      <c r="G23" s="34" t="s">
        <v>70</v>
      </c>
      <c r="H23" s="35" t="s">
        <v>71</v>
      </c>
    </row>
    <row r="24" spans="1:9" ht="14.25" customHeight="1" x14ac:dyDescent="0.25">
      <c r="A24" s="59">
        <f t="shared" ref="A24:A35" si="2">A5</f>
        <v>45292</v>
      </c>
      <c r="B24" s="60">
        <v>0</v>
      </c>
      <c r="C24" s="60">
        <v>0</v>
      </c>
      <c r="D24" s="61">
        <v>8.0000000000000004E-4</v>
      </c>
      <c r="E24" s="61">
        <v>8.0000000000000004E-4</v>
      </c>
      <c r="G24" s="62">
        <v>0</v>
      </c>
      <c r="H24" s="62">
        <v>0</v>
      </c>
    </row>
    <row r="25" spans="1:9" ht="14.25" customHeight="1" x14ac:dyDescent="0.25">
      <c r="A25" s="63">
        <f t="shared" si="2"/>
        <v>45323</v>
      </c>
      <c r="B25" s="64">
        <v>0</v>
      </c>
      <c r="C25" s="64">
        <v>0</v>
      </c>
      <c r="D25" s="65">
        <v>8.0000000000000004E-4</v>
      </c>
      <c r="E25" s="65">
        <v>8.0000000000000004E-4</v>
      </c>
      <c r="G25" s="62">
        <v>0</v>
      </c>
      <c r="H25" s="62">
        <v>0</v>
      </c>
    </row>
    <row r="26" spans="1:9" ht="14.25" customHeight="1" x14ac:dyDescent="0.25">
      <c r="A26" s="63">
        <f t="shared" si="2"/>
        <v>45352</v>
      </c>
      <c r="B26" s="64">
        <v>0</v>
      </c>
      <c r="C26" s="64">
        <v>0</v>
      </c>
      <c r="D26" s="65">
        <v>8.0000000000000004E-4</v>
      </c>
      <c r="E26" s="65">
        <v>8.0000000000000004E-4</v>
      </c>
      <c r="G26" s="62">
        <v>0</v>
      </c>
      <c r="H26" s="62">
        <v>0</v>
      </c>
    </row>
    <row r="27" spans="1:9" ht="14.25" customHeight="1" x14ac:dyDescent="0.25">
      <c r="A27" s="63">
        <f t="shared" si="2"/>
        <v>45383</v>
      </c>
      <c r="B27" s="64">
        <v>0</v>
      </c>
      <c r="C27" s="64">
        <v>0</v>
      </c>
      <c r="D27" s="65">
        <v>8.0000000000000004E-4</v>
      </c>
      <c r="E27" s="65">
        <v>8.0000000000000004E-4</v>
      </c>
      <c r="G27" s="62">
        <v>0</v>
      </c>
      <c r="H27" s="62">
        <v>0</v>
      </c>
    </row>
    <row r="28" spans="1:9" ht="14.25" customHeight="1" x14ac:dyDescent="0.25">
      <c r="A28" s="63">
        <f t="shared" si="2"/>
        <v>45413</v>
      </c>
      <c r="B28" s="64">
        <v>0</v>
      </c>
      <c r="C28" s="64">
        <v>0</v>
      </c>
      <c r="D28" s="65">
        <v>8.0000000000000004E-4</v>
      </c>
      <c r="E28" s="65">
        <v>8.0000000000000004E-4</v>
      </c>
      <c r="G28" s="62">
        <v>0</v>
      </c>
      <c r="H28" s="62">
        <v>0</v>
      </c>
    </row>
    <row r="29" spans="1:9" ht="14.25" customHeight="1" x14ac:dyDescent="0.25">
      <c r="A29" s="63">
        <f t="shared" si="2"/>
        <v>45444</v>
      </c>
      <c r="B29" s="64">
        <v>0</v>
      </c>
      <c r="C29" s="64">
        <v>0</v>
      </c>
      <c r="D29" s="65">
        <v>8.0000000000000004E-4</v>
      </c>
      <c r="E29" s="65">
        <v>8.0000000000000004E-4</v>
      </c>
      <c r="G29" s="62">
        <v>0</v>
      </c>
      <c r="H29" s="62">
        <v>0</v>
      </c>
    </row>
    <row r="30" spans="1:9" ht="14.25" customHeight="1" x14ac:dyDescent="0.25">
      <c r="A30" s="63">
        <f t="shared" si="2"/>
        <v>45474</v>
      </c>
      <c r="B30" s="64">
        <v>0</v>
      </c>
      <c r="C30" s="64">
        <v>4650</v>
      </c>
      <c r="D30" s="65">
        <v>8.0000000000000004E-4</v>
      </c>
      <c r="E30" s="65">
        <v>8.0000000000000004E-4</v>
      </c>
      <c r="G30" s="62">
        <v>1E-3</v>
      </c>
      <c r="H30" s="62">
        <v>1E-3</v>
      </c>
    </row>
    <row r="31" spans="1:9" ht="14.25" customHeight="1" x14ac:dyDescent="0.25">
      <c r="A31" s="63">
        <f t="shared" si="2"/>
        <v>45505</v>
      </c>
      <c r="B31" s="64">
        <v>0</v>
      </c>
      <c r="C31" s="64">
        <v>4931</v>
      </c>
      <c r="D31" s="65">
        <v>8.0000000000000004E-4</v>
      </c>
      <c r="E31" s="65">
        <v>8.0000000000000004E-4</v>
      </c>
      <c r="G31" s="62"/>
      <c r="H31" s="62"/>
    </row>
    <row r="32" spans="1:9" ht="14.25" customHeight="1" x14ac:dyDescent="0.25">
      <c r="A32" s="63">
        <f t="shared" si="2"/>
        <v>45536</v>
      </c>
      <c r="B32" s="64">
        <v>0</v>
      </c>
      <c r="C32" s="64">
        <v>21642</v>
      </c>
      <c r="D32" s="65">
        <v>8.0000000000000004E-4</v>
      </c>
      <c r="E32" s="65">
        <v>8.0000000000000004E-4</v>
      </c>
      <c r="G32" s="62"/>
      <c r="H32" s="62"/>
    </row>
    <row r="33" spans="1:12" ht="14.25" customHeight="1" x14ac:dyDescent="0.25">
      <c r="A33" s="63">
        <f t="shared" si="2"/>
        <v>45566</v>
      </c>
      <c r="B33" s="64">
        <v>0</v>
      </c>
      <c r="C33" s="64">
        <v>85390</v>
      </c>
      <c r="D33" s="65">
        <v>8.0000000000000004E-4</v>
      </c>
      <c r="E33" s="65">
        <v>8.0000000000000004E-4</v>
      </c>
      <c r="G33" s="62"/>
      <c r="H33" s="62"/>
    </row>
    <row r="34" spans="1:12" ht="14.25" customHeight="1" x14ac:dyDescent="0.25">
      <c r="A34" s="63">
        <f t="shared" si="2"/>
        <v>45597</v>
      </c>
      <c r="B34" s="64">
        <v>0</v>
      </c>
      <c r="C34" s="64">
        <v>13630</v>
      </c>
      <c r="D34" s="65">
        <v>8.0000000000000004E-4</v>
      </c>
      <c r="E34" s="65">
        <v>8.0000000000000004E-4</v>
      </c>
      <c r="G34" s="62"/>
      <c r="H34" s="62"/>
    </row>
    <row r="35" spans="1:12" ht="14.25" customHeight="1" x14ac:dyDescent="0.25">
      <c r="A35" s="66">
        <f t="shared" si="2"/>
        <v>45627</v>
      </c>
      <c r="B35" s="64">
        <v>0</v>
      </c>
      <c r="C35" s="67">
        <v>0</v>
      </c>
      <c r="D35" s="68">
        <v>8.0000000000000004E-4</v>
      </c>
      <c r="E35" s="68">
        <v>8.0000000000000004E-4</v>
      </c>
      <c r="G35" s="62"/>
      <c r="H35" s="62"/>
    </row>
    <row r="36" spans="1:12" ht="14.25" customHeight="1" x14ac:dyDescent="0.25">
      <c r="A36" s="5" t="s">
        <v>26</v>
      </c>
      <c r="B36" s="69">
        <f>SUM(B30:B35)</f>
        <v>0</v>
      </c>
      <c r="C36" s="69">
        <f>SUM(C30:C35)</f>
        <v>130243</v>
      </c>
      <c r="D36" s="70">
        <f>SUM(D24:D35)</f>
        <v>9.6000000000000026E-3</v>
      </c>
      <c r="E36" s="70">
        <f>SUM(E24:E35)</f>
        <v>9.6000000000000026E-3</v>
      </c>
    </row>
    <row r="37" spans="1:12" ht="11.25" customHeight="1" x14ac:dyDescent="0.25">
      <c r="L37" s="71"/>
    </row>
    <row r="39" spans="1:12" ht="14.25" customHeight="1" x14ac:dyDescent="0.25">
      <c r="A39" s="584" t="s">
        <v>72</v>
      </c>
      <c r="B39" s="584"/>
      <c r="C39" s="584"/>
      <c r="D39" s="584"/>
      <c r="E39" s="584"/>
    </row>
    <row r="40" spans="1:12" ht="14.25" customHeight="1" x14ac:dyDescent="0.25">
      <c r="A40" s="585" t="s">
        <v>64</v>
      </c>
      <c r="B40" s="586" t="s">
        <v>73</v>
      </c>
      <c r="C40" s="586"/>
      <c r="D40" s="587" t="s">
        <v>62</v>
      </c>
      <c r="E40" s="587"/>
    </row>
    <row r="41" spans="1:12" ht="14.25" customHeight="1" x14ac:dyDescent="0.25">
      <c r="A41" s="585"/>
      <c r="B41" s="34" t="s">
        <v>74</v>
      </c>
      <c r="C41" s="33" t="s">
        <v>75</v>
      </c>
      <c r="D41" s="34" t="s">
        <v>74</v>
      </c>
      <c r="E41" s="35" t="s">
        <v>75</v>
      </c>
    </row>
    <row r="42" spans="1:12" ht="14.25" customHeight="1" x14ac:dyDescent="0.25">
      <c r="A42" s="59">
        <f t="shared" ref="A42:A53" si="3">A5</f>
        <v>45292</v>
      </c>
      <c r="B42" s="72">
        <v>0</v>
      </c>
      <c r="C42" s="72">
        <v>274565</v>
      </c>
      <c r="D42" s="73">
        <v>4.6999999999999999E-4</v>
      </c>
      <c r="E42" s="73">
        <v>4.6999999999999999E-4</v>
      </c>
    </row>
    <row r="43" spans="1:12" ht="14.25" customHeight="1" x14ac:dyDescent="0.25">
      <c r="A43" s="63">
        <f t="shared" si="3"/>
        <v>45323</v>
      </c>
      <c r="B43" s="74">
        <v>71709</v>
      </c>
      <c r="C43" s="74">
        <v>0</v>
      </c>
      <c r="D43" s="75">
        <v>1E-4</v>
      </c>
      <c r="E43" s="75">
        <v>1E-4</v>
      </c>
    </row>
    <row r="44" spans="1:12" ht="14.25" customHeight="1" x14ac:dyDescent="0.25">
      <c r="A44" s="63">
        <f t="shared" si="3"/>
        <v>45352</v>
      </c>
      <c r="B44" s="74">
        <v>853651500</v>
      </c>
      <c r="C44" s="74">
        <v>0</v>
      </c>
      <c r="D44" s="75">
        <v>6.8999999999999997E-5</v>
      </c>
      <c r="E44" s="75">
        <v>6.8999999999999997E-5</v>
      </c>
    </row>
    <row r="45" spans="1:12" ht="14.25" customHeight="1" x14ac:dyDescent="0.25">
      <c r="A45" s="63">
        <f t="shared" si="3"/>
        <v>45383</v>
      </c>
      <c r="B45" s="74">
        <v>1876856600</v>
      </c>
      <c r="C45" s="74">
        <v>0</v>
      </c>
      <c r="D45" s="75">
        <v>6.8999999999999997E-5</v>
      </c>
      <c r="E45" s="75">
        <v>6.8999999999999997E-5</v>
      </c>
    </row>
    <row r="46" spans="1:12" ht="14.25" customHeight="1" x14ac:dyDescent="0.25">
      <c r="A46" s="63">
        <f t="shared" si="3"/>
        <v>45413</v>
      </c>
      <c r="B46" s="74">
        <v>265688800</v>
      </c>
      <c r="C46" s="74">
        <v>369161400</v>
      </c>
      <c r="D46" s="75">
        <v>1.7000000000000001E-4</v>
      </c>
      <c r="E46" s="75">
        <v>1.7000000000000001E-4</v>
      </c>
    </row>
    <row r="47" spans="1:12" ht="14.25" customHeight="1" x14ac:dyDescent="0.25">
      <c r="A47" s="63">
        <f t="shared" si="3"/>
        <v>45444</v>
      </c>
      <c r="B47" s="74">
        <v>785814100</v>
      </c>
      <c r="C47" s="74">
        <v>554304900</v>
      </c>
      <c r="D47" s="75">
        <v>1.2999999999999999E-4</v>
      </c>
      <c r="E47" s="75">
        <v>1.2999999999999999E-4</v>
      </c>
    </row>
    <row r="48" spans="1:12" ht="14.25" customHeight="1" x14ac:dyDescent="0.25">
      <c r="A48" s="63">
        <f t="shared" si="3"/>
        <v>45474</v>
      </c>
      <c r="B48" s="76">
        <v>732909900</v>
      </c>
      <c r="C48" s="76">
        <v>63152000</v>
      </c>
      <c r="D48" s="77">
        <v>8.7000000000000001E-4</v>
      </c>
      <c r="E48" s="77">
        <v>8.7000000000000001E-4</v>
      </c>
    </row>
    <row r="49" spans="1:5" ht="14.25" customHeight="1" x14ac:dyDescent="0.25">
      <c r="A49" s="63">
        <f t="shared" si="3"/>
        <v>45505</v>
      </c>
      <c r="B49" s="76">
        <v>903647500</v>
      </c>
      <c r="C49" s="76">
        <v>892527600</v>
      </c>
      <c r="D49" s="77">
        <v>8.9999999999999998E-4</v>
      </c>
      <c r="E49" s="77">
        <v>8.9999999999999998E-4</v>
      </c>
    </row>
    <row r="50" spans="1:5" ht="14.25" customHeight="1" x14ac:dyDescent="0.25">
      <c r="A50" s="63">
        <f t="shared" si="3"/>
        <v>45536</v>
      </c>
      <c r="B50" s="76">
        <v>1024263900</v>
      </c>
      <c r="C50" s="76">
        <v>587255900</v>
      </c>
      <c r="D50" s="77">
        <v>8.9999999999999998E-4</v>
      </c>
      <c r="E50" s="77">
        <v>8.9999999999999998E-4</v>
      </c>
    </row>
    <row r="51" spans="1:5" ht="14.25" customHeight="1" x14ac:dyDescent="0.25">
      <c r="A51" s="63">
        <f t="shared" si="3"/>
        <v>45566</v>
      </c>
      <c r="B51" s="76">
        <v>1398501544</v>
      </c>
      <c r="C51" s="76">
        <v>1190046839</v>
      </c>
      <c r="D51" s="77">
        <v>6.9999999999999999E-4</v>
      </c>
      <c r="E51" s="77">
        <v>6.9999999999999999E-4</v>
      </c>
    </row>
    <row r="52" spans="1:5" ht="14.25" customHeight="1" x14ac:dyDescent="0.25">
      <c r="A52" s="63">
        <f t="shared" si="3"/>
        <v>45597</v>
      </c>
      <c r="B52" s="76">
        <v>1888307912.5</v>
      </c>
      <c r="C52" s="76">
        <v>1656996722.5</v>
      </c>
      <c r="D52" s="77">
        <v>8.0000000000000004E-4</v>
      </c>
      <c r="E52" s="77">
        <v>8.0000000000000004E-4</v>
      </c>
    </row>
    <row r="53" spans="1:5" ht="14.25" customHeight="1" x14ac:dyDescent="0.25">
      <c r="A53" s="66">
        <f t="shared" si="3"/>
        <v>45627</v>
      </c>
      <c r="B53" s="78">
        <v>1398534054.4000001</v>
      </c>
      <c r="C53" s="78">
        <v>840587756.20000005</v>
      </c>
      <c r="D53" s="79">
        <v>1E-3</v>
      </c>
      <c r="E53" s="79">
        <v>1E-3</v>
      </c>
    </row>
    <row r="54" spans="1:5" ht="14.25" customHeight="1" x14ac:dyDescent="0.25">
      <c r="A54" s="5" t="s">
        <v>76</v>
      </c>
      <c r="B54" s="80">
        <f>SUM(B42:B53)</f>
        <v>11128247519.9</v>
      </c>
      <c r="C54" s="80">
        <f>SUM(C42:C53)</f>
        <v>6154307682.6999998</v>
      </c>
      <c r="D54" s="81">
        <f>SUM(D42:D53)</f>
        <v>6.1780000000000003E-3</v>
      </c>
      <c r="E54" s="81">
        <f>SUM(E42:E53)</f>
        <v>6.1780000000000003E-3</v>
      </c>
    </row>
  </sheetData>
  <mergeCells count="11">
    <mergeCell ref="A39:E39"/>
    <mergeCell ref="A40:A41"/>
    <mergeCell ref="B40:C40"/>
    <mergeCell ref="D40:E40"/>
    <mergeCell ref="A2:I2"/>
    <mergeCell ref="A3:E3"/>
    <mergeCell ref="F3:I3"/>
    <mergeCell ref="A21:E21"/>
    <mergeCell ref="A22:A23"/>
    <mergeCell ref="B22:C22"/>
    <mergeCell ref="D22:E22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8"/>
  <sheetViews>
    <sheetView zoomScaleNormal="100" workbookViewId="0">
      <selection sqref="A1:O1"/>
    </sheetView>
  </sheetViews>
  <sheetFormatPr defaultColWidth="8.7109375" defaultRowHeight="12.75" x14ac:dyDescent="0.2"/>
  <cols>
    <col min="2" max="2" width="14.140625" customWidth="1"/>
    <col min="3" max="3" width="13.140625" customWidth="1"/>
    <col min="5" max="5" width="11.7109375" customWidth="1"/>
  </cols>
  <sheetData>
    <row r="1" spans="1:18" ht="14.25" customHeight="1" x14ac:dyDescent="0.2">
      <c r="A1" s="82"/>
      <c r="B1" s="592" t="s">
        <v>470</v>
      </c>
      <c r="C1" s="592"/>
      <c r="D1" s="592"/>
      <c r="E1" s="592"/>
      <c r="F1" s="592"/>
      <c r="G1" s="592"/>
      <c r="H1" s="592"/>
      <c r="I1" s="592"/>
      <c r="J1" s="592"/>
    </row>
    <row r="2" spans="1:18" ht="14.25" customHeight="1" x14ac:dyDescent="0.25">
      <c r="F2" s="83"/>
    </row>
    <row r="3" spans="1:18" ht="14.25" customHeight="1" x14ac:dyDescent="0.2">
      <c r="B3" t="s">
        <v>77</v>
      </c>
    </row>
    <row r="5" spans="1:18" ht="14.25" customHeight="1" x14ac:dyDescent="0.2">
      <c r="B5" t="s">
        <v>17</v>
      </c>
      <c r="C5" t="s">
        <v>78</v>
      </c>
    </row>
    <row r="6" spans="1:18" ht="14.25" customHeight="1" x14ac:dyDescent="0.2">
      <c r="B6" t="s">
        <v>41</v>
      </c>
      <c r="C6" t="s">
        <v>79</v>
      </c>
    </row>
    <row r="7" spans="1:18" ht="14.25" customHeight="1" x14ac:dyDescent="0.2">
      <c r="B7" t="s">
        <v>20</v>
      </c>
      <c r="C7" t="s">
        <v>80</v>
      </c>
    </row>
    <row r="8" spans="1:18" ht="14.25" customHeight="1" x14ac:dyDescent="0.2">
      <c r="B8" t="s">
        <v>22</v>
      </c>
      <c r="C8" t="s">
        <v>81</v>
      </c>
    </row>
    <row r="9" spans="1:18" ht="14.25" customHeight="1" x14ac:dyDescent="0.2">
      <c r="B9" t="s">
        <v>82</v>
      </c>
      <c r="C9" t="s">
        <v>83</v>
      </c>
    </row>
    <row r="10" spans="1:18" ht="14.25" customHeight="1" x14ac:dyDescent="0.25">
      <c r="B10" s="84" t="s">
        <v>23</v>
      </c>
      <c r="C10" t="s">
        <v>84</v>
      </c>
    </row>
    <row r="11" spans="1:18" ht="14.25" customHeight="1" x14ac:dyDescent="0.25">
      <c r="B11" s="84" t="s">
        <v>24</v>
      </c>
      <c r="C11" t="s">
        <v>85</v>
      </c>
    </row>
    <row r="12" spans="1:18" ht="14.25" customHeight="1" x14ac:dyDescent="0.2">
      <c r="R12">
        <f>(73.96+0.003*25+0.0006*298)*2.2046</f>
        <v>163.61174348</v>
      </c>
    </row>
    <row r="13" spans="1:18" ht="14.25" customHeight="1" x14ac:dyDescent="0.2">
      <c r="B13" t="s">
        <v>86</v>
      </c>
      <c r="C13" s="85">
        <f>'Costa Sur'!B36+'Costa Sur'!C36</f>
        <v>130243</v>
      </c>
      <c r="D13" t="s">
        <v>87</v>
      </c>
    </row>
    <row r="14" spans="1:18" ht="14.25" customHeight="1" x14ac:dyDescent="0.2">
      <c r="B14" s="86" t="s">
        <v>88</v>
      </c>
      <c r="C14" s="87">
        <f>MAX('Costa Sur'!D35:E35)</f>
        <v>8.0000000000000004E-4</v>
      </c>
    </row>
    <row r="17" spans="2:10" ht="14.25" customHeight="1" x14ac:dyDescent="0.2">
      <c r="B17" t="s">
        <v>89</v>
      </c>
    </row>
    <row r="19" spans="2:10" ht="14.25" customHeight="1" x14ac:dyDescent="0.25">
      <c r="B19" s="88" t="s">
        <v>90</v>
      </c>
      <c r="C19" s="89">
        <v>1.2E-2</v>
      </c>
      <c r="D19" s="90" t="s">
        <v>91</v>
      </c>
      <c r="E19" s="91">
        <f>C13</f>
        <v>130243</v>
      </c>
      <c r="F19" s="90" t="s">
        <v>92</v>
      </c>
      <c r="G19" s="89">
        <v>0.13800000000000001</v>
      </c>
      <c r="H19" s="90" t="s">
        <v>93</v>
      </c>
      <c r="I19" s="591" t="s">
        <v>94</v>
      </c>
      <c r="J19" s="591"/>
    </row>
    <row r="20" spans="2:10" ht="14.25" customHeight="1" x14ac:dyDescent="0.2">
      <c r="C20" s="590" t="s">
        <v>93</v>
      </c>
      <c r="D20" s="590"/>
      <c r="E20" s="590" t="s">
        <v>64</v>
      </c>
      <c r="F20" s="590"/>
      <c r="G20" s="590" t="s">
        <v>92</v>
      </c>
      <c r="H20" s="590"/>
      <c r="I20" s="2">
        <v>2000</v>
      </c>
      <c r="J20" s="92" t="s">
        <v>91</v>
      </c>
    </row>
    <row r="23" spans="2:10" ht="14.25" customHeight="1" x14ac:dyDescent="0.25">
      <c r="B23" s="88" t="s">
        <v>90</v>
      </c>
      <c r="C23" s="93">
        <f>C19*E19*G19/I20</f>
        <v>0.10784120400000001</v>
      </c>
      <c r="D23" s="94" t="s">
        <v>94</v>
      </c>
      <c r="E23" s="95" t="s">
        <v>90</v>
      </c>
      <c r="F23" s="96">
        <f>C23*2000/8760</f>
        <v>2.4621279452054796E-2</v>
      </c>
      <c r="G23" s="90" t="s">
        <v>91</v>
      </c>
    </row>
    <row r="24" spans="2:10" ht="14.25" customHeight="1" x14ac:dyDescent="0.25">
      <c r="D24" s="97" t="s">
        <v>64</v>
      </c>
      <c r="G24" s="98" t="s">
        <v>95</v>
      </c>
    </row>
    <row r="26" spans="2:10" ht="14.25" customHeight="1" x14ac:dyDescent="0.2">
      <c r="B26" t="s">
        <v>96</v>
      </c>
    </row>
    <row r="28" spans="2:10" ht="14.25" customHeight="1" x14ac:dyDescent="0.25">
      <c r="B28" s="88" t="s">
        <v>90</v>
      </c>
      <c r="C28" s="99">
        <f>1.01*C14</f>
        <v>8.0800000000000002E-4</v>
      </c>
      <c r="D28" s="90" t="s">
        <v>91</v>
      </c>
      <c r="E28" s="91">
        <f>E19</f>
        <v>130243</v>
      </c>
      <c r="F28" s="90" t="s">
        <v>92</v>
      </c>
      <c r="G28" s="89">
        <v>0.13800000000000001</v>
      </c>
      <c r="H28" s="90" t="s">
        <v>93</v>
      </c>
      <c r="I28" s="591" t="s">
        <v>94</v>
      </c>
      <c r="J28" s="591"/>
    </row>
    <row r="29" spans="2:10" ht="14.25" customHeight="1" x14ac:dyDescent="0.2">
      <c r="C29" s="590" t="s">
        <v>93</v>
      </c>
      <c r="D29" s="590"/>
      <c r="E29" s="590" t="s">
        <v>64</v>
      </c>
      <c r="F29" s="590"/>
      <c r="G29" s="590" t="s">
        <v>92</v>
      </c>
      <c r="H29" s="590"/>
      <c r="I29" s="2">
        <v>2000</v>
      </c>
      <c r="J29" s="92" t="s">
        <v>91</v>
      </c>
    </row>
    <row r="32" spans="2:10" ht="14.25" customHeight="1" x14ac:dyDescent="0.25">
      <c r="B32" s="88" t="s">
        <v>90</v>
      </c>
      <c r="C32" s="93">
        <f>C28*E28*G28/I29</f>
        <v>7.2613077360000012E-3</v>
      </c>
      <c r="D32" s="94" t="s">
        <v>94</v>
      </c>
      <c r="E32" s="95" t="s">
        <v>90</v>
      </c>
      <c r="F32" s="96">
        <f>C32*2000/8760</f>
        <v>1.6578328164383563E-3</v>
      </c>
      <c r="G32" s="90" t="s">
        <v>91</v>
      </c>
    </row>
    <row r="33" spans="2:10" ht="14.25" customHeight="1" x14ac:dyDescent="0.25">
      <c r="D33" s="97" t="s">
        <v>64</v>
      </c>
      <c r="G33" s="98" t="s">
        <v>95</v>
      </c>
    </row>
    <row r="35" spans="2:10" ht="14.25" customHeight="1" x14ac:dyDescent="0.2">
      <c r="B35" t="s">
        <v>97</v>
      </c>
    </row>
    <row r="37" spans="2:10" ht="14.25" customHeight="1" x14ac:dyDescent="0.25">
      <c r="B37" s="88" t="s">
        <v>90</v>
      </c>
      <c r="C37" s="89">
        <v>0.88</v>
      </c>
      <c r="D37" s="90" t="s">
        <v>91</v>
      </c>
      <c r="E37" s="91">
        <f>E19</f>
        <v>130243</v>
      </c>
      <c r="F37" s="90" t="s">
        <v>92</v>
      </c>
      <c r="G37" s="89">
        <v>0.13800000000000001</v>
      </c>
      <c r="H37" s="90" t="s">
        <v>93</v>
      </c>
      <c r="I37" s="591" t="s">
        <v>94</v>
      </c>
      <c r="J37" s="591"/>
    </row>
    <row r="38" spans="2:10" ht="14.25" customHeight="1" x14ac:dyDescent="0.2">
      <c r="C38" s="590" t="s">
        <v>93</v>
      </c>
      <c r="D38" s="590"/>
      <c r="E38" s="590" t="s">
        <v>64</v>
      </c>
      <c r="F38" s="590"/>
      <c r="G38" s="590" t="s">
        <v>92</v>
      </c>
      <c r="H38" s="590"/>
      <c r="I38" s="2">
        <v>2000</v>
      </c>
      <c r="J38" s="92" t="s">
        <v>91</v>
      </c>
    </row>
    <row r="41" spans="2:10" ht="14.25" customHeight="1" x14ac:dyDescent="0.25">
      <c r="B41" s="88" t="s">
        <v>90</v>
      </c>
      <c r="C41" s="93">
        <f>C37*E37*G37/I38</f>
        <v>7.9083549600000005</v>
      </c>
      <c r="D41" s="94" t="s">
        <v>94</v>
      </c>
      <c r="E41" s="95" t="s">
        <v>90</v>
      </c>
      <c r="F41" s="96">
        <f>C41*2000/8760</f>
        <v>1.805560493150685</v>
      </c>
      <c r="G41" s="90" t="s">
        <v>91</v>
      </c>
    </row>
    <row r="42" spans="2:10" ht="14.25" customHeight="1" x14ac:dyDescent="0.25">
      <c r="D42" s="97" t="s">
        <v>64</v>
      </c>
      <c r="G42" s="98" t="s">
        <v>95</v>
      </c>
    </row>
    <row r="43" spans="2:10" ht="14.25" customHeight="1" x14ac:dyDescent="0.25">
      <c r="D43" s="97"/>
      <c r="G43" s="98"/>
    </row>
    <row r="44" spans="2:10" ht="14.25" customHeight="1" x14ac:dyDescent="0.2">
      <c r="B44" t="s">
        <v>98</v>
      </c>
    </row>
    <row r="46" spans="2:10" ht="14.25" customHeight="1" x14ac:dyDescent="0.25">
      <c r="B46" s="88" t="s">
        <v>90</v>
      </c>
      <c r="C46" s="89">
        <v>4.0999999999999999E-4</v>
      </c>
      <c r="D46" s="90" t="s">
        <v>91</v>
      </c>
      <c r="E46" s="91">
        <f>E19</f>
        <v>130243</v>
      </c>
      <c r="F46" s="90" t="s">
        <v>92</v>
      </c>
      <c r="G46" s="89">
        <v>0.13800000000000001</v>
      </c>
      <c r="H46" s="90" t="s">
        <v>93</v>
      </c>
      <c r="I46" s="591" t="s">
        <v>94</v>
      </c>
      <c r="J46" s="591"/>
    </row>
    <row r="47" spans="2:10" ht="14.25" customHeight="1" x14ac:dyDescent="0.2">
      <c r="C47" s="590" t="s">
        <v>93</v>
      </c>
      <c r="D47" s="590"/>
      <c r="E47" s="590" t="s">
        <v>64</v>
      </c>
      <c r="F47" s="590"/>
      <c r="G47" s="590" t="s">
        <v>92</v>
      </c>
      <c r="H47" s="590"/>
      <c r="I47" s="2">
        <v>2000</v>
      </c>
      <c r="J47" s="92" t="s">
        <v>91</v>
      </c>
    </row>
    <row r="50" spans="2:10" ht="14.25" customHeight="1" x14ac:dyDescent="0.25">
      <c r="B50" s="88" t="s">
        <v>90</v>
      </c>
      <c r="C50" s="100">
        <f>C46*E46*G46/I47</f>
        <v>3.6845744700000002E-3</v>
      </c>
      <c r="D50" s="94" t="s">
        <v>94</v>
      </c>
      <c r="E50" s="95" t="s">
        <v>90</v>
      </c>
      <c r="F50" s="101">
        <f>C50*2000/8760</f>
        <v>8.4122704794520559E-4</v>
      </c>
      <c r="G50" s="90" t="s">
        <v>91</v>
      </c>
    </row>
    <row r="51" spans="2:10" ht="14.25" customHeight="1" x14ac:dyDescent="0.25">
      <c r="D51" s="97" t="s">
        <v>64</v>
      </c>
      <c r="G51" s="98" t="s">
        <v>95</v>
      </c>
    </row>
    <row r="52" spans="2:10" ht="14.25" customHeight="1" x14ac:dyDescent="0.25">
      <c r="D52" s="97"/>
      <c r="G52" s="98"/>
    </row>
    <row r="53" spans="2:10" ht="14.25" customHeight="1" x14ac:dyDescent="0.2">
      <c r="B53" t="s">
        <v>99</v>
      </c>
    </row>
    <row r="55" spans="2:10" ht="14.25" customHeight="1" x14ac:dyDescent="0.25">
      <c r="B55" s="88" t="s">
        <v>90</v>
      </c>
      <c r="C55" s="89">
        <v>3.3E-3</v>
      </c>
      <c r="D55" s="90" t="s">
        <v>91</v>
      </c>
      <c r="E55" s="91">
        <f>E19</f>
        <v>130243</v>
      </c>
      <c r="F55" s="90" t="s">
        <v>92</v>
      </c>
      <c r="G55" s="89">
        <v>0.13800000000000001</v>
      </c>
      <c r="H55" s="90" t="s">
        <v>93</v>
      </c>
      <c r="I55" s="591" t="s">
        <v>94</v>
      </c>
      <c r="J55" s="591"/>
    </row>
    <row r="56" spans="2:10" ht="14.25" customHeight="1" x14ac:dyDescent="0.2">
      <c r="C56" s="590" t="s">
        <v>93</v>
      </c>
      <c r="D56" s="590"/>
      <c r="E56" s="590" t="s">
        <v>64</v>
      </c>
      <c r="F56" s="590"/>
      <c r="G56" s="590" t="s">
        <v>92</v>
      </c>
      <c r="H56" s="590"/>
      <c r="I56" s="2">
        <v>2000</v>
      </c>
      <c r="J56" s="92" t="s">
        <v>91</v>
      </c>
    </row>
    <row r="59" spans="2:10" ht="14.25" customHeight="1" x14ac:dyDescent="0.25">
      <c r="B59" s="88" t="s">
        <v>90</v>
      </c>
      <c r="C59" s="93">
        <f>C55*E55*G55/I56</f>
        <v>2.9656331100000002E-2</v>
      </c>
      <c r="D59" s="94" t="s">
        <v>94</v>
      </c>
      <c r="E59" s="95" t="s">
        <v>90</v>
      </c>
      <c r="F59" s="96">
        <f>C59*2000/8760</f>
        <v>6.7708518493150693E-3</v>
      </c>
      <c r="G59" s="90" t="s">
        <v>91</v>
      </c>
    </row>
    <row r="60" spans="2:10" ht="14.25" customHeight="1" x14ac:dyDescent="0.25">
      <c r="D60" s="97" t="s">
        <v>64</v>
      </c>
      <c r="G60" s="98" t="s">
        <v>95</v>
      </c>
    </row>
    <row r="62" spans="2:10" ht="14.25" customHeight="1" x14ac:dyDescent="0.2">
      <c r="B62" t="s">
        <v>100</v>
      </c>
    </row>
    <row r="64" spans="2:10" ht="14.25" customHeight="1" x14ac:dyDescent="0.25">
      <c r="B64" s="88" t="s">
        <v>90</v>
      </c>
      <c r="C64" s="89">
        <v>1.4E-5</v>
      </c>
      <c r="D64" s="90" t="s">
        <v>91</v>
      </c>
      <c r="E64" s="91">
        <f>E19</f>
        <v>130243</v>
      </c>
      <c r="F64" s="90" t="s">
        <v>92</v>
      </c>
      <c r="G64" s="89">
        <v>0.13800000000000001</v>
      </c>
      <c r="H64" s="90" t="s">
        <v>93</v>
      </c>
      <c r="I64" s="591" t="s">
        <v>94</v>
      </c>
      <c r="J64" s="591"/>
    </row>
    <row r="65" spans="2:10" ht="14.25" customHeight="1" x14ac:dyDescent="0.2">
      <c r="C65" s="590" t="s">
        <v>93</v>
      </c>
      <c r="D65" s="590"/>
      <c r="E65" s="590" t="s">
        <v>64</v>
      </c>
      <c r="F65" s="590"/>
      <c r="G65" s="590" t="s">
        <v>92</v>
      </c>
      <c r="H65" s="590"/>
      <c r="I65" s="2">
        <v>2000</v>
      </c>
      <c r="J65" s="92" t="s">
        <v>91</v>
      </c>
    </row>
    <row r="68" spans="2:10" ht="14.25" customHeight="1" x14ac:dyDescent="0.25">
      <c r="B68" s="88" t="s">
        <v>90</v>
      </c>
      <c r="C68" s="102">
        <f>C64*E64*G64/I65</f>
        <v>1.25814738E-4</v>
      </c>
      <c r="D68" s="94" t="s">
        <v>94</v>
      </c>
      <c r="E68" s="95" t="s">
        <v>90</v>
      </c>
      <c r="F68" s="103">
        <f>C68*2000/8760</f>
        <v>2.8724826027397261E-5</v>
      </c>
      <c r="G68" s="90" t="s">
        <v>91</v>
      </c>
    </row>
    <row r="69" spans="2:10" ht="14.25" customHeight="1" x14ac:dyDescent="0.25">
      <c r="D69" s="97" t="s">
        <v>64</v>
      </c>
      <c r="G69" s="98" t="s">
        <v>95</v>
      </c>
    </row>
    <row r="71" spans="2:10" ht="14.25" customHeight="1" x14ac:dyDescent="0.2">
      <c r="B71" t="s">
        <v>101</v>
      </c>
    </row>
    <row r="73" spans="2:10" ht="14.25" customHeight="1" x14ac:dyDescent="0.25">
      <c r="B73" s="88" t="s">
        <v>90</v>
      </c>
      <c r="C73" s="104">
        <f>R12</f>
        <v>163.61174348</v>
      </c>
      <c r="D73" s="90" t="s">
        <v>91</v>
      </c>
      <c r="E73" s="91">
        <f>E19</f>
        <v>130243</v>
      </c>
      <c r="F73" s="90" t="s">
        <v>92</v>
      </c>
      <c r="G73" s="89">
        <v>0.13800000000000001</v>
      </c>
      <c r="H73" s="90" t="s">
        <v>93</v>
      </c>
      <c r="I73" s="591" t="s">
        <v>94</v>
      </c>
      <c r="J73" s="591"/>
    </row>
    <row r="74" spans="2:10" ht="14.25" customHeight="1" x14ac:dyDescent="0.2">
      <c r="C74" s="590" t="s">
        <v>93</v>
      </c>
      <c r="D74" s="590"/>
      <c r="E74" s="590" t="s">
        <v>64</v>
      </c>
      <c r="F74" s="590"/>
      <c r="G74" s="590" t="s">
        <v>92</v>
      </c>
      <c r="H74" s="590"/>
      <c r="I74" s="2">
        <v>2000</v>
      </c>
      <c r="J74" s="92" t="s">
        <v>91</v>
      </c>
    </row>
    <row r="77" spans="2:10" ht="14.25" customHeight="1" x14ac:dyDescent="0.25">
      <c r="B77" s="88" t="s">
        <v>90</v>
      </c>
      <c r="C77" s="102">
        <f>C73*E73*G73/I74</f>
        <v>1470.3406171185293</v>
      </c>
      <c r="D77" s="94" t="s">
        <v>94</v>
      </c>
      <c r="E77" s="95" t="s">
        <v>90</v>
      </c>
      <c r="F77" s="103">
        <f>C77*2000/8760</f>
        <v>335.69420482158205</v>
      </c>
      <c r="G77" s="90" t="s">
        <v>91</v>
      </c>
    </row>
    <row r="78" spans="2:10" ht="14.25" customHeight="1" x14ac:dyDescent="0.25">
      <c r="D78" s="97" t="s">
        <v>64</v>
      </c>
      <c r="G78" s="98" t="s">
        <v>95</v>
      </c>
    </row>
  </sheetData>
  <mergeCells count="29">
    <mergeCell ref="B1:J1"/>
    <mergeCell ref="I19:J19"/>
    <mergeCell ref="C20:D20"/>
    <mergeCell ref="E20:F20"/>
    <mergeCell ref="G20:H20"/>
    <mergeCell ref="I28:J28"/>
    <mergeCell ref="C29:D29"/>
    <mergeCell ref="E29:F29"/>
    <mergeCell ref="G29:H29"/>
    <mergeCell ref="I37:J37"/>
    <mergeCell ref="C38:D38"/>
    <mergeCell ref="E38:F38"/>
    <mergeCell ref="G38:H38"/>
    <mergeCell ref="I46:J46"/>
    <mergeCell ref="C47:D47"/>
    <mergeCell ref="E47:F47"/>
    <mergeCell ref="G47:H47"/>
    <mergeCell ref="I55:J55"/>
    <mergeCell ref="C56:D56"/>
    <mergeCell ref="E56:F56"/>
    <mergeCell ref="G56:H56"/>
    <mergeCell ref="I64:J64"/>
    <mergeCell ref="C65:D65"/>
    <mergeCell ref="E65:F65"/>
    <mergeCell ref="G65:H65"/>
    <mergeCell ref="I73:J73"/>
    <mergeCell ref="C74:D74"/>
    <mergeCell ref="E74:F74"/>
    <mergeCell ref="G74:H74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83"/>
  <sheetViews>
    <sheetView zoomScaleNormal="100" workbookViewId="0">
      <selection sqref="A1:O1"/>
    </sheetView>
  </sheetViews>
  <sheetFormatPr defaultColWidth="8.7109375" defaultRowHeight="12.75" x14ac:dyDescent="0.2"/>
  <cols>
    <col min="1" max="2" width="18.28515625" customWidth="1"/>
    <col min="3" max="3" width="16.5703125" customWidth="1"/>
    <col min="4" max="4" width="12.42578125" customWidth="1"/>
    <col min="5" max="5" width="11.5703125" customWidth="1"/>
    <col min="6" max="6" width="13.5703125" customWidth="1"/>
    <col min="7" max="7" width="4.85546875" customWidth="1"/>
    <col min="8" max="8" width="8.42578125" customWidth="1"/>
    <col min="9" max="9" width="8.28515625" customWidth="1"/>
    <col min="10" max="10" width="5.5703125" customWidth="1"/>
    <col min="11" max="11" width="3.42578125" customWidth="1"/>
    <col min="12" max="12" width="6.5703125" customWidth="1"/>
    <col min="13" max="13" width="13.7109375" customWidth="1"/>
    <col min="14" max="14" width="8.5703125" customWidth="1"/>
    <col min="15" max="15" width="9.140625" customWidth="1"/>
    <col min="16" max="16" width="8.28515625" customWidth="1"/>
    <col min="17" max="17" width="1.7109375" customWidth="1"/>
    <col min="18" max="18" width="8" customWidth="1"/>
    <col min="19" max="19" width="8.28515625" customWidth="1"/>
    <col min="20" max="20" width="5.5703125" customWidth="1"/>
    <col min="21" max="21" width="3.42578125" customWidth="1"/>
    <col min="23" max="23" width="12" customWidth="1"/>
  </cols>
  <sheetData>
    <row r="1" spans="1:24" ht="14.25" customHeight="1" x14ac:dyDescent="0.2">
      <c r="A1" s="594" t="s">
        <v>102</v>
      </c>
      <c r="B1" s="594"/>
      <c r="C1" s="594"/>
      <c r="D1" s="594"/>
      <c r="E1" s="594"/>
      <c r="F1" s="594"/>
      <c r="G1" s="594"/>
      <c r="H1" s="594"/>
      <c r="I1" s="594"/>
      <c r="J1" s="594"/>
      <c r="K1" s="594"/>
      <c r="L1" s="594"/>
      <c r="M1" s="594"/>
      <c r="N1" s="594"/>
      <c r="O1" s="594"/>
      <c r="P1" s="594"/>
    </row>
    <row r="2" spans="1:24" ht="14.25" customHeight="1" x14ac:dyDescent="0.2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</row>
    <row r="3" spans="1:24" ht="52.5" customHeight="1" x14ac:dyDescent="0.2">
      <c r="A3" s="106" t="s">
        <v>103</v>
      </c>
      <c r="B3" s="107" t="s">
        <v>104</v>
      </c>
      <c r="C3" s="107" t="s">
        <v>105</v>
      </c>
      <c r="D3" s="108" t="s">
        <v>106</v>
      </c>
      <c r="E3" s="108" t="s">
        <v>107</v>
      </c>
      <c r="M3" s="105"/>
      <c r="N3" s="105"/>
      <c r="O3" s="105"/>
      <c r="P3" s="105"/>
    </row>
    <row r="4" spans="1:24" ht="14.25" customHeight="1" x14ac:dyDescent="0.2">
      <c r="A4" s="109" t="s">
        <v>20</v>
      </c>
      <c r="B4" s="110">
        <v>0.35</v>
      </c>
      <c r="C4" s="110">
        <v>0.35</v>
      </c>
      <c r="D4" s="111">
        <f>B23</f>
        <v>3017.4407117217993</v>
      </c>
      <c r="E4" s="112">
        <f>F23</f>
        <v>688.91340450269388</v>
      </c>
      <c r="J4" s="113"/>
      <c r="K4" s="114"/>
      <c r="L4" s="114"/>
      <c r="M4" s="105"/>
      <c r="N4" s="105"/>
      <c r="O4" s="105"/>
      <c r="P4" s="105"/>
    </row>
    <row r="5" spans="1:24" ht="14.25" customHeight="1" x14ac:dyDescent="0.2">
      <c r="A5" s="115" t="s">
        <v>21</v>
      </c>
      <c r="B5" s="116">
        <v>8.9999999999999993E-3</v>
      </c>
      <c r="C5" s="117">
        <v>3.8E-3</v>
      </c>
      <c r="D5" s="118">
        <f>B29</f>
        <v>62.851566163931992</v>
      </c>
      <c r="E5" s="119">
        <f>F29</f>
        <v>14.349672640167121</v>
      </c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</row>
    <row r="6" spans="1:24" ht="14.25" customHeight="1" x14ac:dyDescent="0.2">
      <c r="A6" s="115" t="s">
        <v>22</v>
      </c>
      <c r="B6" s="116">
        <v>8.0000000000000004E-4</v>
      </c>
      <c r="C6" s="116">
        <v>1.2999999999999999E-3</v>
      </c>
      <c r="D6" s="118">
        <f>B35</f>
        <v>8.3142925740783991</v>
      </c>
      <c r="E6" s="119">
        <f>F35</f>
        <v>1.8982403137165293</v>
      </c>
      <c r="F6" s="595" t="s">
        <v>108</v>
      </c>
      <c r="G6" s="595"/>
      <c r="H6" s="595"/>
      <c r="I6" s="595"/>
      <c r="J6" s="595"/>
      <c r="K6" s="595"/>
      <c r="L6" s="595"/>
      <c r="M6" s="595"/>
      <c r="N6" s="595"/>
      <c r="O6" s="120"/>
      <c r="P6" s="120"/>
    </row>
    <row r="7" spans="1:24" ht="14.25" customHeight="1" x14ac:dyDescent="0.2">
      <c r="A7" s="115" t="s">
        <v>17</v>
      </c>
      <c r="B7" s="116">
        <v>5.0000000000000001E-3</v>
      </c>
      <c r="C7" s="117">
        <v>2.75E-2</v>
      </c>
      <c r="D7" s="118">
        <f>B41</f>
        <v>106.88413136673998</v>
      </c>
      <c r="E7" s="119">
        <f>F41</f>
        <v>24.402769718433785</v>
      </c>
      <c r="F7" s="121" t="s">
        <v>109</v>
      </c>
      <c r="G7" s="122" t="s">
        <v>110</v>
      </c>
      <c r="I7" s="122"/>
      <c r="J7" s="122"/>
      <c r="K7" s="122"/>
      <c r="L7" s="122"/>
      <c r="M7" s="122"/>
      <c r="N7" s="122"/>
      <c r="O7" s="122"/>
      <c r="P7" s="122"/>
    </row>
    <row r="8" spans="1:24" ht="14.25" customHeight="1" x14ac:dyDescent="0.2">
      <c r="A8" s="115" t="s">
        <v>18</v>
      </c>
      <c r="B8" s="116">
        <v>8.0999999999999996E-3</v>
      </c>
      <c r="C8" s="117">
        <v>0.04</v>
      </c>
      <c r="D8" s="118">
        <f>B47</f>
        <v>160.25499719381881</v>
      </c>
      <c r="E8" s="123">
        <f>F47</f>
        <v>36.587898902698356</v>
      </c>
      <c r="F8" s="124"/>
      <c r="G8" s="122" t="s">
        <v>111</v>
      </c>
      <c r="H8" s="122"/>
      <c r="I8" s="122"/>
      <c r="J8" s="122"/>
      <c r="K8" s="122"/>
      <c r="L8" s="122"/>
      <c r="M8" s="122"/>
      <c r="N8" s="122"/>
      <c r="O8" s="122"/>
    </row>
    <row r="9" spans="1:24" ht="14.25" customHeight="1" x14ac:dyDescent="0.2">
      <c r="A9" s="115" t="s">
        <v>40</v>
      </c>
      <c r="B9" s="116">
        <v>7.4999999999999997E-3</v>
      </c>
      <c r="C9" s="117">
        <v>3.3000000000000002E-2</v>
      </c>
      <c r="D9" s="118">
        <f>B53</f>
        <v>136.94099070560998</v>
      </c>
      <c r="E9" s="119">
        <f>F53</f>
        <v>31.265066371143828</v>
      </c>
      <c r="F9" s="125"/>
      <c r="G9" s="122" t="s">
        <v>112</v>
      </c>
      <c r="H9" s="122"/>
      <c r="I9" s="122"/>
      <c r="J9" s="122"/>
      <c r="K9" s="122"/>
      <c r="L9" s="122"/>
      <c r="M9" s="122"/>
      <c r="N9" s="122"/>
      <c r="O9" s="122"/>
    </row>
    <row r="10" spans="1:24" ht="14.25" customHeight="1" x14ac:dyDescent="0.25">
      <c r="A10" s="115" t="s">
        <v>19</v>
      </c>
      <c r="B10" s="116">
        <v>4.0000000000000001E-3</v>
      </c>
      <c r="C10" s="117" t="s">
        <v>113</v>
      </c>
      <c r="D10" s="118">
        <f>B59</f>
        <v>1489.2653379250919</v>
      </c>
      <c r="E10" s="119">
        <f>F59</f>
        <v>340.01491733449586</v>
      </c>
      <c r="F10" s="125"/>
      <c r="G10" s="125"/>
      <c r="H10" s="124"/>
      <c r="I10" s="124"/>
      <c r="J10" s="124"/>
      <c r="K10" s="124"/>
      <c r="L10" s="124"/>
      <c r="M10" s="124"/>
      <c r="N10" s="124"/>
      <c r="O10" s="124"/>
      <c r="P10" s="124"/>
      <c r="V10" s="126"/>
      <c r="W10" s="126"/>
      <c r="X10" s="126"/>
    </row>
    <row r="11" spans="1:24" ht="14.25" customHeight="1" x14ac:dyDescent="0.25">
      <c r="A11" s="115" t="s">
        <v>42</v>
      </c>
      <c r="B11" s="116">
        <v>4.2999999999999999E-4</v>
      </c>
      <c r="C11" s="117">
        <v>2.2589999999999999E-2</v>
      </c>
      <c r="D11" s="118">
        <f>B65</f>
        <v>66.521222972389637</v>
      </c>
      <c r="E11" s="119">
        <f>F65</f>
        <v>15.187493829312702</v>
      </c>
      <c r="F11" s="127" t="s">
        <v>114</v>
      </c>
      <c r="G11" s="122" t="s">
        <v>115</v>
      </c>
      <c r="H11" s="122"/>
      <c r="I11" s="122"/>
      <c r="J11" s="122"/>
      <c r="K11" s="122"/>
      <c r="L11" s="122"/>
      <c r="N11" s="124"/>
      <c r="O11" s="124"/>
      <c r="P11" s="124"/>
      <c r="V11" s="126" t="s">
        <v>24</v>
      </c>
      <c r="W11" s="126">
        <f>(157765.7+153.2+365.3)*2204.6/13621578</f>
        <v>25.617688884503689</v>
      </c>
      <c r="X11" s="126" t="s">
        <v>116</v>
      </c>
    </row>
    <row r="12" spans="1:24" ht="14.25" customHeight="1" x14ac:dyDescent="0.25">
      <c r="A12" s="115" t="s">
        <v>23</v>
      </c>
      <c r="B12" s="116">
        <v>0</v>
      </c>
      <c r="C12" s="128">
        <v>4.6299999999999997E-6</v>
      </c>
      <c r="D12" s="118">
        <f>B71</f>
        <v>1.3124061257579998E-2</v>
      </c>
      <c r="E12" s="119">
        <f>F71</f>
        <v>2.996361017712328E-3</v>
      </c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V12" s="126"/>
      <c r="W12" s="126">
        <f>(989989.8+466.4+556)*2204.62/18132099995</f>
        <v>0.12049378268189943</v>
      </c>
      <c r="X12" s="126" t="s">
        <v>117</v>
      </c>
    </row>
    <row r="13" spans="1:24" ht="14.25" customHeight="1" x14ac:dyDescent="0.25">
      <c r="A13" s="115" t="s">
        <v>24</v>
      </c>
      <c r="B13" s="116" t="s">
        <v>118</v>
      </c>
      <c r="C13" s="116" t="s">
        <v>119</v>
      </c>
      <c r="D13" s="129">
        <f>B77</f>
        <v>1154543.2812745462</v>
      </c>
      <c r="E13" s="130">
        <f>F77</f>
        <v>263594.35645537585</v>
      </c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V13" s="126"/>
      <c r="W13" s="126"/>
      <c r="X13" s="126"/>
    </row>
    <row r="14" spans="1:24" ht="14.25" customHeight="1" x14ac:dyDescent="0.2">
      <c r="A14" s="131" t="s">
        <v>43</v>
      </c>
      <c r="B14" s="132">
        <v>0</v>
      </c>
      <c r="C14" s="133">
        <v>0</v>
      </c>
      <c r="D14" s="134">
        <v>0</v>
      </c>
      <c r="E14" s="135">
        <v>0</v>
      </c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</row>
    <row r="15" spans="1:24" ht="14.25" customHeight="1" x14ac:dyDescent="0.2">
      <c r="A15" s="136"/>
      <c r="B15" s="136"/>
      <c r="C15" s="136"/>
      <c r="D15" s="136"/>
      <c r="E15" s="113"/>
      <c r="H15" s="105"/>
      <c r="I15" s="105"/>
      <c r="J15" s="105"/>
      <c r="K15" s="105"/>
      <c r="L15" s="105"/>
      <c r="M15" s="105"/>
      <c r="N15" s="105"/>
      <c r="O15" s="105"/>
      <c r="P15" s="105"/>
    </row>
    <row r="16" spans="1:24" ht="14.25" customHeight="1" x14ac:dyDescent="0.2">
      <c r="A16" s="137" t="s">
        <v>471</v>
      </c>
      <c r="B16" s="138">
        <f>SUM('Costa Sur'!D17)</f>
        <v>37794272.879999995</v>
      </c>
      <c r="C16" s="138"/>
      <c r="D16" s="139" t="s">
        <v>87</v>
      </c>
      <c r="H16" s="105"/>
      <c r="I16" s="105"/>
      <c r="J16" s="105"/>
      <c r="K16" s="105"/>
      <c r="L16" s="105"/>
      <c r="M16" s="105"/>
      <c r="N16" s="105"/>
      <c r="O16" s="105"/>
      <c r="P16" s="105"/>
    </row>
    <row r="17" spans="1:21" ht="14.25" customHeight="1" x14ac:dyDescent="0.2">
      <c r="A17" s="140" t="s">
        <v>472</v>
      </c>
      <c r="B17" s="141">
        <f>SUM('Costa Sur'!B54)</f>
        <v>11128247519.9</v>
      </c>
      <c r="C17" s="141"/>
      <c r="D17" s="114" t="s">
        <v>120</v>
      </c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</row>
    <row r="18" spans="1:21" ht="14.25" customHeight="1" x14ac:dyDescent="0.25">
      <c r="A18" s="88" t="s">
        <v>121</v>
      </c>
      <c r="B18" s="142">
        <f>SUM('Costa Sur'!H17)</f>
        <v>0.4941666666666667</v>
      </c>
      <c r="D18" t="s">
        <v>122</v>
      </c>
      <c r="M18" s="105"/>
      <c r="N18" s="105"/>
      <c r="O18" s="105"/>
      <c r="P18" s="105"/>
    </row>
    <row r="19" spans="1:21" ht="14.25" customHeight="1" x14ac:dyDescent="0.2">
      <c r="A19" s="105"/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</row>
    <row r="20" spans="1:21" ht="14.25" customHeight="1" x14ac:dyDescent="0.2">
      <c r="A20" s="143" t="s">
        <v>123</v>
      </c>
      <c r="B20" s="144">
        <f>B16</f>
        <v>37794272.879999995</v>
      </c>
      <c r="C20" s="145"/>
      <c r="D20" s="146" t="s">
        <v>124</v>
      </c>
      <c r="E20" s="147">
        <v>0.15</v>
      </c>
      <c r="F20" s="148" t="s">
        <v>125</v>
      </c>
      <c r="G20" s="593" t="s">
        <v>126</v>
      </c>
      <c r="H20" s="149">
        <f>C4</f>
        <v>0.35</v>
      </c>
      <c r="I20" s="150" t="s">
        <v>127</v>
      </c>
      <c r="J20" s="149">
        <v>1</v>
      </c>
      <c r="K20" s="149" t="s">
        <v>94</v>
      </c>
      <c r="L20" s="151" t="s">
        <v>128</v>
      </c>
      <c r="M20" s="152">
        <f>B17</f>
        <v>11128247519.9</v>
      </c>
      <c r="N20" s="148" t="s">
        <v>129</v>
      </c>
      <c r="O20" s="144">
        <v>1040</v>
      </c>
      <c r="P20" s="146" t="s">
        <v>130</v>
      </c>
      <c r="Q20" s="593" t="s">
        <v>126</v>
      </c>
      <c r="R20" s="149">
        <f>B4</f>
        <v>0.35</v>
      </c>
      <c r="S20" s="150" t="s">
        <v>127</v>
      </c>
      <c r="T20" s="149">
        <v>1</v>
      </c>
      <c r="U20" s="149" t="s">
        <v>94</v>
      </c>
    </row>
    <row r="21" spans="1:21" ht="14.25" customHeight="1" x14ac:dyDescent="0.2">
      <c r="A21" s="125"/>
      <c r="B21" s="1"/>
      <c r="C21" s="125"/>
      <c r="D21" s="153" t="s">
        <v>64</v>
      </c>
      <c r="E21" s="125"/>
      <c r="F21" s="154" t="s">
        <v>92</v>
      </c>
      <c r="G21" s="593"/>
      <c r="H21" s="105"/>
      <c r="I21" s="155" t="s">
        <v>131</v>
      </c>
      <c r="J21" s="156">
        <v>2000</v>
      </c>
      <c r="K21" s="105" t="s">
        <v>132</v>
      </c>
      <c r="L21" s="125"/>
      <c r="M21" s="125"/>
      <c r="N21" s="154" t="s">
        <v>64</v>
      </c>
      <c r="O21" s="157">
        <v>1000000</v>
      </c>
      <c r="P21" s="153" t="s">
        <v>73</v>
      </c>
      <c r="Q21" s="593"/>
      <c r="R21" s="105"/>
      <c r="S21" s="155" t="s">
        <v>131</v>
      </c>
      <c r="T21" s="156">
        <v>2000</v>
      </c>
      <c r="U21" s="105" t="s">
        <v>132</v>
      </c>
    </row>
    <row r="22" spans="1:21" ht="14.25" customHeight="1" x14ac:dyDescent="0.2">
      <c r="A22" s="105"/>
      <c r="B22" s="105"/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</row>
    <row r="23" spans="1:21" ht="14.25" customHeight="1" x14ac:dyDescent="0.25">
      <c r="A23" s="143"/>
      <c r="B23" s="158">
        <f>(B20*E20*H20+M20*O20*R20/1000000)/2000</f>
        <v>3017.4407117217993</v>
      </c>
      <c r="C23" s="158"/>
      <c r="D23" s="105" t="s">
        <v>133</v>
      </c>
      <c r="E23" s="143" t="s">
        <v>90</v>
      </c>
      <c r="F23" s="113">
        <f>B23*(2000/8760)</f>
        <v>688.91340450269388</v>
      </c>
      <c r="G23" s="105" t="s">
        <v>134</v>
      </c>
      <c r="H23" s="159"/>
      <c r="I23" s="105"/>
      <c r="J23" s="105"/>
      <c r="K23" s="105"/>
      <c r="L23" s="105"/>
      <c r="M23" s="105"/>
      <c r="N23" s="105"/>
      <c r="O23" s="105"/>
      <c r="P23" s="105"/>
    </row>
    <row r="24" spans="1:21" ht="10.5" customHeight="1" x14ac:dyDescent="0.2">
      <c r="A24" s="105"/>
      <c r="B24" s="105"/>
      <c r="C24" s="105"/>
      <c r="D24" s="105"/>
      <c r="E24" s="105"/>
      <c r="F24" s="105"/>
      <c r="G24" s="105"/>
      <c r="H24" s="160"/>
      <c r="I24" s="160"/>
      <c r="J24" s="160"/>
      <c r="K24" s="105"/>
      <c r="L24" s="105"/>
      <c r="M24" s="105"/>
      <c r="N24" s="105"/>
      <c r="O24" s="105"/>
      <c r="P24" s="105"/>
    </row>
    <row r="25" spans="1:21" ht="14.25" customHeight="1" x14ac:dyDescent="0.2">
      <c r="A25" s="105"/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</row>
    <row r="26" spans="1:21" ht="14.25" customHeight="1" x14ac:dyDescent="0.2">
      <c r="A26" s="143" t="s">
        <v>135</v>
      </c>
      <c r="B26" s="144">
        <f>B16</f>
        <v>37794272.879999995</v>
      </c>
      <c r="C26" s="145"/>
      <c r="D26" s="146" t="s">
        <v>124</v>
      </c>
      <c r="E26" s="147">
        <v>0.15</v>
      </c>
      <c r="F26" s="148" t="s">
        <v>125</v>
      </c>
      <c r="G26" s="593" t="s">
        <v>126</v>
      </c>
      <c r="H26" s="149">
        <f>C5</f>
        <v>3.8E-3</v>
      </c>
      <c r="I26" s="150" t="s">
        <v>127</v>
      </c>
      <c r="J26" s="149">
        <v>1</v>
      </c>
      <c r="K26" s="149" t="s">
        <v>94</v>
      </c>
      <c r="L26" s="151" t="s">
        <v>128</v>
      </c>
      <c r="M26" s="152">
        <f>B17</f>
        <v>11128247519.9</v>
      </c>
      <c r="N26" s="146" t="s">
        <v>129</v>
      </c>
      <c r="O26" s="145">
        <v>1040</v>
      </c>
      <c r="P26" s="146" t="s">
        <v>130</v>
      </c>
      <c r="Q26" s="1" t="s">
        <v>126</v>
      </c>
      <c r="R26" s="149">
        <f>B5</f>
        <v>8.9999999999999993E-3</v>
      </c>
      <c r="S26" s="150" t="s">
        <v>127</v>
      </c>
      <c r="T26" s="161">
        <v>1</v>
      </c>
      <c r="U26" s="149" t="s">
        <v>94</v>
      </c>
    </row>
    <row r="27" spans="1:21" ht="14.25" customHeight="1" x14ac:dyDescent="0.2">
      <c r="A27" s="125"/>
      <c r="B27" s="1"/>
      <c r="C27" s="125"/>
      <c r="D27" s="153" t="s">
        <v>64</v>
      </c>
      <c r="E27" s="125"/>
      <c r="F27" s="162" t="s">
        <v>92</v>
      </c>
      <c r="G27" s="593"/>
      <c r="H27" s="105"/>
      <c r="I27" s="155" t="s">
        <v>131</v>
      </c>
      <c r="J27" s="156">
        <v>2000</v>
      </c>
      <c r="K27" s="105" t="s">
        <v>132</v>
      </c>
      <c r="L27" s="125"/>
      <c r="M27" s="125"/>
      <c r="N27" s="153" t="s">
        <v>64</v>
      </c>
      <c r="O27" s="163">
        <v>1000000</v>
      </c>
      <c r="P27" s="153" t="s">
        <v>73</v>
      </c>
      <c r="Q27" s="1"/>
      <c r="R27" s="105"/>
      <c r="S27" s="155" t="s">
        <v>131</v>
      </c>
      <c r="T27" s="164">
        <v>2000</v>
      </c>
      <c r="U27" s="105" t="s">
        <v>132</v>
      </c>
    </row>
    <row r="28" spans="1:21" ht="14.25" customHeight="1" x14ac:dyDescent="0.2">
      <c r="A28" s="105"/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</row>
    <row r="29" spans="1:21" ht="14.25" customHeight="1" x14ac:dyDescent="0.2">
      <c r="A29" s="143"/>
      <c r="B29" s="158">
        <f>(B26*E26*H26+M26*O26*R26/1000000)/2000</f>
        <v>62.851566163931992</v>
      </c>
      <c r="C29" s="158"/>
      <c r="D29" s="105" t="s">
        <v>133</v>
      </c>
      <c r="E29" s="143" t="s">
        <v>90</v>
      </c>
      <c r="F29" s="113">
        <f>B29*(2000/8760)</f>
        <v>14.349672640167121</v>
      </c>
      <c r="G29" s="105" t="s">
        <v>134</v>
      </c>
      <c r="I29" s="105"/>
      <c r="J29" s="105"/>
      <c r="K29" s="105"/>
      <c r="L29" s="105"/>
      <c r="M29" s="105"/>
      <c r="N29" s="105"/>
      <c r="O29" s="105"/>
      <c r="P29" s="105"/>
    </row>
    <row r="30" spans="1:21" ht="11.25" customHeight="1" x14ac:dyDescent="0.2">
      <c r="A30" s="105"/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</row>
    <row r="31" spans="1:21" ht="14.25" customHeight="1" x14ac:dyDescent="0.2">
      <c r="A31" s="105"/>
      <c r="B31" s="105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</row>
    <row r="32" spans="1:21" ht="14.25" customHeight="1" x14ac:dyDescent="0.2">
      <c r="A32" s="143" t="s">
        <v>136</v>
      </c>
      <c r="B32" s="144">
        <f>B16</f>
        <v>37794272.879999995</v>
      </c>
      <c r="C32" s="145"/>
      <c r="D32" s="146" t="s">
        <v>124</v>
      </c>
      <c r="E32" s="147">
        <v>0.15</v>
      </c>
      <c r="F32" s="148" t="s">
        <v>125</v>
      </c>
      <c r="G32" s="593" t="s">
        <v>126</v>
      </c>
      <c r="H32" s="149">
        <f>C6</f>
        <v>1.2999999999999999E-3</v>
      </c>
      <c r="I32" s="150" t="s">
        <v>127</v>
      </c>
      <c r="J32" s="149">
        <v>1</v>
      </c>
      <c r="K32" s="149" t="s">
        <v>94</v>
      </c>
      <c r="L32" s="151" t="s">
        <v>128</v>
      </c>
      <c r="M32" s="152">
        <f>B17</f>
        <v>11128247519.9</v>
      </c>
      <c r="N32" s="146" t="s">
        <v>129</v>
      </c>
      <c r="O32" s="145">
        <v>1040</v>
      </c>
      <c r="P32" s="146" t="s">
        <v>130</v>
      </c>
      <c r="Q32" s="1" t="s">
        <v>126</v>
      </c>
      <c r="R32" s="149">
        <f>B6</f>
        <v>8.0000000000000004E-4</v>
      </c>
      <c r="S32" s="150" t="s">
        <v>127</v>
      </c>
      <c r="T32" s="149">
        <v>1</v>
      </c>
      <c r="U32" s="149" t="s">
        <v>94</v>
      </c>
    </row>
    <row r="33" spans="1:21" ht="14.25" customHeight="1" x14ac:dyDescent="0.2">
      <c r="A33" s="125"/>
      <c r="B33" s="1"/>
      <c r="C33" s="125"/>
      <c r="D33" s="153" t="s">
        <v>64</v>
      </c>
      <c r="E33" s="125"/>
      <c r="F33" s="154" t="s">
        <v>92</v>
      </c>
      <c r="G33" s="593"/>
      <c r="H33" s="105"/>
      <c r="I33" s="155" t="s">
        <v>131</v>
      </c>
      <c r="J33" s="156">
        <v>2000</v>
      </c>
      <c r="K33" s="105" t="s">
        <v>132</v>
      </c>
      <c r="L33" s="125"/>
      <c r="M33" s="125"/>
      <c r="N33" s="153" t="s">
        <v>64</v>
      </c>
      <c r="O33" s="163">
        <v>1000000</v>
      </c>
      <c r="P33" s="153" t="s">
        <v>73</v>
      </c>
      <c r="Q33" s="1"/>
      <c r="R33" s="105"/>
      <c r="S33" s="155" t="s">
        <v>131</v>
      </c>
      <c r="T33" s="156">
        <v>2000</v>
      </c>
      <c r="U33" s="105" t="s">
        <v>132</v>
      </c>
    </row>
    <row r="34" spans="1:21" ht="14.25" customHeight="1" x14ac:dyDescent="0.2">
      <c r="A34" s="105"/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</row>
    <row r="35" spans="1:21" ht="14.25" customHeight="1" x14ac:dyDescent="0.2">
      <c r="A35" s="143"/>
      <c r="B35" s="158">
        <f>(B32*E32*H32+M32*O32*R32/1000000)/2000</f>
        <v>8.3142925740783991</v>
      </c>
      <c r="C35" s="158"/>
      <c r="D35" s="105" t="s">
        <v>133</v>
      </c>
      <c r="E35" s="143" t="s">
        <v>90</v>
      </c>
      <c r="F35" s="113">
        <f>B35*(2000/8760)</f>
        <v>1.8982403137165293</v>
      </c>
      <c r="G35" s="105" t="s">
        <v>134</v>
      </c>
      <c r="I35" s="105"/>
      <c r="J35" s="105"/>
      <c r="K35" s="105"/>
      <c r="L35" s="105"/>
      <c r="M35" s="105"/>
      <c r="N35" s="105"/>
      <c r="O35" s="105"/>
      <c r="P35" s="105"/>
    </row>
    <row r="36" spans="1:21" ht="9.75" customHeight="1" x14ac:dyDescent="0.2">
      <c r="A36" s="105"/>
      <c r="B36" s="105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</row>
    <row r="37" spans="1:21" ht="14.25" customHeight="1" x14ac:dyDescent="0.2">
      <c r="A37" s="105"/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105"/>
    </row>
    <row r="38" spans="1:21" ht="14.25" customHeight="1" x14ac:dyDescent="0.2">
      <c r="A38" s="143" t="s">
        <v>137</v>
      </c>
      <c r="B38" s="144">
        <f>B16</f>
        <v>37794272.879999995</v>
      </c>
      <c r="C38" s="145"/>
      <c r="D38" s="146" t="s">
        <v>124</v>
      </c>
      <c r="E38" s="147">
        <v>0.15</v>
      </c>
      <c r="F38" s="148" t="s">
        <v>125</v>
      </c>
      <c r="G38" s="593" t="s">
        <v>126</v>
      </c>
      <c r="H38" s="149">
        <f>C7</f>
        <v>2.75E-2</v>
      </c>
      <c r="I38" s="150" t="s">
        <v>127</v>
      </c>
      <c r="J38" s="149">
        <v>1</v>
      </c>
      <c r="K38" s="149" t="s">
        <v>94</v>
      </c>
      <c r="L38" s="151" t="s">
        <v>128</v>
      </c>
      <c r="M38" s="152">
        <f>B17</f>
        <v>11128247519.9</v>
      </c>
      <c r="N38" s="146" t="s">
        <v>129</v>
      </c>
      <c r="O38" s="145">
        <v>1040</v>
      </c>
      <c r="P38" s="146" t="s">
        <v>130</v>
      </c>
      <c r="Q38" s="1" t="s">
        <v>126</v>
      </c>
      <c r="R38" s="149">
        <f>B7</f>
        <v>5.0000000000000001E-3</v>
      </c>
      <c r="S38" s="150" t="s">
        <v>127</v>
      </c>
      <c r="T38" s="149">
        <v>1</v>
      </c>
      <c r="U38" s="149" t="s">
        <v>94</v>
      </c>
    </row>
    <row r="39" spans="1:21" ht="14.25" customHeight="1" x14ac:dyDescent="0.2">
      <c r="A39" s="125"/>
      <c r="B39" s="1"/>
      <c r="C39" s="125"/>
      <c r="D39" s="153" t="s">
        <v>64</v>
      </c>
      <c r="E39" s="125"/>
      <c r="F39" s="154" t="s">
        <v>92</v>
      </c>
      <c r="G39" s="593"/>
      <c r="H39" s="105"/>
      <c r="I39" s="155" t="s">
        <v>131</v>
      </c>
      <c r="J39" s="156">
        <v>2000</v>
      </c>
      <c r="K39" s="105" t="s">
        <v>132</v>
      </c>
      <c r="L39" s="125"/>
      <c r="M39" s="125"/>
      <c r="N39" s="153" t="s">
        <v>64</v>
      </c>
      <c r="O39" s="163">
        <v>1000000</v>
      </c>
      <c r="P39" s="153" t="s">
        <v>73</v>
      </c>
      <c r="Q39" s="1"/>
      <c r="R39" s="105"/>
      <c r="S39" s="155" t="s">
        <v>131</v>
      </c>
      <c r="T39" s="156">
        <v>2000</v>
      </c>
      <c r="U39" s="105" t="s">
        <v>132</v>
      </c>
    </row>
    <row r="40" spans="1:21" ht="14.25" customHeight="1" x14ac:dyDescent="0.2">
      <c r="A40" s="105"/>
      <c r="B40" s="105"/>
      <c r="C40" s="105"/>
      <c r="D40" s="105"/>
      <c r="E40" s="105"/>
      <c r="F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</row>
    <row r="41" spans="1:21" ht="14.25" customHeight="1" x14ac:dyDescent="0.2">
      <c r="A41" s="143"/>
      <c r="B41" s="158">
        <f>(B38*E38*H38+M38*O38*R38/1000000)/2000</f>
        <v>106.88413136673998</v>
      </c>
      <c r="C41" s="158"/>
      <c r="D41" s="105" t="s">
        <v>133</v>
      </c>
      <c r="E41" s="143" t="s">
        <v>90</v>
      </c>
      <c r="F41" s="113">
        <f>B41*(2000/8760)</f>
        <v>24.402769718433785</v>
      </c>
      <c r="G41" s="105" t="s">
        <v>134</v>
      </c>
      <c r="L41" s="105" t="s">
        <v>134</v>
      </c>
      <c r="N41" s="105"/>
      <c r="O41" s="105"/>
      <c r="P41" s="105"/>
      <c r="Q41" s="105"/>
      <c r="R41" s="105"/>
      <c r="S41" s="105"/>
      <c r="T41" s="105"/>
      <c r="U41" s="105"/>
    </row>
    <row r="42" spans="1:21" ht="14.25" customHeight="1" x14ac:dyDescent="0.2">
      <c r="A42" s="143"/>
      <c r="B42" s="158"/>
      <c r="C42" s="158"/>
      <c r="D42" s="105"/>
      <c r="E42" s="143"/>
      <c r="F42" s="113"/>
      <c r="L42" s="105"/>
      <c r="N42" s="105"/>
      <c r="O42" s="105"/>
      <c r="P42" s="105"/>
      <c r="Q42" s="105"/>
      <c r="R42" s="105"/>
      <c r="S42" s="105"/>
      <c r="T42" s="105"/>
      <c r="U42" s="105"/>
    </row>
    <row r="43" spans="1:21" ht="14.25" customHeight="1" x14ac:dyDescent="0.2">
      <c r="A43" s="143"/>
      <c r="B43" s="158"/>
      <c r="C43" s="158"/>
      <c r="D43" s="105"/>
      <c r="E43" s="143"/>
      <c r="F43" s="113"/>
      <c r="L43" s="105"/>
      <c r="N43" s="105"/>
      <c r="O43" s="105"/>
      <c r="P43" s="105"/>
      <c r="Q43" s="105"/>
      <c r="R43" s="105"/>
      <c r="S43" s="105"/>
      <c r="T43" s="105"/>
      <c r="U43" s="105"/>
    </row>
    <row r="44" spans="1:21" ht="14.25" customHeight="1" x14ac:dyDescent="0.2">
      <c r="A44" s="143" t="s">
        <v>138</v>
      </c>
      <c r="B44" s="144">
        <f>B16</f>
        <v>37794272.879999995</v>
      </c>
      <c r="C44" s="145"/>
      <c r="D44" s="146" t="s">
        <v>124</v>
      </c>
      <c r="E44" s="147">
        <v>0.15</v>
      </c>
      <c r="F44" s="148" t="s">
        <v>125</v>
      </c>
      <c r="G44" s="593" t="s">
        <v>126</v>
      </c>
      <c r="H44" s="149">
        <f>C8</f>
        <v>0.04</v>
      </c>
      <c r="I44" s="150" t="s">
        <v>127</v>
      </c>
      <c r="J44" s="149">
        <v>1</v>
      </c>
      <c r="K44" s="149" t="s">
        <v>94</v>
      </c>
      <c r="L44" s="151" t="s">
        <v>128</v>
      </c>
      <c r="M44" s="152">
        <f>B17</f>
        <v>11128247519.9</v>
      </c>
      <c r="N44" s="146" t="s">
        <v>129</v>
      </c>
      <c r="O44" s="145">
        <v>1040</v>
      </c>
      <c r="P44" s="146" t="s">
        <v>130</v>
      </c>
      <c r="Q44" s="1" t="s">
        <v>126</v>
      </c>
      <c r="R44" s="149">
        <f>B8</f>
        <v>8.0999999999999996E-3</v>
      </c>
      <c r="S44" s="150" t="s">
        <v>127</v>
      </c>
      <c r="T44" s="149">
        <v>1</v>
      </c>
      <c r="U44" s="149" t="s">
        <v>94</v>
      </c>
    </row>
    <row r="45" spans="1:21" ht="14.25" customHeight="1" x14ac:dyDescent="0.2">
      <c r="A45" s="125"/>
      <c r="B45" s="1"/>
      <c r="C45" s="125"/>
      <c r="D45" s="153" t="s">
        <v>64</v>
      </c>
      <c r="E45" s="125"/>
      <c r="F45" s="154" t="s">
        <v>92</v>
      </c>
      <c r="G45" s="593"/>
      <c r="H45" s="105"/>
      <c r="I45" s="155" t="s">
        <v>131</v>
      </c>
      <c r="J45" s="156">
        <v>2000</v>
      </c>
      <c r="K45" s="105" t="s">
        <v>132</v>
      </c>
      <c r="L45" s="125"/>
      <c r="M45" s="125"/>
      <c r="N45" s="153" t="s">
        <v>64</v>
      </c>
      <c r="O45" s="163">
        <v>1000000</v>
      </c>
      <c r="P45" s="153" t="s">
        <v>73</v>
      </c>
      <c r="Q45" s="1"/>
      <c r="R45" s="105"/>
      <c r="S45" s="155" t="s">
        <v>131</v>
      </c>
      <c r="T45" s="156">
        <v>2000</v>
      </c>
      <c r="U45" s="105" t="s">
        <v>132</v>
      </c>
    </row>
    <row r="46" spans="1:21" ht="14.25" customHeight="1" x14ac:dyDescent="0.2">
      <c r="A46" s="105"/>
      <c r="B46" s="105"/>
      <c r="C46" s="105"/>
      <c r="D46" s="105"/>
      <c r="E46" s="105"/>
      <c r="F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</row>
    <row r="47" spans="1:21" ht="14.25" customHeight="1" x14ac:dyDescent="0.2">
      <c r="A47" s="143"/>
      <c r="B47" s="158">
        <f>(B44*E44*H44+M44*O44*R44/1000000)/2000</f>
        <v>160.25499719381881</v>
      </c>
      <c r="C47" s="158"/>
      <c r="D47" s="105" t="s">
        <v>133</v>
      </c>
      <c r="E47" s="143" t="s">
        <v>90</v>
      </c>
      <c r="F47" s="113">
        <f>B47*(2000/8760)</f>
        <v>36.587898902698356</v>
      </c>
      <c r="G47" s="105" t="s">
        <v>134</v>
      </c>
      <c r="L47" s="105" t="s">
        <v>134</v>
      </c>
      <c r="N47" s="105"/>
      <c r="O47" s="105"/>
      <c r="P47" s="105"/>
      <c r="Q47" s="105"/>
      <c r="R47" s="105"/>
      <c r="S47" s="105"/>
      <c r="T47" s="105"/>
      <c r="U47" s="105"/>
    </row>
    <row r="48" spans="1:21" ht="14.25" customHeight="1" x14ac:dyDescent="0.2">
      <c r="A48" s="105"/>
      <c r="B48" s="105"/>
      <c r="C48" s="105"/>
      <c r="D48" s="105"/>
      <c r="E48" s="105"/>
      <c r="F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</row>
    <row r="49" spans="1:21" ht="14.25" customHeight="1" x14ac:dyDescent="0.2">
      <c r="A49" s="105"/>
      <c r="B49" s="105"/>
      <c r="C49" s="105"/>
      <c r="D49" s="105"/>
      <c r="E49" s="105"/>
      <c r="F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</row>
    <row r="50" spans="1:21" ht="14.25" customHeight="1" x14ac:dyDescent="0.2">
      <c r="A50" s="143" t="s">
        <v>139</v>
      </c>
      <c r="B50" s="144">
        <f>B16</f>
        <v>37794272.879999995</v>
      </c>
      <c r="C50" s="145"/>
      <c r="D50" s="146" t="s">
        <v>124</v>
      </c>
      <c r="E50" s="147">
        <v>0.15</v>
      </c>
      <c r="F50" s="148" t="s">
        <v>125</v>
      </c>
      <c r="G50" s="593" t="s">
        <v>126</v>
      </c>
      <c r="H50" s="149">
        <f>C9</f>
        <v>3.3000000000000002E-2</v>
      </c>
      <c r="I50" s="150" t="s">
        <v>127</v>
      </c>
      <c r="J50" s="149">
        <v>1</v>
      </c>
      <c r="K50" s="149" t="s">
        <v>94</v>
      </c>
      <c r="L50" s="151" t="s">
        <v>128</v>
      </c>
      <c r="M50" s="152">
        <f>B17</f>
        <v>11128247519.9</v>
      </c>
      <c r="N50" s="146" t="s">
        <v>129</v>
      </c>
      <c r="O50" s="145">
        <v>1040</v>
      </c>
      <c r="P50" s="146" t="s">
        <v>130</v>
      </c>
      <c r="Q50" s="1" t="s">
        <v>126</v>
      </c>
      <c r="R50" s="149">
        <f>B9</f>
        <v>7.4999999999999997E-3</v>
      </c>
      <c r="S50" s="150" t="s">
        <v>127</v>
      </c>
      <c r="T50" s="149">
        <v>1</v>
      </c>
      <c r="U50" s="149" t="s">
        <v>94</v>
      </c>
    </row>
    <row r="51" spans="1:21" ht="14.25" customHeight="1" x14ac:dyDescent="0.2">
      <c r="A51" s="125"/>
      <c r="B51" s="1"/>
      <c r="C51" s="125"/>
      <c r="D51" s="153" t="s">
        <v>64</v>
      </c>
      <c r="E51" s="125"/>
      <c r="F51" s="154" t="s">
        <v>92</v>
      </c>
      <c r="G51" s="593"/>
      <c r="H51" s="105"/>
      <c r="I51" s="155" t="s">
        <v>131</v>
      </c>
      <c r="J51" s="156">
        <v>2000</v>
      </c>
      <c r="K51" s="105" t="s">
        <v>132</v>
      </c>
      <c r="L51" s="125"/>
      <c r="M51" s="125"/>
      <c r="N51" s="153" t="s">
        <v>64</v>
      </c>
      <c r="O51" s="163">
        <v>1000000</v>
      </c>
      <c r="P51" s="153" t="s">
        <v>73</v>
      </c>
      <c r="Q51" s="1"/>
      <c r="R51" s="105"/>
      <c r="S51" s="155" t="s">
        <v>131</v>
      </c>
      <c r="T51" s="156">
        <v>2000</v>
      </c>
      <c r="U51" s="105" t="s">
        <v>132</v>
      </c>
    </row>
    <row r="52" spans="1:21" ht="14.25" customHeight="1" x14ac:dyDescent="0.2">
      <c r="A52" s="105"/>
      <c r="B52" s="105"/>
      <c r="C52" s="105"/>
      <c r="D52" s="105"/>
      <c r="E52" s="105"/>
      <c r="F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</row>
    <row r="53" spans="1:21" ht="14.25" customHeight="1" x14ac:dyDescent="0.2">
      <c r="A53" s="143"/>
      <c r="B53" s="158">
        <f>(B50*E50*H50+M50*O50*R50/1000000)/2000</f>
        <v>136.94099070560998</v>
      </c>
      <c r="C53" s="158"/>
      <c r="D53" s="105" t="s">
        <v>133</v>
      </c>
      <c r="E53" s="143" t="s">
        <v>90</v>
      </c>
      <c r="F53" s="113">
        <f>B53*(2000/8760)</f>
        <v>31.265066371143828</v>
      </c>
      <c r="G53" s="105" t="s">
        <v>134</v>
      </c>
      <c r="L53" s="105" t="s">
        <v>134</v>
      </c>
      <c r="N53" s="105"/>
      <c r="O53" s="105"/>
      <c r="P53" s="105"/>
      <c r="Q53" s="105"/>
      <c r="R53" s="105"/>
      <c r="S53" s="105"/>
      <c r="T53" s="105"/>
      <c r="U53" s="105"/>
    </row>
    <row r="54" spans="1:21" ht="10.5" customHeight="1" x14ac:dyDescent="0.2">
      <c r="A54" s="105"/>
      <c r="B54" s="105"/>
      <c r="C54" s="105"/>
      <c r="D54" s="105"/>
      <c r="E54" s="105"/>
      <c r="F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</row>
    <row r="55" spans="1:21" ht="14.25" customHeight="1" x14ac:dyDescent="0.2">
      <c r="A55" s="105"/>
      <c r="B55" s="105"/>
      <c r="C55" s="105"/>
      <c r="D55" s="105"/>
      <c r="E55" s="105"/>
      <c r="F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</row>
    <row r="56" spans="1:21" ht="14.25" customHeight="1" x14ac:dyDescent="0.2">
      <c r="A56" s="143" t="s">
        <v>140</v>
      </c>
      <c r="B56" s="144">
        <f>B16</f>
        <v>37794272.879999995</v>
      </c>
      <c r="C56" s="145"/>
      <c r="D56" s="146" t="s">
        <v>124</v>
      </c>
      <c r="E56" s="147"/>
      <c r="F56" s="148"/>
      <c r="G56" s="593" t="s">
        <v>126</v>
      </c>
      <c r="H56" s="149">
        <f>(157)*B18</f>
        <v>77.584166666666675</v>
      </c>
      <c r="I56" s="150" t="s">
        <v>127</v>
      </c>
      <c r="J56" s="149">
        <v>1</v>
      </c>
      <c r="K56" s="149" t="s">
        <v>94</v>
      </c>
      <c r="L56" s="151" t="s">
        <v>128</v>
      </c>
      <c r="M56" s="152">
        <f>B17</f>
        <v>11128247519.9</v>
      </c>
      <c r="N56" s="146" t="s">
        <v>129</v>
      </c>
      <c r="O56" s="145">
        <v>1040</v>
      </c>
      <c r="P56" s="146" t="s">
        <v>130</v>
      </c>
      <c r="Q56" s="1" t="s">
        <v>126</v>
      </c>
      <c r="R56" s="149">
        <f>B10</f>
        <v>4.0000000000000001E-3</v>
      </c>
      <c r="S56" s="150" t="s">
        <v>127</v>
      </c>
      <c r="T56" s="149">
        <v>1</v>
      </c>
      <c r="U56" s="149" t="s">
        <v>94</v>
      </c>
    </row>
    <row r="57" spans="1:21" ht="14.25" customHeight="1" x14ac:dyDescent="0.2">
      <c r="A57" s="125"/>
      <c r="B57" s="1"/>
      <c r="C57" s="125"/>
      <c r="D57" s="153" t="s">
        <v>64</v>
      </c>
      <c r="E57" s="125"/>
      <c r="F57" s="154"/>
      <c r="G57" s="593"/>
      <c r="H57" s="105">
        <v>1000</v>
      </c>
      <c r="I57" s="155" t="s">
        <v>141</v>
      </c>
      <c r="J57" s="156">
        <v>2000</v>
      </c>
      <c r="K57" s="105" t="s">
        <v>132</v>
      </c>
      <c r="L57" s="125"/>
      <c r="M57" s="125"/>
      <c r="N57" s="153" t="s">
        <v>64</v>
      </c>
      <c r="O57" s="163">
        <v>1000000</v>
      </c>
      <c r="P57" s="153" t="s">
        <v>73</v>
      </c>
      <c r="Q57" s="1"/>
      <c r="R57" s="105"/>
      <c r="S57" s="155" t="s">
        <v>131</v>
      </c>
      <c r="T57" s="156">
        <v>2000</v>
      </c>
      <c r="U57" s="105" t="s">
        <v>132</v>
      </c>
    </row>
    <row r="58" spans="1:21" ht="14.25" customHeight="1" x14ac:dyDescent="0.2">
      <c r="A58" s="105"/>
      <c r="B58" s="105"/>
      <c r="C58" s="105"/>
      <c r="D58" s="105"/>
      <c r="E58" s="105"/>
      <c r="F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</row>
    <row r="59" spans="1:21" ht="14.25" customHeight="1" x14ac:dyDescent="0.2">
      <c r="A59" s="143"/>
      <c r="B59" s="158">
        <f>(B56*H56/H57+M56*O56*R56/1000000)/2000</f>
        <v>1489.2653379250919</v>
      </c>
      <c r="C59" s="158"/>
      <c r="D59" s="105" t="s">
        <v>133</v>
      </c>
      <c r="E59" s="143" t="s">
        <v>90</v>
      </c>
      <c r="F59" s="113">
        <f>B59*(2000/8760)</f>
        <v>340.01491733449586</v>
      </c>
      <c r="G59" s="105" t="s">
        <v>134</v>
      </c>
      <c r="L59" s="105" t="s">
        <v>134</v>
      </c>
      <c r="N59" s="105"/>
      <c r="O59" s="105"/>
      <c r="P59" s="105"/>
      <c r="Q59" s="105"/>
      <c r="R59" s="105"/>
      <c r="S59" s="105"/>
      <c r="T59" s="105"/>
      <c r="U59" s="105"/>
    </row>
    <row r="60" spans="1:21" ht="14.25" customHeight="1" x14ac:dyDescent="0.2">
      <c r="A60" s="105"/>
      <c r="B60" s="105"/>
      <c r="C60" s="105"/>
      <c r="D60" s="105"/>
      <c r="E60" s="105"/>
      <c r="F60" s="105"/>
      <c r="L60" s="105"/>
      <c r="M60" s="105"/>
      <c r="N60" s="105"/>
      <c r="O60" s="105"/>
      <c r="P60" s="105"/>
      <c r="Q60" s="105"/>
      <c r="R60" s="105"/>
      <c r="S60" s="105"/>
      <c r="T60" s="105"/>
      <c r="U60" s="105"/>
    </row>
    <row r="61" spans="1:21" ht="14.25" customHeight="1" x14ac:dyDescent="0.2">
      <c r="A61" s="105"/>
      <c r="B61" s="105"/>
      <c r="C61" s="105"/>
      <c r="D61" s="105"/>
      <c r="E61" s="105"/>
      <c r="F61" s="105"/>
      <c r="L61" s="105"/>
      <c r="M61" s="105"/>
      <c r="N61" s="105"/>
      <c r="O61" s="105"/>
      <c r="P61" s="105"/>
      <c r="Q61" s="105"/>
      <c r="R61" s="105"/>
      <c r="S61" s="105"/>
      <c r="T61" s="105"/>
      <c r="U61" s="105"/>
    </row>
    <row r="62" spans="1:21" ht="14.25" customHeight="1" x14ac:dyDescent="0.2">
      <c r="A62" s="143" t="s">
        <v>142</v>
      </c>
      <c r="B62" s="144">
        <f>B16</f>
        <v>37794272.879999995</v>
      </c>
      <c r="C62" s="145"/>
      <c r="D62" s="146" t="s">
        <v>124</v>
      </c>
      <c r="E62" s="147">
        <v>0.15</v>
      </c>
      <c r="F62" s="148" t="s">
        <v>125</v>
      </c>
      <c r="G62" s="593" t="s">
        <v>126</v>
      </c>
      <c r="H62" s="149">
        <f>C11</f>
        <v>2.2589999999999999E-2</v>
      </c>
      <c r="I62" s="150" t="s">
        <v>127</v>
      </c>
      <c r="J62" s="149">
        <v>1</v>
      </c>
      <c r="K62" s="149" t="s">
        <v>94</v>
      </c>
      <c r="L62" s="151" t="s">
        <v>128</v>
      </c>
      <c r="M62" s="152">
        <f>B17</f>
        <v>11128247519.9</v>
      </c>
      <c r="N62" s="146" t="s">
        <v>129</v>
      </c>
      <c r="O62" s="145">
        <v>1040</v>
      </c>
      <c r="P62" s="146" t="s">
        <v>130</v>
      </c>
      <c r="Q62" s="1" t="s">
        <v>126</v>
      </c>
      <c r="R62" s="149">
        <f>B11</f>
        <v>4.2999999999999999E-4</v>
      </c>
      <c r="S62" s="150" t="s">
        <v>127</v>
      </c>
      <c r="T62" s="149">
        <v>1</v>
      </c>
      <c r="U62" s="149" t="s">
        <v>94</v>
      </c>
    </row>
    <row r="63" spans="1:21" ht="14.25" customHeight="1" x14ac:dyDescent="0.2">
      <c r="A63" s="125"/>
      <c r="B63" s="1"/>
      <c r="C63" s="125"/>
      <c r="D63" s="153" t="s">
        <v>64</v>
      </c>
      <c r="E63" s="125"/>
      <c r="F63" s="154" t="s">
        <v>92</v>
      </c>
      <c r="G63" s="593"/>
      <c r="H63" s="105"/>
      <c r="I63" s="155" t="s">
        <v>131</v>
      </c>
      <c r="J63" s="156">
        <v>2000</v>
      </c>
      <c r="K63" s="105" t="s">
        <v>132</v>
      </c>
      <c r="L63" s="125"/>
      <c r="M63" s="125"/>
      <c r="N63" s="153" t="s">
        <v>64</v>
      </c>
      <c r="O63" s="163">
        <v>1000000</v>
      </c>
      <c r="P63" s="153" t="s">
        <v>73</v>
      </c>
      <c r="Q63" s="1"/>
      <c r="R63" s="105"/>
      <c r="S63" s="155" t="s">
        <v>131</v>
      </c>
      <c r="T63" s="156">
        <v>2000</v>
      </c>
      <c r="U63" s="105" t="s">
        <v>132</v>
      </c>
    </row>
    <row r="64" spans="1:21" ht="14.25" customHeight="1" x14ac:dyDescent="0.2">
      <c r="A64" s="105"/>
      <c r="B64" s="105"/>
      <c r="C64" s="105"/>
      <c r="D64" s="105"/>
      <c r="E64" s="105"/>
      <c r="F64" s="105"/>
      <c r="L64" s="105"/>
      <c r="M64" s="105"/>
      <c r="N64" s="105"/>
      <c r="O64" s="105"/>
      <c r="P64" s="105"/>
      <c r="Q64" s="105"/>
      <c r="R64" s="105"/>
      <c r="S64" s="105"/>
      <c r="T64" s="105"/>
      <c r="U64" s="105"/>
    </row>
    <row r="65" spans="1:21" ht="14.25" customHeight="1" x14ac:dyDescent="0.2">
      <c r="A65" s="143"/>
      <c r="B65" s="158">
        <f>(B62*E62*H62+M62*O62*R62/1000000)/2000</f>
        <v>66.521222972389637</v>
      </c>
      <c r="C65" s="158"/>
      <c r="D65" s="105" t="s">
        <v>133</v>
      </c>
      <c r="E65" s="143" t="s">
        <v>90</v>
      </c>
      <c r="F65" s="113">
        <f>B65*(2000/8760)</f>
        <v>15.187493829312702</v>
      </c>
      <c r="G65" s="105" t="s">
        <v>134</v>
      </c>
      <c r="L65" s="105" t="s">
        <v>134</v>
      </c>
      <c r="N65" s="105"/>
      <c r="O65" s="105"/>
      <c r="P65" s="105"/>
      <c r="Q65" s="105"/>
      <c r="R65" s="105"/>
      <c r="S65" s="105"/>
      <c r="T65" s="105"/>
      <c r="U65" s="105"/>
    </row>
    <row r="66" spans="1:21" ht="14.25" customHeight="1" x14ac:dyDescent="0.2">
      <c r="A66" s="105"/>
      <c r="B66" s="105"/>
      <c r="C66" s="105"/>
      <c r="D66" s="105"/>
      <c r="E66" s="105"/>
      <c r="F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</row>
    <row r="67" spans="1:21" ht="14.25" customHeight="1" x14ac:dyDescent="0.2">
      <c r="A67" s="105"/>
      <c r="B67" s="105"/>
      <c r="C67" s="105"/>
      <c r="D67" s="105"/>
      <c r="E67" s="105"/>
      <c r="F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</row>
    <row r="68" spans="1:21" ht="14.25" customHeight="1" x14ac:dyDescent="0.2">
      <c r="A68" s="143" t="s">
        <v>143</v>
      </c>
      <c r="B68" s="144">
        <f>B16</f>
        <v>37794272.879999995</v>
      </c>
      <c r="C68" s="145"/>
      <c r="D68" s="146" t="s">
        <v>124</v>
      </c>
      <c r="E68" s="147">
        <v>0.15</v>
      </c>
      <c r="F68" s="148" t="s">
        <v>125</v>
      </c>
      <c r="G68" s="593" t="s">
        <v>126</v>
      </c>
      <c r="H68" s="165">
        <f>C12</f>
        <v>4.6299999999999997E-6</v>
      </c>
      <c r="I68" s="150" t="s">
        <v>127</v>
      </c>
      <c r="J68" s="149">
        <v>1</v>
      </c>
      <c r="K68" s="149" t="s">
        <v>94</v>
      </c>
      <c r="L68" s="151" t="s">
        <v>128</v>
      </c>
      <c r="M68" s="152">
        <f>B17</f>
        <v>11128247519.9</v>
      </c>
      <c r="N68" s="146" t="s">
        <v>129</v>
      </c>
      <c r="O68" s="145">
        <v>1040</v>
      </c>
      <c r="P68" s="146" t="s">
        <v>130</v>
      </c>
      <c r="Q68" s="1" t="s">
        <v>126</v>
      </c>
      <c r="R68" s="149">
        <f>B12</f>
        <v>0</v>
      </c>
      <c r="S68" s="150" t="s">
        <v>127</v>
      </c>
      <c r="T68" s="149">
        <v>1</v>
      </c>
      <c r="U68" s="149" t="s">
        <v>94</v>
      </c>
    </row>
    <row r="69" spans="1:21" ht="14.25" customHeight="1" x14ac:dyDescent="0.2">
      <c r="A69" s="125"/>
      <c r="B69" s="1"/>
      <c r="C69" s="125"/>
      <c r="D69" s="153" t="s">
        <v>64</v>
      </c>
      <c r="E69" s="125"/>
      <c r="F69" s="154" t="s">
        <v>92</v>
      </c>
      <c r="G69" s="593"/>
      <c r="H69" s="105"/>
      <c r="I69" s="155" t="s">
        <v>131</v>
      </c>
      <c r="J69" s="156">
        <v>2000</v>
      </c>
      <c r="K69" s="105" t="s">
        <v>132</v>
      </c>
      <c r="L69" s="125"/>
      <c r="M69" s="125"/>
      <c r="N69" s="153" t="s">
        <v>64</v>
      </c>
      <c r="O69" s="163">
        <v>1000000</v>
      </c>
      <c r="P69" s="153" t="s">
        <v>73</v>
      </c>
      <c r="Q69" s="1"/>
      <c r="R69" s="105"/>
      <c r="S69" s="155" t="s">
        <v>131</v>
      </c>
      <c r="T69" s="156">
        <v>2000</v>
      </c>
      <c r="U69" s="105" t="s">
        <v>132</v>
      </c>
    </row>
    <row r="70" spans="1:21" ht="14.25" customHeight="1" x14ac:dyDescent="0.2">
      <c r="A70" s="105"/>
      <c r="B70" s="105"/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05"/>
      <c r="P70" s="105"/>
    </row>
    <row r="71" spans="1:21" ht="14.25" customHeight="1" x14ac:dyDescent="0.2">
      <c r="A71" s="143"/>
      <c r="B71" s="158">
        <f>(B68*E68*H68+M68*O68*R68/1000000)/2000</f>
        <v>1.3124061257579998E-2</v>
      </c>
      <c r="C71" s="158"/>
      <c r="D71" s="105" t="s">
        <v>133</v>
      </c>
      <c r="E71" s="143" t="s">
        <v>90</v>
      </c>
      <c r="F71" s="113">
        <f>B71*(2000/8760)</f>
        <v>2.996361017712328E-3</v>
      </c>
      <c r="G71" s="105" t="s">
        <v>134</v>
      </c>
      <c r="I71" s="105"/>
      <c r="J71" s="105"/>
      <c r="K71" s="105"/>
      <c r="L71" s="105"/>
      <c r="M71" s="105"/>
      <c r="N71" s="105"/>
      <c r="O71" s="105"/>
      <c r="P71" s="105"/>
    </row>
    <row r="74" spans="1:21" ht="14.25" customHeight="1" x14ac:dyDescent="0.2">
      <c r="A74" s="143" t="s">
        <v>144</v>
      </c>
      <c r="B74" s="144">
        <f>B16</f>
        <v>37794272.879999995</v>
      </c>
      <c r="C74" s="145"/>
      <c r="D74" s="146" t="s">
        <v>124</v>
      </c>
      <c r="E74" s="166">
        <f>W11</f>
        <v>25.617688884503689</v>
      </c>
      <c r="F74" s="148" t="s">
        <v>132</v>
      </c>
      <c r="G74" s="593" t="s">
        <v>126</v>
      </c>
      <c r="H74" s="149">
        <v>1</v>
      </c>
      <c r="I74" s="149" t="s">
        <v>94</v>
      </c>
      <c r="J74" s="151" t="s">
        <v>128</v>
      </c>
      <c r="M74" s="152">
        <f>B17</f>
        <v>11128247519.9</v>
      </c>
      <c r="N74" s="146" t="s">
        <v>129</v>
      </c>
      <c r="O74" s="167">
        <f>W12</f>
        <v>0.12049378268189943</v>
      </c>
      <c r="P74" s="146" t="s">
        <v>132</v>
      </c>
      <c r="Q74" s="1" t="s">
        <v>126</v>
      </c>
      <c r="R74" s="149">
        <v>1</v>
      </c>
      <c r="S74" s="149" t="s">
        <v>94</v>
      </c>
    </row>
    <row r="75" spans="1:21" ht="14.25" customHeight="1" x14ac:dyDescent="0.2">
      <c r="A75" s="125"/>
      <c r="B75" s="1"/>
      <c r="C75" s="125"/>
      <c r="D75" s="153" t="s">
        <v>64</v>
      </c>
      <c r="E75" s="125"/>
      <c r="F75" s="154" t="s">
        <v>92</v>
      </c>
      <c r="G75" s="593"/>
      <c r="H75" s="156">
        <v>2000</v>
      </c>
      <c r="I75" s="105" t="s">
        <v>132</v>
      </c>
      <c r="J75" s="125"/>
      <c r="M75" s="125"/>
      <c r="N75" s="153" t="s">
        <v>64</v>
      </c>
      <c r="O75" s="163"/>
      <c r="P75" s="153" t="s">
        <v>73</v>
      </c>
      <c r="Q75" s="1"/>
      <c r="R75" s="156">
        <v>2000</v>
      </c>
      <c r="S75" s="105" t="s">
        <v>132</v>
      </c>
    </row>
    <row r="76" spans="1:21" ht="14.25" customHeight="1" x14ac:dyDescent="0.2">
      <c r="A76" s="105"/>
      <c r="B76" s="105"/>
      <c r="C76" s="105"/>
      <c r="D76" s="105"/>
      <c r="E76" s="105"/>
      <c r="F76" s="105"/>
      <c r="L76" s="105"/>
      <c r="M76" s="105"/>
      <c r="N76" s="105"/>
      <c r="O76" s="105"/>
      <c r="P76" s="105"/>
      <c r="Q76" s="105"/>
      <c r="R76" s="105"/>
      <c r="S76" s="105"/>
      <c r="T76" s="105"/>
      <c r="U76" s="105"/>
    </row>
    <row r="77" spans="1:21" ht="14.25" customHeight="1" x14ac:dyDescent="0.2">
      <c r="A77" s="143"/>
      <c r="B77" s="158">
        <f>(B74*E74+M74*O74)/H75</f>
        <v>1154543.2812745462</v>
      </c>
      <c r="C77" s="158"/>
      <c r="D77" s="105" t="s">
        <v>133</v>
      </c>
      <c r="E77" s="143" t="s">
        <v>90</v>
      </c>
      <c r="F77" s="113">
        <f>B77*(2000/8760)</f>
        <v>263594.35645537585</v>
      </c>
      <c r="G77" s="105" t="s">
        <v>134</v>
      </c>
      <c r="L77" s="105"/>
      <c r="N77" s="105"/>
      <c r="O77" s="105"/>
      <c r="P77" s="105"/>
      <c r="Q77" s="105"/>
      <c r="R77" s="105"/>
      <c r="S77" s="105"/>
      <c r="T77" s="105"/>
      <c r="U77" s="105"/>
    </row>
    <row r="78" spans="1:21" ht="14.25" customHeight="1" x14ac:dyDescent="0.2">
      <c r="A78" s="105"/>
      <c r="B78" s="105"/>
      <c r="C78" s="105"/>
      <c r="D78" s="105"/>
      <c r="E78" s="105"/>
      <c r="F78" s="105"/>
      <c r="L78" s="105"/>
      <c r="M78" s="105"/>
      <c r="N78" s="105"/>
      <c r="O78" s="105"/>
      <c r="P78" s="105"/>
      <c r="Q78" s="105"/>
      <c r="R78" s="105"/>
      <c r="S78" s="105"/>
      <c r="T78" s="105"/>
      <c r="U78" s="105"/>
    </row>
    <row r="79" spans="1:21" ht="14.25" customHeight="1" x14ac:dyDescent="0.2">
      <c r="A79" s="105"/>
      <c r="B79" s="105"/>
      <c r="C79" s="105"/>
      <c r="D79" s="105"/>
      <c r="E79" s="105"/>
      <c r="F79" s="105"/>
      <c r="L79" s="105"/>
      <c r="M79" s="105"/>
      <c r="N79" s="105"/>
      <c r="O79" s="105"/>
      <c r="P79" s="105"/>
      <c r="Q79" s="105"/>
      <c r="R79" s="105"/>
      <c r="S79" s="105"/>
      <c r="T79" s="105"/>
      <c r="U79" s="105"/>
    </row>
    <row r="80" spans="1:21" ht="14.25" customHeight="1" x14ac:dyDescent="0.2">
      <c r="A80" s="86"/>
      <c r="B80" s="82" t="s">
        <v>145</v>
      </c>
      <c r="C80" s="82"/>
      <c r="D80" s="82"/>
      <c r="E80" s="82"/>
      <c r="F80" s="82"/>
      <c r="G80" s="82"/>
      <c r="H80" s="82"/>
      <c r="I80" s="82"/>
      <c r="J80" s="82"/>
      <c r="K80" s="86"/>
      <c r="L80" s="86"/>
      <c r="M80" s="86"/>
      <c r="N80" s="86"/>
      <c r="O80" s="86"/>
      <c r="P80" s="86"/>
    </row>
    <row r="81" spans="2:10" ht="14.25" customHeight="1" x14ac:dyDescent="0.2">
      <c r="B81" s="82" t="s">
        <v>146</v>
      </c>
      <c r="C81" s="82"/>
      <c r="D81" s="82"/>
      <c r="E81" s="82"/>
      <c r="F81" s="82"/>
      <c r="G81" s="82"/>
      <c r="H81" s="82"/>
      <c r="I81" s="82"/>
      <c r="J81" s="82"/>
    </row>
    <row r="82" spans="2:10" ht="14.25" customHeight="1" x14ac:dyDescent="0.2">
      <c r="B82" s="82" t="s">
        <v>147</v>
      </c>
      <c r="C82" s="82"/>
      <c r="D82" s="82"/>
      <c r="E82" s="82"/>
      <c r="F82" s="82"/>
      <c r="G82" s="82"/>
      <c r="H82" s="82"/>
      <c r="I82" s="82"/>
      <c r="J82" s="82"/>
    </row>
    <row r="83" spans="2:10" ht="14.25" customHeight="1" x14ac:dyDescent="0.2">
      <c r="B83" s="82" t="s">
        <v>148</v>
      </c>
      <c r="C83" s="82"/>
      <c r="D83" s="86"/>
      <c r="E83" s="86"/>
      <c r="F83" s="86"/>
      <c r="G83" s="86"/>
      <c r="H83" s="86"/>
      <c r="I83" s="86"/>
      <c r="J83" s="86"/>
    </row>
  </sheetData>
  <mergeCells count="13">
    <mergeCell ref="A1:P1"/>
    <mergeCell ref="F6:N6"/>
    <mergeCell ref="G20:G21"/>
    <mergeCell ref="Q20:Q21"/>
    <mergeCell ref="G26:G27"/>
    <mergeCell ref="G62:G63"/>
    <mergeCell ref="G68:G69"/>
    <mergeCell ref="G74:G75"/>
    <mergeCell ref="G32:G33"/>
    <mergeCell ref="G38:G39"/>
    <mergeCell ref="G44:G45"/>
    <mergeCell ref="G50:G51"/>
    <mergeCell ref="G56:G57"/>
  </mergeCells>
  <pageMargins left="0.7" right="0.7" top="0.75" bottom="0.75" header="0.511811023622047" footer="0.511811023622047"/>
  <pageSetup paperSize="9" orientation="portrait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83"/>
  <sheetViews>
    <sheetView zoomScaleNormal="100" workbookViewId="0">
      <selection sqref="A1:O1"/>
    </sheetView>
  </sheetViews>
  <sheetFormatPr defaultColWidth="8.7109375" defaultRowHeight="12.75" x14ac:dyDescent="0.2"/>
  <cols>
    <col min="1" max="2" width="18.28515625" customWidth="1"/>
    <col min="3" max="3" width="16.5703125" customWidth="1"/>
    <col min="4" max="4" width="12.42578125" customWidth="1"/>
    <col min="5" max="5" width="11.5703125" customWidth="1"/>
    <col min="6" max="6" width="13.5703125" customWidth="1"/>
    <col min="7" max="7" width="4.28515625" customWidth="1"/>
    <col min="8" max="8" width="8.42578125" customWidth="1"/>
    <col min="9" max="9" width="8.28515625" customWidth="1"/>
    <col min="10" max="10" width="5.5703125" customWidth="1"/>
    <col min="11" max="11" width="3.42578125" customWidth="1"/>
    <col min="12" max="12" width="4.5703125" customWidth="1"/>
    <col min="13" max="13" width="13.85546875" customWidth="1"/>
    <col min="14" max="14" width="8.5703125" customWidth="1"/>
    <col min="15" max="15" width="9.140625" customWidth="1"/>
    <col min="16" max="16" width="8.28515625" customWidth="1"/>
    <col min="17" max="17" width="1.7109375" customWidth="1"/>
    <col min="18" max="18" width="8" customWidth="1"/>
    <col min="19" max="19" width="8.28515625" customWidth="1"/>
    <col min="20" max="20" width="5.5703125" customWidth="1"/>
    <col min="21" max="21" width="3.42578125" customWidth="1"/>
  </cols>
  <sheetData>
    <row r="1" spans="1:24" ht="14.25" customHeight="1" x14ac:dyDescent="0.2">
      <c r="A1" s="594" t="s">
        <v>149</v>
      </c>
      <c r="B1" s="594"/>
      <c r="C1" s="594"/>
      <c r="D1" s="594"/>
      <c r="E1" s="594"/>
      <c r="F1" s="594"/>
      <c r="G1" s="594"/>
      <c r="H1" s="594"/>
      <c r="I1" s="594"/>
      <c r="J1" s="594"/>
      <c r="K1" s="594"/>
      <c r="L1" s="594"/>
      <c r="M1" s="594"/>
      <c r="N1" s="594"/>
      <c r="O1" s="594"/>
      <c r="P1" s="594"/>
    </row>
    <row r="2" spans="1:24" ht="14.25" customHeight="1" x14ac:dyDescent="0.2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</row>
    <row r="3" spans="1:24" ht="45.75" customHeight="1" x14ac:dyDescent="0.2">
      <c r="A3" s="106" t="s">
        <v>103</v>
      </c>
      <c r="B3" s="107" t="s">
        <v>104</v>
      </c>
      <c r="C3" s="107" t="s">
        <v>105</v>
      </c>
      <c r="D3" s="108" t="s">
        <v>106</v>
      </c>
      <c r="E3" s="108" t="s">
        <v>107</v>
      </c>
      <c r="M3" s="105"/>
      <c r="N3" s="105"/>
      <c r="O3" s="105"/>
      <c r="P3" s="105"/>
    </row>
    <row r="4" spans="1:24" ht="14.25" customHeight="1" x14ac:dyDescent="0.2">
      <c r="A4" s="109" t="s">
        <v>20</v>
      </c>
      <c r="B4" s="110">
        <v>0.35</v>
      </c>
      <c r="C4" s="110">
        <v>0.35</v>
      </c>
      <c r="D4" s="111">
        <f>B23</f>
        <v>2717.8448146513997</v>
      </c>
      <c r="E4" s="112">
        <f>F23</f>
        <v>620.51251476059349</v>
      </c>
      <c r="J4" s="113"/>
      <c r="K4" s="114"/>
      <c r="L4" s="114"/>
      <c r="M4" s="105"/>
      <c r="N4" s="105"/>
      <c r="O4" s="105"/>
      <c r="P4" s="105"/>
    </row>
    <row r="5" spans="1:24" ht="14.25" customHeight="1" x14ac:dyDescent="0.2">
      <c r="A5" s="115" t="s">
        <v>21</v>
      </c>
      <c r="B5" s="116">
        <v>8.9999999999999993E-3</v>
      </c>
      <c r="C5" s="117">
        <v>3.8E-3</v>
      </c>
      <c r="D5" s="118">
        <f>B29</f>
        <v>46.149277390236009</v>
      </c>
      <c r="E5" s="119">
        <f>F29</f>
        <v>10.536364700967125</v>
      </c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</row>
    <row r="6" spans="1:24" ht="14.25" customHeight="1" x14ac:dyDescent="0.2">
      <c r="A6" s="115" t="s">
        <v>22</v>
      </c>
      <c r="B6" s="116">
        <v>8.0000000000000004E-4</v>
      </c>
      <c r="C6" s="116">
        <v>1.2999999999999999E-3</v>
      </c>
      <c r="D6" s="118">
        <f>B35</f>
        <v>8.4947321712031982</v>
      </c>
      <c r="E6" s="119">
        <f>F35</f>
        <v>1.9394365687678534</v>
      </c>
      <c r="F6" s="595" t="s">
        <v>108</v>
      </c>
      <c r="G6" s="595"/>
      <c r="H6" s="595"/>
      <c r="I6" s="595"/>
      <c r="J6" s="595"/>
      <c r="K6" s="595"/>
      <c r="L6" s="595"/>
      <c r="M6" s="595"/>
      <c r="N6" s="595"/>
      <c r="O6" s="120"/>
      <c r="P6" s="120"/>
    </row>
    <row r="7" spans="1:24" ht="14.25" customHeight="1" x14ac:dyDescent="0.2">
      <c r="A7" s="115" t="s">
        <v>17</v>
      </c>
      <c r="B7" s="116">
        <v>5.0000000000000001E-3</v>
      </c>
      <c r="C7" s="117">
        <v>2.75E-2</v>
      </c>
      <c r="D7" s="118">
        <f>B41</f>
        <v>141.53954983502001</v>
      </c>
      <c r="E7" s="119">
        <f>F41</f>
        <v>32.314965715757992</v>
      </c>
      <c r="F7" s="121" t="s">
        <v>109</v>
      </c>
      <c r="G7" s="122" t="s">
        <v>110</v>
      </c>
      <c r="I7" s="122"/>
      <c r="J7" s="122"/>
      <c r="K7" s="122"/>
      <c r="L7" s="122"/>
      <c r="M7" s="122"/>
      <c r="N7" s="122"/>
      <c r="O7" s="122"/>
      <c r="P7" s="122"/>
    </row>
    <row r="8" spans="1:24" ht="14.25" customHeight="1" x14ac:dyDescent="0.2">
      <c r="A8" s="115" t="s">
        <v>18</v>
      </c>
      <c r="B8" s="116">
        <v>8.0999999999999996E-3</v>
      </c>
      <c r="C8" s="117">
        <v>0.04</v>
      </c>
      <c r="D8" s="118">
        <f>B47</f>
        <v>208.52318011953238</v>
      </c>
      <c r="E8" s="123">
        <f>F47</f>
        <v>47.608031990760814</v>
      </c>
      <c r="F8" s="124"/>
      <c r="G8" s="122" t="s">
        <v>111</v>
      </c>
      <c r="H8" s="122"/>
      <c r="I8" s="122"/>
      <c r="J8" s="122"/>
      <c r="K8" s="122"/>
      <c r="L8" s="122"/>
      <c r="M8" s="122"/>
      <c r="N8" s="122"/>
      <c r="O8" s="122"/>
    </row>
    <row r="9" spans="1:24" ht="14.25" customHeight="1" x14ac:dyDescent="0.2">
      <c r="A9" s="115" t="s">
        <v>40</v>
      </c>
      <c r="B9" s="116">
        <v>7.4999999999999997E-3</v>
      </c>
      <c r="C9" s="117">
        <v>3.3000000000000002E-2</v>
      </c>
      <c r="D9" s="118">
        <f>B53</f>
        <v>174.64781979453002</v>
      </c>
      <c r="E9" s="119">
        <f>F53</f>
        <v>39.873931459938362</v>
      </c>
      <c r="F9" s="125"/>
      <c r="G9" s="122" t="s">
        <v>112</v>
      </c>
      <c r="H9" s="122"/>
      <c r="I9" s="122"/>
      <c r="J9" s="122"/>
      <c r="K9" s="122"/>
      <c r="L9" s="122"/>
      <c r="M9" s="122"/>
      <c r="N9" s="122"/>
      <c r="O9" s="122"/>
    </row>
    <row r="10" spans="1:24" ht="14.25" customHeight="1" x14ac:dyDescent="0.25">
      <c r="A10" s="115" t="s">
        <v>19</v>
      </c>
      <c r="B10" s="116">
        <v>4.0000000000000001E-3</v>
      </c>
      <c r="C10" s="117" t="s">
        <v>113</v>
      </c>
      <c r="D10" s="118">
        <f>B59</f>
        <v>2373.9617499428168</v>
      </c>
      <c r="E10" s="119">
        <f>F59</f>
        <v>542.00039953032342</v>
      </c>
      <c r="F10" s="125"/>
      <c r="G10" s="125"/>
      <c r="H10" s="124"/>
      <c r="I10" s="124"/>
      <c r="J10" s="124"/>
      <c r="K10" s="124"/>
      <c r="L10" s="124"/>
      <c r="M10" s="124"/>
      <c r="N10" s="124"/>
      <c r="O10" s="124"/>
      <c r="P10" s="124"/>
      <c r="V10" s="126"/>
      <c r="W10" s="126"/>
      <c r="X10" s="126"/>
    </row>
    <row r="11" spans="1:24" ht="14.25" customHeight="1" x14ac:dyDescent="0.25">
      <c r="A11" s="115" t="s">
        <v>42</v>
      </c>
      <c r="B11" s="116">
        <v>4.2999999999999999E-4</v>
      </c>
      <c r="C11" s="117">
        <v>2.2589999999999999E-2</v>
      </c>
      <c r="D11" s="118">
        <f>B65</f>
        <v>104.50015131921171</v>
      </c>
      <c r="E11" s="119">
        <f>F65</f>
        <v>23.858482036349706</v>
      </c>
      <c r="F11" s="127" t="s">
        <v>114</v>
      </c>
      <c r="G11" s="122" t="s">
        <v>115</v>
      </c>
      <c r="H11" s="122"/>
      <c r="I11" s="122"/>
      <c r="J11" s="122"/>
      <c r="K11" s="122"/>
      <c r="L11" s="122"/>
      <c r="N11" s="124"/>
      <c r="O11" s="124"/>
      <c r="P11" s="124"/>
      <c r="V11" s="126" t="s">
        <v>24</v>
      </c>
      <c r="W11" s="126">
        <f>(157765.7+153.2+365.3)*2204.6/13621578</f>
        <v>25.617688884503689</v>
      </c>
      <c r="X11" s="126" t="s">
        <v>116</v>
      </c>
    </row>
    <row r="12" spans="1:24" ht="14.25" customHeight="1" x14ac:dyDescent="0.25">
      <c r="A12" s="115" t="s">
        <v>23</v>
      </c>
      <c r="B12" s="116">
        <v>0</v>
      </c>
      <c r="C12" s="128">
        <v>4.6299999999999997E-6</v>
      </c>
      <c r="D12" s="118">
        <f>B71</f>
        <v>2.1136093085519999E-2</v>
      </c>
      <c r="E12" s="119">
        <f>F71</f>
        <v>4.8255920286575339E-3</v>
      </c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V12" s="126"/>
      <c r="W12" s="126">
        <f>(989989.8+466.4+556)*2204.62/18132099995</f>
        <v>0.12049378268189943</v>
      </c>
      <c r="X12" s="126" t="s">
        <v>117</v>
      </c>
    </row>
    <row r="13" spans="1:24" ht="14.25" customHeight="1" x14ac:dyDescent="0.25">
      <c r="A13" s="115" t="s">
        <v>24</v>
      </c>
      <c r="B13" s="116" t="s">
        <v>118</v>
      </c>
      <c r="C13" s="116" t="s">
        <v>119</v>
      </c>
      <c r="D13" s="129">
        <f>B77</f>
        <v>1150414.8492171764</v>
      </c>
      <c r="E13" s="130">
        <f>F77</f>
        <v>262651.79205871606</v>
      </c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V13" s="126"/>
      <c r="W13" s="126"/>
      <c r="X13" s="126"/>
    </row>
    <row r="14" spans="1:24" ht="14.25" customHeight="1" x14ac:dyDescent="0.2">
      <c r="A14" s="131" t="s">
        <v>43</v>
      </c>
      <c r="B14" s="132">
        <v>0</v>
      </c>
      <c r="C14" s="133">
        <v>0</v>
      </c>
      <c r="D14" s="134">
        <v>0</v>
      </c>
      <c r="E14" s="135">
        <v>0</v>
      </c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</row>
    <row r="15" spans="1:24" ht="14.25" customHeight="1" x14ac:dyDescent="0.2">
      <c r="A15" s="136"/>
      <c r="B15" s="136"/>
      <c r="C15" s="136"/>
      <c r="D15" s="136"/>
      <c r="E15" s="113"/>
      <c r="H15" s="105"/>
      <c r="I15" s="105"/>
      <c r="J15" s="105"/>
      <c r="K15" s="105"/>
      <c r="L15" s="105"/>
      <c r="M15" s="105"/>
      <c r="N15" s="105"/>
      <c r="O15" s="105"/>
      <c r="P15" s="105"/>
    </row>
    <row r="16" spans="1:24" ht="14.25" customHeight="1" x14ac:dyDescent="0.2">
      <c r="A16" s="137" t="s">
        <v>471</v>
      </c>
      <c r="B16" s="138">
        <f>SUM('Costa Sur'!E17)</f>
        <v>60867078.720000006</v>
      </c>
      <c r="C16" s="138"/>
      <c r="D16" s="139" t="s">
        <v>87</v>
      </c>
      <c r="H16" s="105"/>
      <c r="I16" s="105"/>
      <c r="J16" s="105"/>
      <c r="K16" s="105"/>
      <c r="L16" s="105"/>
      <c r="M16" s="105"/>
      <c r="N16" s="105"/>
      <c r="O16" s="105"/>
      <c r="P16" s="105"/>
    </row>
    <row r="17" spans="1:21" ht="14.25" customHeight="1" x14ac:dyDescent="0.2">
      <c r="A17" s="140" t="s">
        <v>472</v>
      </c>
      <c r="B17" s="141">
        <f>SUM('Costa Sur'!C54)</f>
        <v>6154307682.6999998</v>
      </c>
      <c r="C17" s="141"/>
      <c r="D17" s="114" t="s">
        <v>120</v>
      </c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</row>
    <row r="18" spans="1:21" ht="14.25" customHeight="1" x14ac:dyDescent="0.25">
      <c r="A18" s="88" t="s">
        <v>121</v>
      </c>
      <c r="B18" s="142">
        <f>SUM('Costa Sur'!I17)</f>
        <v>0.4941666666666667</v>
      </c>
      <c r="D18" t="s">
        <v>122</v>
      </c>
      <c r="M18" s="105"/>
      <c r="N18" s="105"/>
      <c r="O18" s="105"/>
      <c r="P18" s="105"/>
    </row>
    <row r="19" spans="1:21" ht="14.25" customHeight="1" x14ac:dyDescent="0.2">
      <c r="A19" s="105"/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</row>
    <row r="20" spans="1:21" ht="14.25" customHeight="1" x14ac:dyDescent="0.2">
      <c r="A20" s="143" t="s">
        <v>123</v>
      </c>
      <c r="B20" s="144">
        <f>B16</f>
        <v>60867078.720000006</v>
      </c>
      <c r="C20" s="145"/>
      <c r="D20" s="146" t="s">
        <v>124</v>
      </c>
      <c r="E20" s="147">
        <v>0.15</v>
      </c>
      <c r="F20" s="148" t="s">
        <v>125</v>
      </c>
      <c r="G20" s="593" t="s">
        <v>126</v>
      </c>
      <c r="H20" s="149">
        <f>C4</f>
        <v>0.35</v>
      </c>
      <c r="I20" s="150" t="s">
        <v>127</v>
      </c>
      <c r="J20" s="149">
        <v>1</v>
      </c>
      <c r="K20" s="149" t="s">
        <v>94</v>
      </c>
      <c r="L20" s="151" t="s">
        <v>128</v>
      </c>
      <c r="M20" s="152">
        <f>B17</f>
        <v>6154307682.6999998</v>
      </c>
      <c r="N20" s="148" t="s">
        <v>129</v>
      </c>
      <c r="O20" s="144">
        <v>1040</v>
      </c>
      <c r="P20" s="146" t="s">
        <v>130</v>
      </c>
      <c r="Q20" s="593" t="s">
        <v>126</v>
      </c>
      <c r="R20" s="149">
        <f>B4</f>
        <v>0.35</v>
      </c>
      <c r="S20" s="150" t="s">
        <v>127</v>
      </c>
      <c r="T20" s="149">
        <v>1</v>
      </c>
      <c r="U20" s="149" t="s">
        <v>94</v>
      </c>
    </row>
    <row r="21" spans="1:21" ht="14.25" customHeight="1" x14ac:dyDescent="0.2">
      <c r="A21" s="125"/>
      <c r="B21" s="1"/>
      <c r="C21" s="125"/>
      <c r="D21" s="153" t="s">
        <v>64</v>
      </c>
      <c r="E21" s="125"/>
      <c r="F21" s="154" t="s">
        <v>92</v>
      </c>
      <c r="G21" s="593"/>
      <c r="H21" s="105"/>
      <c r="I21" s="155" t="s">
        <v>131</v>
      </c>
      <c r="J21" s="156">
        <v>2000</v>
      </c>
      <c r="K21" s="105" t="s">
        <v>132</v>
      </c>
      <c r="L21" s="125"/>
      <c r="M21" s="125"/>
      <c r="N21" s="154" t="s">
        <v>64</v>
      </c>
      <c r="O21" s="157">
        <v>1000000</v>
      </c>
      <c r="P21" s="153" t="s">
        <v>73</v>
      </c>
      <c r="Q21" s="593"/>
      <c r="R21" s="105"/>
      <c r="S21" s="155" t="s">
        <v>131</v>
      </c>
      <c r="T21" s="156">
        <v>2000</v>
      </c>
      <c r="U21" s="105" t="s">
        <v>132</v>
      </c>
    </row>
    <row r="22" spans="1:21" ht="14.25" customHeight="1" x14ac:dyDescent="0.2">
      <c r="A22" s="105"/>
      <c r="B22" s="105"/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</row>
    <row r="23" spans="1:21" ht="14.25" customHeight="1" x14ac:dyDescent="0.25">
      <c r="A23" s="143"/>
      <c r="B23" s="158">
        <f>(B20*E20*H20+M20*O20*R20/1000000)/2000</f>
        <v>2717.8448146513997</v>
      </c>
      <c r="C23" s="158"/>
      <c r="D23" s="105" t="s">
        <v>133</v>
      </c>
      <c r="E23" s="143" t="s">
        <v>90</v>
      </c>
      <c r="F23" s="113">
        <f>B23*(2000/8760)</f>
        <v>620.51251476059349</v>
      </c>
      <c r="G23" s="105" t="s">
        <v>134</v>
      </c>
      <c r="H23" s="159"/>
      <c r="I23" s="105"/>
      <c r="J23" s="105"/>
      <c r="K23" s="105"/>
      <c r="L23" s="105"/>
      <c r="M23" s="105"/>
      <c r="N23" s="105"/>
      <c r="O23" s="105"/>
      <c r="P23" s="105"/>
    </row>
    <row r="24" spans="1:21" ht="11.25" customHeight="1" x14ac:dyDescent="0.2">
      <c r="A24" s="105"/>
      <c r="B24" s="105"/>
      <c r="C24" s="105"/>
      <c r="D24" s="105"/>
      <c r="E24" s="105"/>
      <c r="F24" s="105"/>
      <c r="G24" s="105"/>
      <c r="H24" s="160"/>
      <c r="I24" s="160"/>
      <c r="J24" s="160"/>
      <c r="K24" s="105"/>
      <c r="L24" s="105"/>
      <c r="M24" s="105"/>
      <c r="N24" s="105"/>
      <c r="O24" s="105"/>
      <c r="P24" s="105"/>
    </row>
    <row r="25" spans="1:21" ht="14.25" customHeight="1" x14ac:dyDescent="0.2">
      <c r="A25" s="105"/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</row>
    <row r="26" spans="1:21" ht="14.25" customHeight="1" x14ac:dyDescent="0.2">
      <c r="A26" s="143" t="s">
        <v>135</v>
      </c>
      <c r="B26" s="144">
        <f>B16</f>
        <v>60867078.720000006</v>
      </c>
      <c r="C26" s="145"/>
      <c r="D26" s="146" t="s">
        <v>124</v>
      </c>
      <c r="E26" s="147">
        <v>0.15</v>
      </c>
      <c r="F26" s="148" t="s">
        <v>125</v>
      </c>
      <c r="G26" s="593" t="s">
        <v>126</v>
      </c>
      <c r="H26" s="149">
        <f>C5</f>
        <v>3.8E-3</v>
      </c>
      <c r="I26" s="150" t="s">
        <v>127</v>
      </c>
      <c r="J26" s="149">
        <v>1</v>
      </c>
      <c r="K26" s="149" t="s">
        <v>94</v>
      </c>
      <c r="L26" s="151" t="s">
        <v>128</v>
      </c>
      <c r="M26" s="152">
        <f>B17</f>
        <v>6154307682.6999998</v>
      </c>
      <c r="N26" s="146" t="s">
        <v>129</v>
      </c>
      <c r="O26" s="145">
        <v>1040</v>
      </c>
      <c r="P26" s="146" t="s">
        <v>130</v>
      </c>
      <c r="Q26" s="1" t="s">
        <v>126</v>
      </c>
      <c r="R26" s="149">
        <f>B5</f>
        <v>8.9999999999999993E-3</v>
      </c>
      <c r="S26" s="150" t="s">
        <v>127</v>
      </c>
      <c r="T26" s="161">
        <v>1</v>
      </c>
      <c r="U26" s="149" t="s">
        <v>94</v>
      </c>
    </row>
    <row r="27" spans="1:21" ht="14.25" customHeight="1" x14ac:dyDescent="0.2">
      <c r="A27" s="125"/>
      <c r="B27" s="1"/>
      <c r="C27" s="125"/>
      <c r="D27" s="153" t="s">
        <v>64</v>
      </c>
      <c r="E27" s="125"/>
      <c r="F27" s="162" t="s">
        <v>92</v>
      </c>
      <c r="G27" s="593"/>
      <c r="H27" s="105"/>
      <c r="I27" s="155" t="s">
        <v>131</v>
      </c>
      <c r="J27" s="156">
        <v>2000</v>
      </c>
      <c r="K27" s="105" t="s">
        <v>132</v>
      </c>
      <c r="L27" s="125"/>
      <c r="M27" s="125"/>
      <c r="N27" s="153" t="s">
        <v>64</v>
      </c>
      <c r="O27" s="163">
        <v>1000000</v>
      </c>
      <c r="P27" s="153" t="s">
        <v>73</v>
      </c>
      <c r="Q27" s="1"/>
      <c r="R27" s="105"/>
      <c r="S27" s="155" t="s">
        <v>131</v>
      </c>
      <c r="T27" s="164">
        <v>2000</v>
      </c>
      <c r="U27" s="105" t="s">
        <v>132</v>
      </c>
    </row>
    <row r="28" spans="1:21" ht="14.25" customHeight="1" x14ac:dyDescent="0.2">
      <c r="A28" s="105"/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</row>
    <row r="29" spans="1:21" ht="14.25" customHeight="1" x14ac:dyDescent="0.2">
      <c r="A29" s="143"/>
      <c r="B29" s="158">
        <f>(B26*E26*H26+M26*O26*R26/1000000)/2000</f>
        <v>46.149277390236009</v>
      </c>
      <c r="C29" s="158"/>
      <c r="D29" s="105" t="s">
        <v>133</v>
      </c>
      <c r="E29" s="143" t="s">
        <v>90</v>
      </c>
      <c r="F29" s="113">
        <f>B29*(2000/8760)</f>
        <v>10.536364700967125</v>
      </c>
      <c r="G29" s="105" t="s">
        <v>134</v>
      </c>
      <c r="I29" s="105"/>
      <c r="J29" s="105"/>
      <c r="K29" s="105"/>
      <c r="L29" s="105"/>
      <c r="M29" s="105"/>
      <c r="N29" s="105"/>
      <c r="O29" s="105"/>
      <c r="P29" s="105"/>
    </row>
    <row r="30" spans="1:21" ht="9.75" customHeight="1" x14ac:dyDescent="0.2">
      <c r="A30" s="105"/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</row>
    <row r="31" spans="1:21" ht="14.25" customHeight="1" x14ac:dyDescent="0.2">
      <c r="A31" s="105"/>
      <c r="B31" s="105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</row>
    <row r="32" spans="1:21" ht="14.25" customHeight="1" x14ac:dyDescent="0.2">
      <c r="A32" s="143" t="s">
        <v>136</v>
      </c>
      <c r="B32" s="144">
        <f>B16</f>
        <v>60867078.720000006</v>
      </c>
      <c r="C32" s="145"/>
      <c r="D32" s="146" t="s">
        <v>124</v>
      </c>
      <c r="E32" s="147">
        <v>0.15</v>
      </c>
      <c r="F32" s="148" t="s">
        <v>125</v>
      </c>
      <c r="G32" s="593" t="s">
        <v>126</v>
      </c>
      <c r="H32" s="149">
        <f>C6</f>
        <v>1.2999999999999999E-3</v>
      </c>
      <c r="I32" s="150" t="s">
        <v>127</v>
      </c>
      <c r="J32" s="149">
        <v>1</v>
      </c>
      <c r="K32" s="149" t="s">
        <v>94</v>
      </c>
      <c r="L32" s="151" t="s">
        <v>128</v>
      </c>
      <c r="M32" s="152">
        <f>B17</f>
        <v>6154307682.6999998</v>
      </c>
      <c r="N32" s="146" t="s">
        <v>129</v>
      </c>
      <c r="O32" s="145">
        <v>1040</v>
      </c>
      <c r="P32" s="146" t="s">
        <v>130</v>
      </c>
      <c r="Q32" s="1" t="s">
        <v>126</v>
      </c>
      <c r="R32" s="149">
        <f>B6</f>
        <v>8.0000000000000004E-4</v>
      </c>
      <c r="S32" s="150" t="s">
        <v>127</v>
      </c>
      <c r="T32" s="149">
        <v>1</v>
      </c>
      <c r="U32" s="149" t="s">
        <v>94</v>
      </c>
    </row>
    <row r="33" spans="1:21" ht="14.25" customHeight="1" x14ac:dyDescent="0.2">
      <c r="A33" s="125"/>
      <c r="B33" s="1"/>
      <c r="C33" s="125"/>
      <c r="D33" s="153" t="s">
        <v>64</v>
      </c>
      <c r="E33" s="125"/>
      <c r="F33" s="154" t="s">
        <v>92</v>
      </c>
      <c r="G33" s="593"/>
      <c r="H33" s="105"/>
      <c r="I33" s="155" t="s">
        <v>131</v>
      </c>
      <c r="J33" s="156">
        <v>2000</v>
      </c>
      <c r="K33" s="105" t="s">
        <v>132</v>
      </c>
      <c r="L33" s="125"/>
      <c r="M33" s="125"/>
      <c r="N33" s="153" t="s">
        <v>64</v>
      </c>
      <c r="O33" s="163">
        <v>1000000</v>
      </c>
      <c r="P33" s="153" t="s">
        <v>73</v>
      </c>
      <c r="Q33" s="1"/>
      <c r="R33" s="105"/>
      <c r="S33" s="155" t="s">
        <v>131</v>
      </c>
      <c r="T33" s="156">
        <v>2000</v>
      </c>
      <c r="U33" s="105" t="s">
        <v>132</v>
      </c>
    </row>
    <row r="34" spans="1:21" ht="14.25" customHeight="1" x14ac:dyDescent="0.2">
      <c r="A34" s="105"/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</row>
    <row r="35" spans="1:21" ht="14.25" customHeight="1" x14ac:dyDescent="0.2">
      <c r="A35" s="143"/>
      <c r="B35" s="158">
        <f>(B32*E32*H32+M32*O32*R32/1000000)/2000</f>
        <v>8.4947321712031982</v>
      </c>
      <c r="C35" s="158"/>
      <c r="D35" s="105" t="s">
        <v>133</v>
      </c>
      <c r="E35" s="143" t="s">
        <v>90</v>
      </c>
      <c r="F35" s="113">
        <f>B35*(2000/8760)</f>
        <v>1.9394365687678534</v>
      </c>
      <c r="G35" s="105" t="s">
        <v>134</v>
      </c>
      <c r="I35" s="105"/>
      <c r="J35" s="105"/>
      <c r="K35" s="105"/>
      <c r="L35" s="105"/>
      <c r="M35" s="105"/>
      <c r="N35" s="105"/>
      <c r="O35" s="105"/>
      <c r="P35" s="105"/>
    </row>
    <row r="36" spans="1:21" ht="14.25" customHeight="1" x14ac:dyDescent="0.2">
      <c r="A36" s="105"/>
      <c r="B36" s="105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</row>
    <row r="37" spans="1:21" ht="14.25" customHeight="1" x14ac:dyDescent="0.2">
      <c r="A37" s="105"/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105"/>
    </row>
    <row r="38" spans="1:21" ht="14.25" customHeight="1" x14ac:dyDescent="0.2">
      <c r="A38" s="143" t="s">
        <v>137</v>
      </c>
      <c r="B38" s="144">
        <f>B16</f>
        <v>60867078.720000006</v>
      </c>
      <c r="C38" s="145"/>
      <c r="D38" s="146" t="s">
        <v>124</v>
      </c>
      <c r="E38" s="147">
        <v>0.15</v>
      </c>
      <c r="F38" s="148" t="s">
        <v>125</v>
      </c>
      <c r="G38" s="593" t="s">
        <v>126</v>
      </c>
      <c r="H38" s="149">
        <f>C7</f>
        <v>2.75E-2</v>
      </c>
      <c r="I38" s="150" t="s">
        <v>127</v>
      </c>
      <c r="J38" s="149">
        <v>1</v>
      </c>
      <c r="K38" s="149" t="s">
        <v>94</v>
      </c>
      <c r="L38" s="151" t="s">
        <v>128</v>
      </c>
      <c r="M38" s="152">
        <f>B17</f>
        <v>6154307682.6999998</v>
      </c>
      <c r="N38" s="146" t="s">
        <v>129</v>
      </c>
      <c r="O38" s="145">
        <v>1040</v>
      </c>
      <c r="P38" s="146" t="s">
        <v>130</v>
      </c>
      <c r="Q38" s="1" t="s">
        <v>126</v>
      </c>
      <c r="R38" s="149">
        <f>B7</f>
        <v>5.0000000000000001E-3</v>
      </c>
      <c r="S38" s="150" t="s">
        <v>127</v>
      </c>
      <c r="T38" s="149">
        <v>1</v>
      </c>
      <c r="U38" s="149" t="s">
        <v>94</v>
      </c>
    </row>
    <row r="39" spans="1:21" ht="14.25" customHeight="1" x14ac:dyDescent="0.2">
      <c r="A39" s="125"/>
      <c r="B39" s="1"/>
      <c r="C39" s="125"/>
      <c r="D39" s="153" t="s">
        <v>64</v>
      </c>
      <c r="E39" s="125"/>
      <c r="F39" s="154" t="s">
        <v>92</v>
      </c>
      <c r="G39" s="593"/>
      <c r="H39" s="105"/>
      <c r="I39" s="155" t="s">
        <v>131</v>
      </c>
      <c r="J39" s="156">
        <v>2000</v>
      </c>
      <c r="K39" s="105" t="s">
        <v>132</v>
      </c>
      <c r="L39" s="125"/>
      <c r="M39" s="125"/>
      <c r="N39" s="153" t="s">
        <v>64</v>
      </c>
      <c r="O39" s="163">
        <v>1000000</v>
      </c>
      <c r="P39" s="153" t="s">
        <v>73</v>
      </c>
      <c r="Q39" s="1"/>
      <c r="R39" s="105"/>
      <c r="S39" s="155" t="s">
        <v>131</v>
      </c>
      <c r="T39" s="156">
        <v>2000</v>
      </c>
      <c r="U39" s="105" t="s">
        <v>132</v>
      </c>
    </row>
    <row r="40" spans="1:21" ht="14.25" customHeight="1" x14ac:dyDescent="0.2">
      <c r="A40" s="105"/>
      <c r="B40" s="105"/>
      <c r="C40" s="105"/>
      <c r="D40" s="105"/>
      <c r="E40" s="105"/>
      <c r="F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</row>
    <row r="41" spans="1:21" ht="14.25" customHeight="1" x14ac:dyDescent="0.2">
      <c r="A41" s="143"/>
      <c r="B41" s="158">
        <f>(B38*E38*H38+M38*O38*R38/1000000)/2000</f>
        <v>141.53954983502001</v>
      </c>
      <c r="C41" s="158"/>
      <c r="D41" s="105" t="s">
        <v>133</v>
      </c>
      <c r="E41" s="143" t="s">
        <v>90</v>
      </c>
      <c r="F41" s="113">
        <f>B41*(2000/8760)</f>
        <v>32.314965715757992</v>
      </c>
      <c r="G41" s="105" t="s">
        <v>134</v>
      </c>
      <c r="L41" s="105" t="s">
        <v>134</v>
      </c>
      <c r="N41" s="105"/>
      <c r="O41" s="105"/>
      <c r="P41" s="105"/>
      <c r="Q41" s="105"/>
      <c r="R41" s="105"/>
      <c r="S41" s="105"/>
      <c r="T41" s="105"/>
      <c r="U41" s="105"/>
    </row>
    <row r="42" spans="1:21" ht="14.25" customHeight="1" x14ac:dyDescent="0.2">
      <c r="A42" s="143"/>
      <c r="B42" s="158"/>
      <c r="C42" s="158"/>
      <c r="D42" s="105"/>
      <c r="E42" s="143"/>
      <c r="F42" s="113"/>
      <c r="L42" s="105"/>
      <c r="N42" s="105"/>
      <c r="O42" s="105"/>
      <c r="P42" s="105"/>
      <c r="Q42" s="105"/>
      <c r="R42" s="105"/>
      <c r="S42" s="105"/>
      <c r="T42" s="105"/>
      <c r="U42" s="105"/>
    </row>
    <row r="43" spans="1:21" ht="14.25" customHeight="1" x14ac:dyDescent="0.2">
      <c r="A43" s="143"/>
      <c r="B43" s="158"/>
      <c r="C43" s="158"/>
      <c r="D43" s="105"/>
      <c r="E43" s="143"/>
      <c r="F43" s="113"/>
      <c r="L43" s="105"/>
      <c r="N43" s="105"/>
      <c r="O43" s="105"/>
      <c r="P43" s="105"/>
      <c r="Q43" s="105"/>
      <c r="R43" s="105"/>
      <c r="S43" s="105"/>
      <c r="T43" s="105"/>
      <c r="U43" s="105"/>
    </row>
    <row r="44" spans="1:21" ht="14.25" customHeight="1" x14ac:dyDescent="0.2">
      <c r="A44" s="143" t="s">
        <v>138</v>
      </c>
      <c r="B44" s="144">
        <f>B16</f>
        <v>60867078.720000006</v>
      </c>
      <c r="C44" s="145"/>
      <c r="D44" s="146" t="s">
        <v>124</v>
      </c>
      <c r="E44" s="147">
        <v>0.15</v>
      </c>
      <c r="F44" s="148" t="s">
        <v>125</v>
      </c>
      <c r="G44" s="593" t="s">
        <v>126</v>
      </c>
      <c r="H44" s="149">
        <f>C8</f>
        <v>0.04</v>
      </c>
      <c r="I44" s="150" t="s">
        <v>127</v>
      </c>
      <c r="J44" s="149">
        <v>1</v>
      </c>
      <c r="K44" s="149" t="s">
        <v>94</v>
      </c>
      <c r="L44" s="151" t="s">
        <v>128</v>
      </c>
      <c r="M44" s="152">
        <f>B17</f>
        <v>6154307682.6999998</v>
      </c>
      <c r="N44" s="146" t="s">
        <v>129</v>
      </c>
      <c r="O44" s="145">
        <v>1040</v>
      </c>
      <c r="P44" s="146" t="s">
        <v>130</v>
      </c>
      <c r="Q44" s="1" t="s">
        <v>126</v>
      </c>
      <c r="R44" s="149">
        <f>B8</f>
        <v>8.0999999999999996E-3</v>
      </c>
      <c r="S44" s="150" t="s">
        <v>127</v>
      </c>
      <c r="T44" s="149">
        <v>1</v>
      </c>
      <c r="U44" s="149" t="s">
        <v>94</v>
      </c>
    </row>
    <row r="45" spans="1:21" ht="14.25" customHeight="1" x14ac:dyDescent="0.2">
      <c r="A45" s="125"/>
      <c r="B45" s="1"/>
      <c r="C45" s="125"/>
      <c r="D45" s="153" t="s">
        <v>64</v>
      </c>
      <c r="E45" s="125"/>
      <c r="F45" s="154" t="s">
        <v>92</v>
      </c>
      <c r="G45" s="593"/>
      <c r="H45" s="105"/>
      <c r="I45" s="155" t="s">
        <v>131</v>
      </c>
      <c r="J45" s="156">
        <v>2000</v>
      </c>
      <c r="K45" s="105" t="s">
        <v>132</v>
      </c>
      <c r="L45" s="125"/>
      <c r="M45" s="125"/>
      <c r="N45" s="153" t="s">
        <v>64</v>
      </c>
      <c r="O45" s="163">
        <v>1000000</v>
      </c>
      <c r="P45" s="153" t="s">
        <v>73</v>
      </c>
      <c r="Q45" s="1"/>
      <c r="R45" s="105"/>
      <c r="S45" s="155" t="s">
        <v>131</v>
      </c>
      <c r="T45" s="156">
        <v>2000</v>
      </c>
      <c r="U45" s="105" t="s">
        <v>132</v>
      </c>
    </row>
    <row r="46" spans="1:21" ht="14.25" customHeight="1" x14ac:dyDescent="0.2">
      <c r="A46" s="105"/>
      <c r="B46" s="105"/>
      <c r="C46" s="105"/>
      <c r="D46" s="105"/>
      <c r="E46" s="105"/>
      <c r="F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</row>
    <row r="47" spans="1:21" ht="14.25" customHeight="1" x14ac:dyDescent="0.2">
      <c r="A47" s="143"/>
      <c r="B47" s="158">
        <f>(B44*E44*H44+M44*O44*R44/1000000)/2000</f>
        <v>208.52318011953238</v>
      </c>
      <c r="C47" s="158"/>
      <c r="D47" s="105" t="s">
        <v>133</v>
      </c>
      <c r="E47" s="143" t="s">
        <v>90</v>
      </c>
      <c r="F47" s="113">
        <f>B47*(2000/8760)</f>
        <v>47.608031990760814</v>
      </c>
      <c r="G47" s="105" t="s">
        <v>134</v>
      </c>
      <c r="L47" s="105" t="s">
        <v>134</v>
      </c>
      <c r="N47" s="105"/>
      <c r="O47" s="105"/>
      <c r="P47" s="105"/>
      <c r="Q47" s="105"/>
      <c r="R47" s="105"/>
      <c r="S47" s="105"/>
      <c r="T47" s="105"/>
      <c r="U47" s="105"/>
    </row>
    <row r="48" spans="1:21" ht="14.25" customHeight="1" x14ac:dyDescent="0.2">
      <c r="A48" s="105"/>
      <c r="B48" s="105"/>
      <c r="C48" s="105"/>
      <c r="D48" s="105"/>
      <c r="E48" s="105"/>
      <c r="F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</row>
    <row r="49" spans="1:21" ht="14.25" customHeight="1" x14ac:dyDescent="0.2">
      <c r="A49" s="105"/>
      <c r="B49" s="105"/>
      <c r="C49" s="105"/>
      <c r="D49" s="105"/>
      <c r="E49" s="105"/>
      <c r="F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</row>
    <row r="50" spans="1:21" ht="14.25" customHeight="1" x14ac:dyDescent="0.2">
      <c r="A50" s="143" t="s">
        <v>139</v>
      </c>
      <c r="B50" s="144">
        <f>B16</f>
        <v>60867078.720000006</v>
      </c>
      <c r="C50" s="145"/>
      <c r="D50" s="146" t="s">
        <v>124</v>
      </c>
      <c r="E50" s="147">
        <v>0.15</v>
      </c>
      <c r="F50" s="148" t="s">
        <v>125</v>
      </c>
      <c r="G50" s="593" t="s">
        <v>126</v>
      </c>
      <c r="H50" s="149">
        <f>C9</f>
        <v>3.3000000000000002E-2</v>
      </c>
      <c r="I50" s="150" t="s">
        <v>127</v>
      </c>
      <c r="J50" s="149">
        <v>1</v>
      </c>
      <c r="K50" s="149" t="s">
        <v>94</v>
      </c>
      <c r="L50" s="151" t="s">
        <v>128</v>
      </c>
      <c r="M50" s="152">
        <f>B17</f>
        <v>6154307682.6999998</v>
      </c>
      <c r="N50" s="146" t="s">
        <v>129</v>
      </c>
      <c r="O50" s="145">
        <v>1040</v>
      </c>
      <c r="P50" s="146" t="s">
        <v>130</v>
      </c>
      <c r="Q50" s="1" t="s">
        <v>126</v>
      </c>
      <c r="R50" s="149">
        <f>B9</f>
        <v>7.4999999999999997E-3</v>
      </c>
      <c r="S50" s="150" t="s">
        <v>127</v>
      </c>
      <c r="T50" s="149">
        <v>1</v>
      </c>
      <c r="U50" s="149" t="s">
        <v>94</v>
      </c>
    </row>
    <row r="51" spans="1:21" ht="14.25" customHeight="1" x14ac:dyDescent="0.2">
      <c r="A51" s="125"/>
      <c r="B51" s="1"/>
      <c r="C51" s="125"/>
      <c r="D51" s="153" t="s">
        <v>64</v>
      </c>
      <c r="E51" s="125"/>
      <c r="F51" s="154" t="s">
        <v>92</v>
      </c>
      <c r="G51" s="593"/>
      <c r="H51" s="105"/>
      <c r="I51" s="155" t="s">
        <v>131</v>
      </c>
      <c r="J51" s="156">
        <v>2000</v>
      </c>
      <c r="K51" s="105" t="s">
        <v>132</v>
      </c>
      <c r="L51" s="125"/>
      <c r="M51" s="125"/>
      <c r="N51" s="153" t="s">
        <v>64</v>
      </c>
      <c r="O51" s="163">
        <v>1000000</v>
      </c>
      <c r="P51" s="153" t="s">
        <v>73</v>
      </c>
      <c r="Q51" s="1"/>
      <c r="R51" s="105"/>
      <c r="S51" s="155" t="s">
        <v>131</v>
      </c>
      <c r="T51" s="156">
        <v>2000</v>
      </c>
      <c r="U51" s="105" t="s">
        <v>132</v>
      </c>
    </row>
    <row r="52" spans="1:21" ht="14.25" customHeight="1" x14ac:dyDescent="0.2">
      <c r="A52" s="105"/>
      <c r="B52" s="105"/>
      <c r="C52" s="105"/>
      <c r="D52" s="105"/>
      <c r="E52" s="105"/>
      <c r="F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</row>
    <row r="53" spans="1:21" ht="14.25" customHeight="1" x14ac:dyDescent="0.2">
      <c r="A53" s="143"/>
      <c r="B53" s="158">
        <f>(B50*E50*H50+M50*O50*R50/1000000)/2000</f>
        <v>174.64781979453002</v>
      </c>
      <c r="C53" s="158"/>
      <c r="D53" s="105" t="s">
        <v>133</v>
      </c>
      <c r="E53" s="143" t="s">
        <v>90</v>
      </c>
      <c r="F53" s="113">
        <f>B53*(2000/8760)</f>
        <v>39.873931459938362</v>
      </c>
      <c r="G53" s="105" t="s">
        <v>134</v>
      </c>
      <c r="L53" s="105" t="s">
        <v>134</v>
      </c>
      <c r="N53" s="105"/>
      <c r="O53" s="105"/>
      <c r="P53" s="105"/>
      <c r="Q53" s="105"/>
      <c r="R53" s="105"/>
      <c r="S53" s="105"/>
      <c r="T53" s="105"/>
      <c r="U53" s="105"/>
    </row>
    <row r="54" spans="1:21" ht="14.25" customHeight="1" x14ac:dyDescent="0.2">
      <c r="A54" s="105"/>
      <c r="B54" s="105"/>
      <c r="C54" s="105"/>
      <c r="D54" s="105"/>
      <c r="E54" s="105"/>
      <c r="F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</row>
    <row r="55" spans="1:21" ht="14.25" customHeight="1" x14ac:dyDescent="0.2">
      <c r="A55" s="105"/>
      <c r="B55" s="105"/>
      <c r="C55" s="105"/>
      <c r="D55" s="105"/>
      <c r="E55" s="105"/>
      <c r="F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</row>
    <row r="56" spans="1:21" ht="14.25" customHeight="1" x14ac:dyDescent="0.2">
      <c r="A56" s="143" t="s">
        <v>140</v>
      </c>
      <c r="B56" s="144">
        <f>B16</f>
        <v>60867078.720000006</v>
      </c>
      <c r="C56" s="145"/>
      <c r="D56" s="146" t="s">
        <v>124</v>
      </c>
      <c r="E56" s="147"/>
      <c r="F56" s="148"/>
      <c r="G56" s="593" t="s">
        <v>126</v>
      </c>
      <c r="H56" s="149">
        <f>(157)*B18</f>
        <v>77.584166666666675</v>
      </c>
      <c r="I56" s="150" t="s">
        <v>127</v>
      </c>
      <c r="J56" s="149">
        <v>1</v>
      </c>
      <c r="K56" s="149" t="s">
        <v>94</v>
      </c>
      <c r="L56" s="151" t="s">
        <v>128</v>
      </c>
      <c r="M56" s="152">
        <f>B17</f>
        <v>6154307682.6999998</v>
      </c>
      <c r="N56" s="146" t="s">
        <v>129</v>
      </c>
      <c r="O56" s="145">
        <v>1040</v>
      </c>
      <c r="P56" s="146" t="s">
        <v>130</v>
      </c>
      <c r="Q56" s="1" t="s">
        <v>126</v>
      </c>
      <c r="R56" s="149">
        <f>B10</f>
        <v>4.0000000000000001E-3</v>
      </c>
      <c r="S56" s="150" t="s">
        <v>127</v>
      </c>
      <c r="T56" s="149">
        <v>1</v>
      </c>
      <c r="U56" s="149" t="s">
        <v>94</v>
      </c>
    </row>
    <row r="57" spans="1:21" ht="14.25" customHeight="1" x14ac:dyDescent="0.2">
      <c r="A57" s="125"/>
      <c r="B57" s="1"/>
      <c r="C57" s="125"/>
      <c r="D57" s="153" t="s">
        <v>64</v>
      </c>
      <c r="E57" s="125"/>
      <c r="F57" s="154"/>
      <c r="G57" s="593"/>
      <c r="H57" s="105">
        <v>1000</v>
      </c>
      <c r="I57" s="155" t="s">
        <v>141</v>
      </c>
      <c r="J57" s="156">
        <v>2000</v>
      </c>
      <c r="K57" s="105" t="s">
        <v>132</v>
      </c>
      <c r="L57" s="125"/>
      <c r="M57" s="125"/>
      <c r="N57" s="153" t="s">
        <v>64</v>
      </c>
      <c r="O57" s="163">
        <v>1000000</v>
      </c>
      <c r="P57" s="153" t="s">
        <v>73</v>
      </c>
      <c r="Q57" s="1"/>
      <c r="R57" s="105"/>
      <c r="S57" s="155" t="s">
        <v>131</v>
      </c>
      <c r="T57" s="156">
        <v>2000</v>
      </c>
      <c r="U57" s="105" t="s">
        <v>132</v>
      </c>
    </row>
    <row r="58" spans="1:21" ht="14.25" customHeight="1" x14ac:dyDescent="0.2">
      <c r="A58" s="105"/>
      <c r="B58" s="105"/>
      <c r="C58" s="105"/>
      <c r="D58" s="105"/>
      <c r="E58" s="105"/>
      <c r="F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</row>
    <row r="59" spans="1:21" ht="14.25" customHeight="1" x14ac:dyDescent="0.2">
      <c r="A59" s="143"/>
      <c r="B59" s="158">
        <f>(B56*H56/H57+M56*O56*R56/1000000)/2000</f>
        <v>2373.9617499428168</v>
      </c>
      <c r="C59" s="158"/>
      <c r="D59" s="105" t="s">
        <v>133</v>
      </c>
      <c r="E59" s="143" t="s">
        <v>90</v>
      </c>
      <c r="F59" s="113">
        <f>B59*(2000/8760)</f>
        <v>542.00039953032342</v>
      </c>
      <c r="G59" s="105" t="s">
        <v>134</v>
      </c>
      <c r="L59" s="105" t="s">
        <v>134</v>
      </c>
      <c r="N59" s="105"/>
      <c r="O59" s="105"/>
      <c r="P59" s="105"/>
      <c r="Q59" s="105"/>
      <c r="R59" s="105"/>
      <c r="S59" s="105"/>
      <c r="T59" s="105"/>
      <c r="U59" s="105"/>
    </row>
    <row r="60" spans="1:21" ht="14.25" customHeight="1" x14ac:dyDescent="0.2">
      <c r="A60" s="105"/>
      <c r="B60" s="105"/>
      <c r="C60" s="105"/>
      <c r="D60" s="105"/>
      <c r="E60" s="105"/>
      <c r="F60" s="105"/>
      <c r="L60" s="105"/>
      <c r="M60" s="105"/>
      <c r="N60" s="105"/>
      <c r="O60" s="105"/>
      <c r="P60" s="105"/>
      <c r="Q60" s="105"/>
      <c r="R60" s="105"/>
      <c r="S60" s="105"/>
      <c r="T60" s="105"/>
      <c r="U60" s="105"/>
    </row>
    <row r="61" spans="1:21" ht="14.25" customHeight="1" x14ac:dyDescent="0.2">
      <c r="A61" s="105"/>
      <c r="B61" s="105"/>
      <c r="C61" s="105"/>
      <c r="D61" s="105"/>
      <c r="E61" s="105"/>
      <c r="F61" s="105"/>
      <c r="L61" s="105"/>
      <c r="M61" s="105"/>
      <c r="N61" s="105"/>
      <c r="O61" s="105"/>
      <c r="P61" s="105"/>
      <c r="Q61" s="105"/>
      <c r="R61" s="105"/>
      <c r="S61" s="105"/>
      <c r="T61" s="105"/>
      <c r="U61" s="105"/>
    </row>
    <row r="62" spans="1:21" ht="14.25" customHeight="1" x14ac:dyDescent="0.2">
      <c r="A62" s="143" t="s">
        <v>142</v>
      </c>
      <c r="B62" s="144">
        <f>B16</f>
        <v>60867078.720000006</v>
      </c>
      <c r="C62" s="145"/>
      <c r="D62" s="146" t="s">
        <v>124</v>
      </c>
      <c r="E62" s="147">
        <v>0.15</v>
      </c>
      <c r="F62" s="148" t="s">
        <v>125</v>
      </c>
      <c r="G62" s="593" t="s">
        <v>126</v>
      </c>
      <c r="H62" s="149">
        <f>C11</f>
        <v>2.2589999999999999E-2</v>
      </c>
      <c r="I62" s="150" t="s">
        <v>127</v>
      </c>
      <c r="J62" s="149">
        <v>1</v>
      </c>
      <c r="K62" s="149" t="s">
        <v>94</v>
      </c>
      <c r="L62" s="151" t="s">
        <v>128</v>
      </c>
      <c r="M62" s="152">
        <f>B17</f>
        <v>6154307682.6999998</v>
      </c>
      <c r="N62" s="146" t="s">
        <v>129</v>
      </c>
      <c r="O62" s="145">
        <v>1040</v>
      </c>
      <c r="P62" s="146" t="s">
        <v>130</v>
      </c>
      <c r="Q62" s="1" t="s">
        <v>126</v>
      </c>
      <c r="R62" s="149">
        <f>B11</f>
        <v>4.2999999999999999E-4</v>
      </c>
      <c r="S62" s="150" t="s">
        <v>127</v>
      </c>
      <c r="T62" s="149">
        <v>1</v>
      </c>
      <c r="U62" s="149" t="s">
        <v>94</v>
      </c>
    </row>
    <row r="63" spans="1:21" ht="14.25" customHeight="1" x14ac:dyDescent="0.2">
      <c r="A63" s="125"/>
      <c r="B63" s="1"/>
      <c r="C63" s="125"/>
      <c r="D63" s="153" t="s">
        <v>64</v>
      </c>
      <c r="E63" s="125"/>
      <c r="F63" s="154" t="s">
        <v>92</v>
      </c>
      <c r="G63" s="593"/>
      <c r="H63" s="105"/>
      <c r="I63" s="155" t="s">
        <v>131</v>
      </c>
      <c r="J63" s="156">
        <v>2000</v>
      </c>
      <c r="K63" s="105" t="s">
        <v>132</v>
      </c>
      <c r="L63" s="125"/>
      <c r="M63" s="125"/>
      <c r="N63" s="153" t="s">
        <v>64</v>
      </c>
      <c r="O63" s="163">
        <v>1000000</v>
      </c>
      <c r="P63" s="153" t="s">
        <v>73</v>
      </c>
      <c r="Q63" s="1"/>
      <c r="R63" s="105"/>
      <c r="S63" s="155" t="s">
        <v>131</v>
      </c>
      <c r="T63" s="156">
        <v>2000</v>
      </c>
      <c r="U63" s="105" t="s">
        <v>132</v>
      </c>
    </row>
    <row r="64" spans="1:21" ht="14.25" customHeight="1" x14ac:dyDescent="0.2">
      <c r="A64" s="105"/>
      <c r="B64" s="105"/>
      <c r="C64" s="105"/>
      <c r="D64" s="105"/>
      <c r="E64" s="105"/>
      <c r="F64" s="105"/>
      <c r="L64" s="105"/>
      <c r="M64" s="105"/>
      <c r="N64" s="105"/>
      <c r="O64" s="105"/>
      <c r="P64" s="105"/>
      <c r="Q64" s="105"/>
      <c r="R64" s="105"/>
      <c r="S64" s="105"/>
      <c r="T64" s="105"/>
      <c r="U64" s="105"/>
    </row>
    <row r="65" spans="1:21" ht="14.25" customHeight="1" x14ac:dyDescent="0.2">
      <c r="A65" s="143"/>
      <c r="B65" s="158">
        <f>(B62*E62*H62+M62*O62*R62/1000000)/2000</f>
        <v>104.50015131921171</v>
      </c>
      <c r="C65" s="158"/>
      <c r="D65" s="105" t="s">
        <v>133</v>
      </c>
      <c r="E65" s="143" t="s">
        <v>90</v>
      </c>
      <c r="F65" s="113">
        <f>B65*(2000/8760)</f>
        <v>23.858482036349706</v>
      </c>
      <c r="G65" s="105" t="s">
        <v>134</v>
      </c>
      <c r="L65" s="105" t="s">
        <v>134</v>
      </c>
      <c r="N65" s="105"/>
      <c r="O65" s="105"/>
      <c r="P65" s="105"/>
      <c r="Q65" s="105"/>
      <c r="R65" s="105"/>
      <c r="S65" s="105"/>
      <c r="T65" s="105"/>
      <c r="U65" s="105"/>
    </row>
    <row r="66" spans="1:21" ht="14.25" customHeight="1" x14ac:dyDescent="0.2">
      <c r="A66" s="105"/>
      <c r="B66" s="105"/>
      <c r="C66" s="105"/>
      <c r="D66" s="105"/>
      <c r="E66" s="105"/>
      <c r="F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</row>
    <row r="67" spans="1:21" ht="14.25" customHeight="1" x14ac:dyDescent="0.2">
      <c r="A67" s="105"/>
      <c r="B67" s="105"/>
      <c r="C67" s="105"/>
      <c r="D67" s="105"/>
      <c r="E67" s="105"/>
      <c r="F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</row>
    <row r="68" spans="1:21" ht="14.25" customHeight="1" x14ac:dyDescent="0.2">
      <c r="A68" s="143" t="s">
        <v>143</v>
      </c>
      <c r="B68" s="144">
        <f>B16</f>
        <v>60867078.720000006</v>
      </c>
      <c r="C68" s="145"/>
      <c r="D68" s="146" t="s">
        <v>124</v>
      </c>
      <c r="E68" s="147">
        <v>0.15</v>
      </c>
      <c r="F68" s="148" t="s">
        <v>125</v>
      </c>
      <c r="G68" s="593" t="s">
        <v>126</v>
      </c>
      <c r="H68" s="165">
        <f>C12</f>
        <v>4.6299999999999997E-6</v>
      </c>
      <c r="I68" s="150" t="s">
        <v>127</v>
      </c>
      <c r="J68" s="149">
        <v>1</v>
      </c>
      <c r="K68" s="149" t="s">
        <v>94</v>
      </c>
      <c r="L68" s="151" t="s">
        <v>128</v>
      </c>
      <c r="M68" s="152">
        <f>B17</f>
        <v>6154307682.6999998</v>
      </c>
      <c r="N68" s="146" t="s">
        <v>129</v>
      </c>
      <c r="O68" s="145">
        <v>1040</v>
      </c>
      <c r="P68" s="146" t="s">
        <v>130</v>
      </c>
      <c r="Q68" s="1" t="s">
        <v>126</v>
      </c>
      <c r="R68" s="149">
        <f>B12</f>
        <v>0</v>
      </c>
      <c r="S68" s="150" t="s">
        <v>127</v>
      </c>
      <c r="T68" s="149">
        <v>1</v>
      </c>
      <c r="U68" s="149" t="s">
        <v>94</v>
      </c>
    </row>
    <row r="69" spans="1:21" ht="14.25" customHeight="1" x14ac:dyDescent="0.2">
      <c r="A69" s="125"/>
      <c r="B69" s="1"/>
      <c r="C69" s="125"/>
      <c r="D69" s="153" t="s">
        <v>64</v>
      </c>
      <c r="E69" s="125"/>
      <c r="F69" s="154" t="s">
        <v>92</v>
      </c>
      <c r="G69" s="593"/>
      <c r="H69" s="105"/>
      <c r="I69" s="155" t="s">
        <v>131</v>
      </c>
      <c r="J69" s="156">
        <v>2000</v>
      </c>
      <c r="K69" s="105" t="s">
        <v>132</v>
      </c>
      <c r="L69" s="125"/>
      <c r="M69" s="125"/>
      <c r="N69" s="153" t="s">
        <v>64</v>
      </c>
      <c r="O69" s="163">
        <v>1000000</v>
      </c>
      <c r="P69" s="153" t="s">
        <v>73</v>
      </c>
      <c r="Q69" s="1"/>
      <c r="R69" s="105"/>
      <c r="S69" s="155" t="s">
        <v>131</v>
      </c>
      <c r="T69" s="156">
        <v>2000</v>
      </c>
      <c r="U69" s="105" t="s">
        <v>132</v>
      </c>
    </row>
    <row r="70" spans="1:21" ht="14.25" customHeight="1" x14ac:dyDescent="0.2">
      <c r="A70" s="105"/>
      <c r="B70" s="105"/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05"/>
      <c r="P70" s="105"/>
    </row>
    <row r="71" spans="1:21" ht="14.25" customHeight="1" x14ac:dyDescent="0.2">
      <c r="A71" s="143"/>
      <c r="B71" s="158">
        <f>(B68*E68*H68+M68*O68*R68/1000000)/2000</f>
        <v>2.1136093085519999E-2</v>
      </c>
      <c r="C71" s="158"/>
      <c r="D71" s="105" t="s">
        <v>133</v>
      </c>
      <c r="E71" s="143" t="s">
        <v>90</v>
      </c>
      <c r="F71" s="113">
        <f>B71*(2000/8760)</f>
        <v>4.8255920286575339E-3</v>
      </c>
      <c r="G71" s="105" t="s">
        <v>134</v>
      </c>
      <c r="I71" s="105"/>
      <c r="J71" s="105"/>
      <c r="K71" s="105"/>
      <c r="L71" s="105"/>
      <c r="M71" s="105"/>
      <c r="N71" s="105"/>
      <c r="O71" s="105"/>
      <c r="P71" s="105"/>
    </row>
    <row r="74" spans="1:21" ht="14.25" customHeight="1" x14ac:dyDescent="0.2">
      <c r="A74" s="143" t="s">
        <v>144</v>
      </c>
      <c r="B74" s="144">
        <f>B16</f>
        <v>60867078.720000006</v>
      </c>
      <c r="C74" s="145"/>
      <c r="D74" s="146" t="s">
        <v>124</v>
      </c>
      <c r="E74" s="166">
        <f>W11</f>
        <v>25.617688884503689</v>
      </c>
      <c r="F74" s="148" t="s">
        <v>132</v>
      </c>
      <c r="G74" s="593" t="s">
        <v>126</v>
      </c>
      <c r="H74" s="149">
        <v>1</v>
      </c>
      <c r="I74" s="149" t="s">
        <v>94</v>
      </c>
      <c r="J74" s="151" t="s">
        <v>128</v>
      </c>
      <c r="M74" s="152">
        <f>B17</f>
        <v>6154307682.6999998</v>
      </c>
      <c r="N74" s="146" t="s">
        <v>129</v>
      </c>
      <c r="O74" s="167">
        <f>W12</f>
        <v>0.12049378268189943</v>
      </c>
      <c r="P74" s="146" t="s">
        <v>132</v>
      </c>
      <c r="Q74" s="1" t="s">
        <v>126</v>
      </c>
      <c r="R74" s="149">
        <v>1</v>
      </c>
      <c r="S74" s="149" t="s">
        <v>94</v>
      </c>
    </row>
    <row r="75" spans="1:21" ht="14.25" customHeight="1" x14ac:dyDescent="0.2">
      <c r="A75" s="125"/>
      <c r="B75" s="1"/>
      <c r="C75" s="125"/>
      <c r="D75" s="153" t="s">
        <v>64</v>
      </c>
      <c r="E75" s="125"/>
      <c r="F75" s="154" t="s">
        <v>92</v>
      </c>
      <c r="G75" s="593"/>
      <c r="H75" s="156">
        <v>2000</v>
      </c>
      <c r="I75" s="105" t="s">
        <v>132</v>
      </c>
      <c r="J75" s="125"/>
      <c r="M75" s="125"/>
      <c r="N75" s="153" t="s">
        <v>64</v>
      </c>
      <c r="O75" s="163"/>
      <c r="P75" s="153" t="s">
        <v>73</v>
      </c>
      <c r="Q75" s="1"/>
      <c r="R75" s="156">
        <v>2000</v>
      </c>
      <c r="S75" s="105" t="s">
        <v>132</v>
      </c>
    </row>
    <row r="76" spans="1:21" ht="14.25" customHeight="1" x14ac:dyDescent="0.2">
      <c r="A76" s="105"/>
      <c r="B76" s="105"/>
      <c r="C76" s="105"/>
      <c r="D76" s="105"/>
      <c r="E76" s="105"/>
      <c r="F76" s="105"/>
      <c r="L76" s="105"/>
      <c r="M76" s="105"/>
      <c r="N76" s="105"/>
      <c r="O76" s="105"/>
      <c r="P76" s="105"/>
      <c r="Q76" s="105"/>
      <c r="R76" s="105"/>
      <c r="S76" s="105"/>
      <c r="T76" s="105"/>
      <c r="U76" s="105"/>
    </row>
    <row r="77" spans="1:21" ht="14.25" customHeight="1" x14ac:dyDescent="0.2">
      <c r="A77" s="143"/>
      <c r="B77" s="158">
        <f>(B74*E74+M74*O74)/H75</f>
        <v>1150414.8492171764</v>
      </c>
      <c r="C77" s="158"/>
      <c r="D77" s="105" t="s">
        <v>133</v>
      </c>
      <c r="E77" s="143" t="s">
        <v>90</v>
      </c>
      <c r="F77" s="113">
        <f>B77*(2000/8760)</f>
        <v>262651.79205871606</v>
      </c>
      <c r="G77" s="105" t="s">
        <v>134</v>
      </c>
      <c r="L77" s="105"/>
      <c r="N77" s="105"/>
      <c r="O77" s="105"/>
      <c r="P77" s="105"/>
      <c r="Q77" s="105"/>
      <c r="R77" s="105"/>
      <c r="S77" s="105"/>
      <c r="T77" s="105"/>
      <c r="U77" s="105"/>
    </row>
    <row r="78" spans="1:21" ht="14.25" customHeight="1" x14ac:dyDescent="0.2">
      <c r="A78" s="105"/>
      <c r="B78" s="105"/>
      <c r="C78" s="105"/>
      <c r="D78" s="105"/>
      <c r="E78" s="105"/>
      <c r="F78" s="105"/>
      <c r="L78" s="105"/>
      <c r="M78" s="105"/>
      <c r="N78" s="105"/>
      <c r="O78" s="105"/>
      <c r="P78" s="105"/>
      <c r="Q78" s="105"/>
      <c r="R78" s="105"/>
      <c r="S78" s="105"/>
      <c r="T78" s="105"/>
      <c r="U78" s="105"/>
    </row>
    <row r="79" spans="1:21" ht="14.25" customHeight="1" x14ac:dyDescent="0.2">
      <c r="A79" s="105"/>
      <c r="B79" s="105"/>
      <c r="C79" s="105"/>
      <c r="D79" s="105"/>
      <c r="E79" s="105"/>
      <c r="F79" s="105"/>
      <c r="L79" s="105"/>
      <c r="M79" s="105"/>
      <c r="N79" s="105"/>
      <c r="O79" s="105"/>
      <c r="P79" s="105"/>
      <c r="Q79" s="105"/>
      <c r="R79" s="105"/>
      <c r="S79" s="105"/>
      <c r="T79" s="105"/>
      <c r="U79" s="105"/>
    </row>
    <row r="80" spans="1:21" ht="14.25" customHeight="1" x14ac:dyDescent="0.2">
      <c r="A80" s="86"/>
      <c r="B80" s="82" t="s">
        <v>145</v>
      </c>
      <c r="C80" s="82"/>
      <c r="D80" s="168"/>
      <c r="E80" s="82"/>
      <c r="F80" s="82"/>
      <c r="G80" s="82"/>
      <c r="H80" s="82"/>
      <c r="I80" s="82"/>
      <c r="J80" s="82"/>
      <c r="K80" s="86"/>
      <c r="L80" s="86"/>
      <c r="M80" s="86"/>
      <c r="N80" s="86"/>
      <c r="O80" s="86"/>
      <c r="P80" s="86"/>
    </row>
    <row r="81" spans="2:10" ht="14.25" customHeight="1" x14ac:dyDescent="0.2">
      <c r="B81" s="82" t="s">
        <v>146</v>
      </c>
      <c r="C81" s="82"/>
      <c r="D81" s="82"/>
      <c r="E81" s="82"/>
      <c r="F81" s="82"/>
      <c r="G81" s="82"/>
      <c r="H81" s="82"/>
      <c r="I81" s="82"/>
      <c r="J81" s="82"/>
    </row>
    <row r="82" spans="2:10" ht="14.25" customHeight="1" x14ac:dyDescent="0.2">
      <c r="B82" s="82" t="s">
        <v>147</v>
      </c>
      <c r="C82" s="82"/>
      <c r="D82" s="82"/>
      <c r="E82" s="82"/>
      <c r="F82" s="82"/>
      <c r="G82" s="82"/>
      <c r="H82" s="82"/>
      <c r="I82" s="82"/>
      <c r="J82" s="82"/>
    </row>
    <row r="83" spans="2:10" ht="14.25" customHeight="1" x14ac:dyDescent="0.2">
      <c r="B83" s="82" t="s">
        <v>148</v>
      </c>
      <c r="C83" s="82"/>
      <c r="D83" s="86"/>
      <c r="E83" s="86"/>
      <c r="F83" s="86"/>
      <c r="G83" s="86"/>
      <c r="H83" s="86"/>
      <c r="I83" s="86"/>
      <c r="J83" s="86"/>
    </row>
  </sheetData>
  <mergeCells count="13">
    <mergeCell ref="A1:P1"/>
    <mergeCell ref="F6:N6"/>
    <mergeCell ref="G20:G21"/>
    <mergeCell ref="Q20:Q21"/>
    <mergeCell ref="G26:G27"/>
    <mergeCell ref="G62:G63"/>
    <mergeCell ref="G68:G69"/>
    <mergeCell ref="G74:G75"/>
    <mergeCell ref="G32:G33"/>
    <mergeCell ref="G38:G39"/>
    <mergeCell ref="G44:G45"/>
    <mergeCell ref="G50:G51"/>
    <mergeCell ref="G56:G57"/>
  </mergeCells>
  <pageMargins left="0.7" right="0.7" top="0.75" bottom="0.75" header="0.511811023622047" footer="0.511811023622047"/>
  <pageSetup paperSize="9" orientation="portrait" horizontalDpi="300" verticalDpi="300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R37"/>
  <sheetViews>
    <sheetView zoomScaleNormal="100" workbookViewId="0">
      <selection sqref="A1:O1"/>
    </sheetView>
  </sheetViews>
  <sheetFormatPr defaultColWidth="8.85546875" defaultRowHeight="15" x14ac:dyDescent="0.25"/>
  <cols>
    <col min="1" max="1" width="9.42578125" style="29" customWidth="1"/>
    <col min="2" max="3" width="11.42578125" style="29" customWidth="1"/>
    <col min="4" max="4" width="14.85546875" style="29" customWidth="1"/>
    <col min="5" max="5" width="16.42578125" style="29" customWidth="1"/>
    <col min="6" max="6" width="15.140625" style="29" customWidth="1"/>
    <col min="7" max="7" width="14.85546875" style="29" customWidth="1"/>
    <col min="8" max="8" width="14.7109375" style="29" customWidth="1"/>
    <col min="9" max="9" width="13.85546875" style="29" customWidth="1"/>
    <col min="10" max="10" width="12.42578125" style="29" customWidth="1"/>
    <col min="11" max="12" width="9.28515625" style="29" customWidth="1"/>
    <col min="13" max="13" width="13" style="29" customWidth="1"/>
    <col min="14" max="14" width="19.5703125" style="29" customWidth="1"/>
    <col min="15" max="15" width="18.140625" style="29" customWidth="1"/>
    <col min="16" max="16384" width="8.85546875" style="29"/>
  </cols>
  <sheetData>
    <row r="2" spans="1:18" ht="14.25" customHeight="1" x14ac:dyDescent="0.25">
      <c r="A2" s="584" t="s">
        <v>150</v>
      </c>
      <c r="B2" s="584"/>
      <c r="C2" s="584"/>
      <c r="D2" s="584"/>
      <c r="E2" s="584"/>
      <c r="F2" s="584"/>
      <c r="G2" s="584"/>
      <c r="H2" s="584"/>
      <c r="I2" s="584"/>
      <c r="J2" s="584"/>
      <c r="K2" s="584"/>
      <c r="L2" s="584"/>
      <c r="M2" s="584"/>
    </row>
    <row r="3" spans="1:18" ht="14.25" customHeight="1" x14ac:dyDescent="0.25">
      <c r="A3" s="596" t="s">
        <v>64</v>
      </c>
      <c r="B3" s="598" t="s">
        <v>63</v>
      </c>
      <c r="C3" s="598"/>
      <c r="D3" s="598"/>
      <c r="E3" s="598"/>
      <c r="F3" s="589" t="s">
        <v>61</v>
      </c>
      <c r="G3" s="589"/>
      <c r="H3" s="589"/>
      <c r="I3" s="589"/>
      <c r="J3" s="584" t="s">
        <v>62</v>
      </c>
      <c r="K3" s="584"/>
      <c r="L3" s="584"/>
      <c r="M3" s="584"/>
    </row>
    <row r="4" spans="1:18" ht="14.25" customHeight="1" x14ac:dyDescent="0.25">
      <c r="A4" s="596"/>
      <c r="B4" s="5" t="s">
        <v>151</v>
      </c>
      <c r="C4" s="5" t="s">
        <v>152</v>
      </c>
      <c r="D4" s="5" t="s">
        <v>153</v>
      </c>
      <c r="E4" s="5" t="s">
        <v>154</v>
      </c>
      <c r="F4" s="5" t="s">
        <v>151</v>
      </c>
      <c r="G4" s="5" t="s">
        <v>152</v>
      </c>
      <c r="H4" s="5" t="s">
        <v>153</v>
      </c>
      <c r="I4" s="4" t="s">
        <v>154</v>
      </c>
      <c r="J4" s="5" t="s">
        <v>151</v>
      </c>
      <c r="K4" s="5" t="s">
        <v>152</v>
      </c>
      <c r="L4" s="5" t="s">
        <v>153</v>
      </c>
      <c r="M4" s="5" t="s">
        <v>154</v>
      </c>
      <c r="P4" s="169"/>
      <c r="Q4" s="169"/>
    </row>
    <row r="5" spans="1:18" ht="14.25" customHeight="1" x14ac:dyDescent="0.25">
      <c r="A5" s="36">
        <v>45292</v>
      </c>
      <c r="B5" s="170">
        <v>89485.77</v>
      </c>
      <c r="C5" s="170">
        <v>0</v>
      </c>
      <c r="D5" s="170">
        <v>86059.41</v>
      </c>
      <c r="E5" s="170">
        <v>0</v>
      </c>
      <c r="F5" s="171">
        <f t="shared" ref="F5:F16" si="0">B5*42</f>
        <v>3758402.3400000003</v>
      </c>
      <c r="G5" s="171">
        <v>0</v>
      </c>
      <c r="H5" s="171">
        <f t="shared" ref="H5:H16" si="1">D5*42</f>
        <v>3614495.22</v>
      </c>
      <c r="I5" s="171">
        <f t="shared" ref="I5:I16" si="2">E5*42</f>
        <v>0</v>
      </c>
      <c r="J5" s="170">
        <v>0.48</v>
      </c>
      <c r="K5" s="170" t="s">
        <v>126</v>
      </c>
      <c r="L5" s="170">
        <v>0.48</v>
      </c>
      <c r="M5" s="170" t="s">
        <v>126</v>
      </c>
      <c r="P5" s="172"/>
      <c r="Q5" s="172"/>
    </row>
    <row r="6" spans="1:18" ht="14.25" customHeight="1" x14ac:dyDescent="0.25">
      <c r="A6" s="42">
        <v>45323</v>
      </c>
      <c r="B6" s="173">
        <v>51154.23</v>
      </c>
      <c r="C6" s="173">
        <v>0</v>
      </c>
      <c r="D6" s="173">
        <v>62958.87</v>
      </c>
      <c r="E6" s="173">
        <v>0</v>
      </c>
      <c r="F6" s="174">
        <f t="shared" si="0"/>
        <v>2148477.66</v>
      </c>
      <c r="G6" s="174">
        <f t="shared" ref="G6:G16" si="3">C6*42</f>
        <v>0</v>
      </c>
      <c r="H6" s="174">
        <f t="shared" si="1"/>
        <v>2644272.54</v>
      </c>
      <c r="I6" s="174">
        <f t="shared" si="2"/>
        <v>0</v>
      </c>
      <c r="J6" s="173">
        <v>0.48</v>
      </c>
      <c r="K6" s="173" t="s">
        <v>126</v>
      </c>
      <c r="L6" s="173">
        <v>0.48</v>
      </c>
      <c r="M6" s="173" t="s">
        <v>126</v>
      </c>
      <c r="P6" s="172"/>
      <c r="Q6" s="172"/>
    </row>
    <row r="7" spans="1:18" ht="14.25" customHeight="1" x14ac:dyDescent="0.25">
      <c r="A7" s="42">
        <v>45352</v>
      </c>
      <c r="B7" s="173">
        <v>24352.33</v>
      </c>
      <c r="C7" s="173">
        <v>0</v>
      </c>
      <c r="D7" s="173">
        <v>33070.879999999997</v>
      </c>
      <c r="E7" s="173">
        <v>0</v>
      </c>
      <c r="F7" s="174">
        <f t="shared" si="0"/>
        <v>1022797.8600000001</v>
      </c>
      <c r="G7" s="174">
        <f t="shared" si="3"/>
        <v>0</v>
      </c>
      <c r="H7" s="174">
        <f t="shared" si="1"/>
        <v>1388976.96</v>
      </c>
      <c r="I7" s="174">
        <f t="shared" si="2"/>
        <v>0</v>
      </c>
      <c r="J7" s="173">
        <v>0.47</v>
      </c>
      <c r="K7" s="173" t="s">
        <v>126</v>
      </c>
      <c r="L7" s="173">
        <v>0.47</v>
      </c>
      <c r="M7" s="173" t="s">
        <v>126</v>
      </c>
      <c r="P7" s="172"/>
      <c r="Q7" s="172"/>
    </row>
    <row r="8" spans="1:18" ht="14.25" customHeight="1" x14ac:dyDescent="0.25">
      <c r="A8" s="42">
        <v>45383</v>
      </c>
      <c r="B8" s="175">
        <v>0</v>
      </c>
      <c r="C8" s="173">
        <v>0</v>
      </c>
      <c r="D8" s="173">
        <v>85174.17</v>
      </c>
      <c r="E8" s="173">
        <v>0</v>
      </c>
      <c r="F8" s="174">
        <f t="shared" si="0"/>
        <v>0</v>
      </c>
      <c r="G8" s="174">
        <f t="shared" si="3"/>
        <v>0</v>
      </c>
      <c r="H8" s="174">
        <f t="shared" si="1"/>
        <v>3577315.14</v>
      </c>
      <c r="I8" s="174">
        <f t="shared" si="2"/>
        <v>0</v>
      </c>
      <c r="J8" s="173">
        <v>0.47</v>
      </c>
      <c r="K8" s="173" t="s">
        <v>126</v>
      </c>
      <c r="L8" s="173">
        <v>0.47</v>
      </c>
      <c r="M8" s="173" t="s">
        <v>126</v>
      </c>
      <c r="P8" s="172"/>
      <c r="Q8" s="172"/>
    </row>
    <row r="9" spans="1:18" ht="14.25" customHeight="1" x14ac:dyDescent="0.25">
      <c r="A9" s="42">
        <v>45413</v>
      </c>
      <c r="B9" s="173">
        <v>0</v>
      </c>
      <c r="C9" s="173">
        <v>0</v>
      </c>
      <c r="D9" s="173">
        <v>86478.75</v>
      </c>
      <c r="E9" s="173">
        <v>0</v>
      </c>
      <c r="F9" s="174">
        <f t="shared" si="0"/>
        <v>0</v>
      </c>
      <c r="G9" s="174">
        <f t="shared" si="3"/>
        <v>0</v>
      </c>
      <c r="H9" s="174">
        <f t="shared" si="1"/>
        <v>3632107.5</v>
      </c>
      <c r="I9" s="174">
        <f t="shared" si="2"/>
        <v>0</v>
      </c>
      <c r="J9" s="173">
        <v>0.47</v>
      </c>
      <c r="K9" s="173" t="s">
        <v>126</v>
      </c>
      <c r="L9" s="173">
        <v>0.47</v>
      </c>
      <c r="M9" s="173" t="s">
        <v>126</v>
      </c>
      <c r="P9" s="172"/>
      <c r="Q9" s="172"/>
    </row>
    <row r="10" spans="1:18" ht="14.25" customHeight="1" x14ac:dyDescent="0.25">
      <c r="A10" s="42">
        <v>45444</v>
      </c>
      <c r="B10" s="173">
        <v>0</v>
      </c>
      <c r="C10" s="173">
        <v>0</v>
      </c>
      <c r="D10" s="173">
        <v>87525.4</v>
      </c>
      <c r="E10" s="173">
        <v>0</v>
      </c>
      <c r="F10" s="174">
        <f t="shared" si="0"/>
        <v>0</v>
      </c>
      <c r="G10" s="174">
        <f t="shared" si="3"/>
        <v>0</v>
      </c>
      <c r="H10" s="174">
        <f t="shared" si="1"/>
        <v>3676066.8</v>
      </c>
      <c r="I10" s="174">
        <f t="shared" si="2"/>
        <v>0</v>
      </c>
      <c r="J10" s="173">
        <v>0.49</v>
      </c>
      <c r="K10" s="173" t="s">
        <v>126</v>
      </c>
      <c r="L10" s="173">
        <v>0.49</v>
      </c>
      <c r="M10" s="173" t="s">
        <v>126</v>
      </c>
      <c r="P10" s="172"/>
      <c r="Q10" s="176"/>
      <c r="R10" s="177"/>
    </row>
    <row r="11" spans="1:18" ht="14.25" customHeight="1" x14ac:dyDescent="0.25">
      <c r="A11" s="42">
        <v>45474</v>
      </c>
      <c r="B11" s="173">
        <v>52525.05</v>
      </c>
      <c r="C11" s="173">
        <v>0</v>
      </c>
      <c r="D11" s="173">
        <v>50481.120000000003</v>
      </c>
      <c r="E11" s="173">
        <v>0</v>
      </c>
      <c r="F11" s="174">
        <f t="shared" si="0"/>
        <v>2206052.1</v>
      </c>
      <c r="G11" s="174">
        <f t="shared" si="3"/>
        <v>0</v>
      </c>
      <c r="H11" s="174">
        <f t="shared" si="1"/>
        <v>2120207.04</v>
      </c>
      <c r="I11" s="174">
        <f t="shared" si="2"/>
        <v>0</v>
      </c>
      <c r="J11" s="173">
        <v>0.48</v>
      </c>
      <c r="K11" s="173" t="s">
        <v>126</v>
      </c>
      <c r="L11" s="173">
        <v>0.48</v>
      </c>
      <c r="M11" s="173" t="s">
        <v>126</v>
      </c>
      <c r="P11" s="172"/>
    </row>
    <row r="12" spans="1:18" ht="14.25" customHeight="1" x14ac:dyDescent="0.25">
      <c r="A12" s="42">
        <v>45505</v>
      </c>
      <c r="B12" s="173">
        <v>93073.96</v>
      </c>
      <c r="C12" s="43">
        <v>0</v>
      </c>
      <c r="D12" s="173">
        <v>94251.19</v>
      </c>
      <c r="E12" s="173">
        <v>0</v>
      </c>
      <c r="F12" s="174">
        <f t="shared" si="0"/>
        <v>3909106.3200000003</v>
      </c>
      <c r="G12" s="174">
        <f t="shared" si="3"/>
        <v>0</v>
      </c>
      <c r="H12" s="174">
        <f t="shared" si="1"/>
        <v>3958549.98</v>
      </c>
      <c r="I12" s="174">
        <f t="shared" si="2"/>
        <v>0</v>
      </c>
      <c r="J12" s="173">
        <v>0.48</v>
      </c>
      <c r="K12" s="173" t="s">
        <v>126</v>
      </c>
      <c r="L12" s="173">
        <v>0.48</v>
      </c>
      <c r="M12" s="173" t="s">
        <v>126</v>
      </c>
      <c r="P12" s="172"/>
    </row>
    <row r="13" spans="1:18" ht="14.25" customHeight="1" x14ac:dyDescent="0.25">
      <c r="A13" s="42">
        <v>45536</v>
      </c>
      <c r="B13" s="173">
        <v>98577.1</v>
      </c>
      <c r="C13" s="173">
        <v>0</v>
      </c>
      <c r="D13" s="173">
        <v>85947.91</v>
      </c>
      <c r="E13" s="173">
        <v>0</v>
      </c>
      <c r="F13" s="174">
        <f t="shared" si="0"/>
        <v>4140238.2</v>
      </c>
      <c r="G13" s="174">
        <f t="shared" si="3"/>
        <v>0</v>
      </c>
      <c r="H13" s="174">
        <f t="shared" si="1"/>
        <v>3609812.22</v>
      </c>
      <c r="I13" s="174">
        <f t="shared" si="2"/>
        <v>0</v>
      </c>
      <c r="J13" s="173">
        <v>0.49</v>
      </c>
      <c r="K13" s="173" t="s">
        <v>126</v>
      </c>
      <c r="L13" s="173">
        <v>0.49</v>
      </c>
      <c r="M13" s="173" t="s">
        <v>126</v>
      </c>
      <c r="O13" s="177"/>
      <c r="P13" s="176"/>
    </row>
    <row r="14" spans="1:18" ht="14.25" customHeight="1" x14ac:dyDescent="0.25">
      <c r="A14" s="42">
        <v>45566</v>
      </c>
      <c r="B14" s="173">
        <v>4067.95</v>
      </c>
      <c r="C14" s="173">
        <v>0</v>
      </c>
      <c r="D14" s="173">
        <v>88769.4</v>
      </c>
      <c r="E14" s="173">
        <v>0</v>
      </c>
      <c r="F14" s="174">
        <f t="shared" si="0"/>
        <v>170853.9</v>
      </c>
      <c r="G14" s="174">
        <f t="shared" si="3"/>
        <v>0</v>
      </c>
      <c r="H14" s="174">
        <f t="shared" si="1"/>
        <v>3728314.8</v>
      </c>
      <c r="I14" s="174">
        <f t="shared" si="2"/>
        <v>0</v>
      </c>
      <c r="J14" s="173">
        <v>0.49</v>
      </c>
      <c r="K14" s="173" t="s">
        <v>126</v>
      </c>
      <c r="L14" s="173">
        <v>0.49</v>
      </c>
      <c r="M14" s="173" t="s">
        <v>126</v>
      </c>
    </row>
    <row r="15" spans="1:18" ht="14.25" customHeight="1" x14ac:dyDescent="0.25">
      <c r="A15" s="42">
        <v>45597</v>
      </c>
      <c r="B15" s="173">
        <v>0</v>
      </c>
      <c r="C15" s="173">
        <v>0</v>
      </c>
      <c r="D15" s="173">
        <v>84740.89</v>
      </c>
      <c r="E15" s="173">
        <v>0</v>
      </c>
      <c r="F15" s="174">
        <f t="shared" si="0"/>
        <v>0</v>
      </c>
      <c r="G15" s="174">
        <f t="shared" si="3"/>
        <v>0</v>
      </c>
      <c r="H15" s="174">
        <f t="shared" si="1"/>
        <v>3559117.38</v>
      </c>
      <c r="I15" s="174">
        <f t="shared" si="2"/>
        <v>0</v>
      </c>
      <c r="J15" s="173">
        <v>0.5</v>
      </c>
      <c r="K15" s="173" t="s">
        <v>126</v>
      </c>
      <c r="L15" s="173">
        <v>0.5</v>
      </c>
      <c r="M15" s="173" t="s">
        <v>126</v>
      </c>
    </row>
    <row r="16" spans="1:18" ht="14.25" customHeight="1" x14ac:dyDescent="0.25">
      <c r="A16" s="49">
        <v>45627</v>
      </c>
      <c r="B16" s="178">
        <v>0</v>
      </c>
      <c r="C16" s="178">
        <v>0</v>
      </c>
      <c r="D16" s="178">
        <v>0</v>
      </c>
      <c r="E16" s="178">
        <v>0</v>
      </c>
      <c r="F16" s="179">
        <f t="shared" si="0"/>
        <v>0</v>
      </c>
      <c r="G16" s="179">
        <f t="shared" si="3"/>
        <v>0</v>
      </c>
      <c r="H16" s="180">
        <f t="shared" si="1"/>
        <v>0</v>
      </c>
      <c r="I16" s="179">
        <f t="shared" si="2"/>
        <v>0</v>
      </c>
      <c r="J16" s="178">
        <v>0.5</v>
      </c>
      <c r="K16" s="178" t="s">
        <v>126</v>
      </c>
      <c r="L16" s="178">
        <v>0.5</v>
      </c>
      <c r="M16" s="178" t="s">
        <v>126</v>
      </c>
    </row>
    <row r="17" spans="1:17" ht="14.25" customHeight="1" x14ac:dyDescent="0.25">
      <c r="A17" s="5" t="s">
        <v>26</v>
      </c>
      <c r="B17" s="55">
        <f t="shared" ref="B17:G17" si="4">SUM(B5:B16)</f>
        <v>413236.39000000007</v>
      </c>
      <c r="C17" s="55">
        <f t="shared" si="4"/>
        <v>0</v>
      </c>
      <c r="D17" s="55">
        <f t="shared" si="4"/>
        <v>845457.99000000011</v>
      </c>
      <c r="E17" s="55">
        <f t="shared" si="4"/>
        <v>0</v>
      </c>
      <c r="F17" s="55">
        <f t="shared" si="4"/>
        <v>17355928.379999999</v>
      </c>
      <c r="G17" s="55">
        <f t="shared" si="4"/>
        <v>0</v>
      </c>
      <c r="H17" s="181">
        <f>D17*42</f>
        <v>35509235.580000006</v>
      </c>
      <c r="I17" s="55">
        <f>SUM(I5:I16)</f>
        <v>0</v>
      </c>
      <c r="J17" s="182">
        <f>AVERAGE(J5:J16)</f>
        <v>0.48333333333333339</v>
      </c>
      <c r="K17" s="182" t="s">
        <v>155</v>
      </c>
      <c r="L17" s="182">
        <f>AVERAGE(L5:L16)</f>
        <v>0.48333333333333339</v>
      </c>
      <c r="M17" s="182" t="s">
        <v>155</v>
      </c>
    </row>
    <row r="18" spans="1:17" ht="14.25" customHeight="1" x14ac:dyDescent="0.25">
      <c r="G18" s="183"/>
    </row>
    <row r="20" spans="1:17" ht="14.25" customHeight="1" x14ac:dyDescent="0.25">
      <c r="A20" s="584" t="s">
        <v>156</v>
      </c>
      <c r="B20" s="584"/>
      <c r="C20" s="584"/>
      <c r="D20" s="584"/>
      <c r="E20" s="584"/>
      <c r="F20" s="584"/>
      <c r="G20" s="584"/>
      <c r="H20" s="584"/>
      <c r="I20" s="584"/>
      <c r="M20" s="584" t="s">
        <v>157</v>
      </c>
      <c r="N20" s="584"/>
      <c r="O20" s="584"/>
      <c r="P20" s="584"/>
      <c r="Q20" s="584"/>
    </row>
    <row r="21" spans="1:17" ht="14.25" customHeight="1" x14ac:dyDescent="0.25">
      <c r="A21" s="596" t="s">
        <v>64</v>
      </c>
      <c r="B21" s="584" t="s">
        <v>63</v>
      </c>
      <c r="C21" s="584"/>
      <c r="D21" s="584" t="s">
        <v>61</v>
      </c>
      <c r="E21" s="584"/>
      <c r="F21" s="584" t="s">
        <v>62</v>
      </c>
      <c r="G21" s="584"/>
      <c r="H21" s="584" t="s">
        <v>158</v>
      </c>
      <c r="I21" s="584"/>
      <c r="M21" s="597" t="s">
        <v>64</v>
      </c>
      <c r="N21" s="586" t="s">
        <v>73</v>
      </c>
      <c r="O21" s="586"/>
      <c r="P21" s="587" t="s">
        <v>62</v>
      </c>
      <c r="Q21" s="587"/>
    </row>
    <row r="22" spans="1:17" ht="14.25" customHeight="1" x14ac:dyDescent="0.25">
      <c r="A22" s="596"/>
      <c r="B22" s="5" t="s">
        <v>159</v>
      </c>
      <c r="C22" s="5" t="s">
        <v>160</v>
      </c>
      <c r="D22" s="5" t="s">
        <v>159</v>
      </c>
      <c r="E22" s="5" t="s">
        <v>160</v>
      </c>
      <c r="F22" s="5" t="s">
        <v>159</v>
      </c>
      <c r="G22" s="4" t="s">
        <v>160</v>
      </c>
      <c r="H22" s="5" t="s">
        <v>159</v>
      </c>
      <c r="I22" s="5" t="s">
        <v>160</v>
      </c>
      <c r="M22" s="597"/>
      <c r="N22" s="34" t="s">
        <v>74</v>
      </c>
      <c r="O22" s="33" t="s">
        <v>75</v>
      </c>
      <c r="P22" s="34" t="s">
        <v>74</v>
      </c>
      <c r="Q22" s="35" t="s">
        <v>75</v>
      </c>
    </row>
    <row r="23" spans="1:17" ht="14.25" customHeight="1" x14ac:dyDescent="0.25">
      <c r="A23" s="59">
        <f t="shared" ref="A23:A34" si="5">A5</f>
        <v>45292</v>
      </c>
      <c r="B23" s="170">
        <v>0</v>
      </c>
      <c r="C23" s="170">
        <v>2142.65</v>
      </c>
      <c r="D23" s="184">
        <f t="shared" ref="D23:D34" si="6">SUM(B23*42)</f>
        <v>0</v>
      </c>
      <c r="E23" s="184">
        <f t="shared" ref="E23:E34" si="7">SUM(C23*42)</f>
        <v>89991.3</v>
      </c>
      <c r="F23" s="185">
        <v>4.6000000000000001E-4</v>
      </c>
      <c r="G23" s="185">
        <v>4.6000000000000001E-4</v>
      </c>
      <c r="H23" s="170">
        <v>697.9</v>
      </c>
      <c r="I23" s="170">
        <v>739.9</v>
      </c>
      <c r="M23" s="59">
        <f t="shared" ref="M23:M34" si="8">A5</f>
        <v>45292</v>
      </c>
      <c r="N23" s="72">
        <v>1004167539.2</v>
      </c>
      <c r="O23" s="72">
        <v>1071647711.21</v>
      </c>
      <c r="P23" s="186">
        <v>1E-3</v>
      </c>
      <c r="Q23" s="186">
        <v>1E-3</v>
      </c>
    </row>
    <row r="24" spans="1:17" ht="14.25" customHeight="1" x14ac:dyDescent="0.25">
      <c r="A24" s="63">
        <f t="shared" si="5"/>
        <v>45323</v>
      </c>
      <c r="B24" s="173">
        <v>0</v>
      </c>
      <c r="C24" s="173">
        <v>409.78</v>
      </c>
      <c r="D24" s="187">
        <f t="shared" si="6"/>
        <v>0</v>
      </c>
      <c r="E24" s="187">
        <f t="shared" si="7"/>
        <v>17210.759999999998</v>
      </c>
      <c r="F24" s="188">
        <v>5.5000000000000003E-4</v>
      </c>
      <c r="G24" s="188">
        <v>5.5000000000000003E-4</v>
      </c>
      <c r="H24" s="173">
        <v>658.3</v>
      </c>
      <c r="I24" s="173">
        <v>566.6</v>
      </c>
      <c r="M24" s="63">
        <f t="shared" si="8"/>
        <v>45323</v>
      </c>
      <c r="N24" s="74">
        <v>971563130.87</v>
      </c>
      <c r="O24" s="74">
        <v>811743190.39999998</v>
      </c>
      <c r="P24" s="186">
        <v>1E-3</v>
      </c>
      <c r="Q24" s="186">
        <v>1E-3</v>
      </c>
    </row>
    <row r="25" spans="1:17" ht="14.25" customHeight="1" x14ac:dyDescent="0.25">
      <c r="A25" s="63">
        <f t="shared" si="5"/>
        <v>45352</v>
      </c>
      <c r="B25" s="173">
        <v>3920.41</v>
      </c>
      <c r="C25" s="173">
        <v>23554.6</v>
      </c>
      <c r="D25" s="187">
        <f t="shared" si="6"/>
        <v>164657.22</v>
      </c>
      <c r="E25" s="187">
        <f t="shared" si="7"/>
        <v>989293.2</v>
      </c>
      <c r="F25" s="188">
        <v>4.6000000000000001E-4</v>
      </c>
      <c r="G25" s="188">
        <v>4.6000000000000001E-4</v>
      </c>
      <c r="H25" s="173">
        <v>711.8</v>
      </c>
      <c r="I25" s="173">
        <v>656.7</v>
      </c>
      <c r="M25" s="63">
        <f t="shared" si="8"/>
        <v>45352</v>
      </c>
      <c r="N25" s="74">
        <v>1039795015.27</v>
      </c>
      <c r="O25" s="74">
        <v>850733838.38</v>
      </c>
      <c r="P25" s="186">
        <v>1E-3</v>
      </c>
      <c r="Q25" s="186">
        <v>1E-3</v>
      </c>
    </row>
    <row r="26" spans="1:17" ht="14.25" customHeight="1" x14ac:dyDescent="0.25">
      <c r="A26" s="63">
        <f t="shared" si="5"/>
        <v>45383</v>
      </c>
      <c r="B26" s="173">
        <v>993.52</v>
      </c>
      <c r="C26" s="173">
        <v>0</v>
      </c>
      <c r="D26" s="187">
        <f t="shared" si="6"/>
        <v>41727.839999999997</v>
      </c>
      <c r="E26" s="187">
        <f t="shared" si="7"/>
        <v>0</v>
      </c>
      <c r="F26" s="188">
        <v>1E-3</v>
      </c>
      <c r="G26" s="188">
        <v>1E-3</v>
      </c>
      <c r="H26" s="173">
        <v>591</v>
      </c>
      <c r="I26" s="173">
        <v>0</v>
      </c>
      <c r="M26" s="63">
        <f t="shared" si="8"/>
        <v>45383</v>
      </c>
      <c r="N26" s="74">
        <v>929926447.27999997</v>
      </c>
      <c r="O26" s="74">
        <v>0</v>
      </c>
      <c r="P26" s="186">
        <v>1E-3</v>
      </c>
      <c r="Q26" s="186">
        <v>1E-3</v>
      </c>
    </row>
    <row r="27" spans="1:17" ht="14.25" customHeight="1" x14ac:dyDescent="0.25">
      <c r="A27" s="63">
        <f t="shared" si="5"/>
        <v>45413</v>
      </c>
      <c r="B27" s="173">
        <v>3709.5</v>
      </c>
      <c r="C27" s="173">
        <v>0</v>
      </c>
      <c r="D27" s="187">
        <f t="shared" si="6"/>
        <v>155799</v>
      </c>
      <c r="E27" s="187">
        <f t="shared" si="7"/>
        <v>0</v>
      </c>
      <c r="F27" s="188">
        <v>5.9999999999999995E-4</v>
      </c>
      <c r="G27" s="188">
        <v>5.9999999999999995E-4</v>
      </c>
      <c r="H27" s="173">
        <v>731.5</v>
      </c>
      <c r="I27" s="173">
        <v>0</v>
      </c>
      <c r="M27" s="63">
        <f t="shared" si="8"/>
        <v>45413</v>
      </c>
      <c r="N27" s="74">
        <v>1098783938</v>
      </c>
      <c r="O27" s="74">
        <v>0</v>
      </c>
      <c r="P27" s="186">
        <v>1E-3</v>
      </c>
      <c r="Q27" s="186">
        <v>1E-3</v>
      </c>
    </row>
    <row r="28" spans="1:17" ht="14.25" customHeight="1" x14ac:dyDescent="0.25">
      <c r="A28" s="63">
        <f t="shared" si="5"/>
        <v>45444</v>
      </c>
      <c r="B28" s="173">
        <v>7493.46</v>
      </c>
      <c r="C28" s="173">
        <v>8782.2900000000009</v>
      </c>
      <c r="D28" s="187">
        <f t="shared" si="6"/>
        <v>314725.32</v>
      </c>
      <c r="E28" s="187">
        <f t="shared" si="7"/>
        <v>368856.18000000005</v>
      </c>
      <c r="F28" s="188">
        <v>5.9999999999999995E-4</v>
      </c>
      <c r="G28" s="188">
        <v>5.9999999999999995E-4</v>
      </c>
      <c r="H28" s="173">
        <v>668.3</v>
      </c>
      <c r="I28" s="173">
        <v>470.5</v>
      </c>
      <c r="M28" s="63">
        <f t="shared" si="8"/>
        <v>45444</v>
      </c>
      <c r="N28" s="74">
        <v>967300262.52999997</v>
      </c>
      <c r="O28" s="74">
        <v>652704802.55999994</v>
      </c>
      <c r="P28" s="186">
        <v>1E-3</v>
      </c>
      <c r="Q28" s="186">
        <v>1E-3</v>
      </c>
    </row>
    <row r="29" spans="1:17" ht="14.25" customHeight="1" x14ac:dyDescent="0.25">
      <c r="A29" s="63">
        <f t="shared" si="5"/>
        <v>45474</v>
      </c>
      <c r="B29" s="173">
        <v>54712</v>
      </c>
      <c r="C29" s="173">
        <v>0</v>
      </c>
      <c r="D29" s="187">
        <f t="shared" si="6"/>
        <v>2297904</v>
      </c>
      <c r="E29" s="187">
        <f t="shared" si="7"/>
        <v>0</v>
      </c>
      <c r="F29" s="188">
        <v>5.9999999999999995E-4</v>
      </c>
      <c r="G29" s="188">
        <v>5.9999999999999995E-4</v>
      </c>
      <c r="H29" s="173">
        <v>725.2</v>
      </c>
      <c r="I29" s="173">
        <v>695.5</v>
      </c>
      <c r="M29" s="63">
        <f t="shared" si="8"/>
        <v>45474</v>
      </c>
      <c r="N29" s="189">
        <v>729409265.10000002</v>
      </c>
      <c r="O29" s="189">
        <v>1051356590.9</v>
      </c>
      <c r="P29" s="186">
        <v>1E-3</v>
      </c>
      <c r="Q29" s="186">
        <v>1E-3</v>
      </c>
    </row>
    <row r="30" spans="1:17" ht="14.25" customHeight="1" x14ac:dyDescent="0.25">
      <c r="A30" s="63">
        <f t="shared" si="5"/>
        <v>45505</v>
      </c>
      <c r="B30" s="173">
        <v>40693</v>
      </c>
      <c r="C30" s="173">
        <v>817.01</v>
      </c>
      <c r="D30" s="187">
        <f t="shared" si="6"/>
        <v>1709106</v>
      </c>
      <c r="E30" s="187">
        <f t="shared" si="7"/>
        <v>34314.42</v>
      </c>
      <c r="F30" s="188">
        <v>1E-3</v>
      </c>
      <c r="G30" s="188">
        <v>1E-3</v>
      </c>
      <c r="H30" s="173">
        <v>732.1</v>
      </c>
      <c r="I30" s="173">
        <v>167.2</v>
      </c>
      <c r="M30" s="63">
        <f t="shared" si="8"/>
        <v>45505</v>
      </c>
      <c r="N30" s="189">
        <v>814666364.41999996</v>
      </c>
      <c r="O30" s="189">
        <v>234377239.78</v>
      </c>
      <c r="P30" s="186">
        <v>1E-3</v>
      </c>
      <c r="Q30" s="186">
        <v>1E-3</v>
      </c>
    </row>
    <row r="31" spans="1:17" ht="14.25" customHeight="1" x14ac:dyDescent="0.25">
      <c r="A31" s="63">
        <f t="shared" si="5"/>
        <v>45536</v>
      </c>
      <c r="B31" s="43">
        <v>0</v>
      </c>
      <c r="C31" s="173">
        <v>0</v>
      </c>
      <c r="D31" s="187">
        <f t="shared" si="6"/>
        <v>0</v>
      </c>
      <c r="E31" s="187">
        <f t="shared" si="7"/>
        <v>0</v>
      </c>
      <c r="F31" s="188">
        <v>1E-3</v>
      </c>
      <c r="G31" s="188">
        <v>1E-3</v>
      </c>
      <c r="H31" s="173">
        <v>720</v>
      </c>
      <c r="I31" s="173">
        <v>0</v>
      </c>
      <c r="M31" s="63">
        <f t="shared" si="8"/>
        <v>45536</v>
      </c>
      <c r="N31" s="189">
        <v>1086279524.74</v>
      </c>
      <c r="O31" s="189">
        <v>0</v>
      </c>
      <c r="P31" s="186">
        <v>1E-3</v>
      </c>
      <c r="Q31" s="186">
        <v>1E-3</v>
      </c>
    </row>
    <row r="32" spans="1:17" ht="14.25" customHeight="1" x14ac:dyDescent="0.25">
      <c r="A32" s="63">
        <f t="shared" si="5"/>
        <v>45566</v>
      </c>
      <c r="B32" s="173">
        <v>46219.05</v>
      </c>
      <c r="C32" s="173">
        <v>0</v>
      </c>
      <c r="D32" s="187">
        <f t="shared" si="6"/>
        <v>1941200.1</v>
      </c>
      <c r="E32" s="187">
        <f t="shared" si="7"/>
        <v>0</v>
      </c>
      <c r="F32" s="188">
        <v>6.9999999999999999E-4</v>
      </c>
      <c r="G32" s="188">
        <v>6.9999999999999999E-4</v>
      </c>
      <c r="H32" s="173">
        <v>693.1</v>
      </c>
      <c r="I32" s="173">
        <v>0</v>
      </c>
      <c r="M32" s="63">
        <f t="shared" si="8"/>
        <v>45566</v>
      </c>
      <c r="N32" s="189">
        <v>717860810.25999999</v>
      </c>
      <c r="O32" s="189">
        <v>0</v>
      </c>
      <c r="P32" s="186">
        <v>1E-3</v>
      </c>
      <c r="Q32" s="186">
        <v>1E-3</v>
      </c>
    </row>
    <row r="33" spans="1:17" ht="14.25" customHeight="1" x14ac:dyDescent="0.25">
      <c r="A33" s="63">
        <f t="shared" si="5"/>
        <v>45597</v>
      </c>
      <c r="B33" s="173">
        <v>25285.71</v>
      </c>
      <c r="C33" s="173">
        <v>0</v>
      </c>
      <c r="D33" s="187">
        <f t="shared" si="6"/>
        <v>1061999.82</v>
      </c>
      <c r="E33" s="187">
        <f t="shared" si="7"/>
        <v>0</v>
      </c>
      <c r="F33" s="188">
        <v>1E-3</v>
      </c>
      <c r="G33" s="188">
        <v>1E-3</v>
      </c>
      <c r="H33" s="173">
        <v>632.79999999999995</v>
      </c>
      <c r="I33" s="173">
        <v>0</v>
      </c>
      <c r="M33" s="63">
        <f t="shared" si="8"/>
        <v>45597</v>
      </c>
      <c r="N33" s="189">
        <v>761485379.05999994</v>
      </c>
      <c r="O33" s="189">
        <v>0</v>
      </c>
      <c r="P33" s="186">
        <v>1E-3</v>
      </c>
      <c r="Q33" s="186">
        <v>1E-3</v>
      </c>
    </row>
    <row r="34" spans="1:17" ht="14.25" customHeight="1" x14ac:dyDescent="0.25">
      <c r="A34" s="66">
        <f t="shared" si="5"/>
        <v>45627</v>
      </c>
      <c r="B34" s="178">
        <v>21624.880000000001</v>
      </c>
      <c r="C34" s="190">
        <v>0</v>
      </c>
      <c r="D34" s="191">
        <f t="shared" si="6"/>
        <v>908244.96000000008</v>
      </c>
      <c r="E34" s="191">
        <f t="shared" si="7"/>
        <v>0</v>
      </c>
      <c r="F34" s="192">
        <v>1E-3</v>
      </c>
      <c r="G34" s="192">
        <v>1E-3</v>
      </c>
      <c r="H34" s="178">
        <v>726.4</v>
      </c>
      <c r="I34" s="178">
        <v>0</v>
      </c>
      <c r="M34" s="66">
        <f t="shared" si="8"/>
        <v>45627</v>
      </c>
      <c r="N34" s="193">
        <v>942732974.85000002</v>
      </c>
      <c r="O34" s="193">
        <v>0</v>
      </c>
      <c r="P34" s="186">
        <v>1E-3</v>
      </c>
      <c r="Q34" s="186">
        <v>1E-3</v>
      </c>
    </row>
    <row r="35" spans="1:17" ht="14.25" customHeight="1" x14ac:dyDescent="0.25">
      <c r="A35" s="30" t="s">
        <v>26</v>
      </c>
      <c r="B35" s="55">
        <f>SUM(B23:B34)</f>
        <v>204651.53</v>
      </c>
      <c r="C35" s="55">
        <f>SUM(C23:C34)</f>
        <v>35706.33</v>
      </c>
      <c r="D35" s="55">
        <f>SUM(D23:D34)</f>
        <v>8595364.2600000016</v>
      </c>
      <c r="E35" s="55">
        <f>SUM(E23:E34)</f>
        <v>1499665.8599999999</v>
      </c>
      <c r="F35" s="194">
        <f>AVERAGE(F23:F34)</f>
        <v>7.474999999999999E-4</v>
      </c>
      <c r="G35" s="194">
        <f>AVERAGE(G23:G34)</f>
        <v>7.474999999999999E-4</v>
      </c>
      <c r="H35" s="195">
        <f>SUM(H23:H34)</f>
        <v>8288.4000000000015</v>
      </c>
      <c r="I35" s="195">
        <f>SUM(I23:I34)</f>
        <v>3296.3999999999996</v>
      </c>
      <c r="M35" s="5" t="s">
        <v>76</v>
      </c>
      <c r="N35" s="80">
        <f>SUM(N23:N34)</f>
        <v>11063970651.58</v>
      </c>
      <c r="O35" s="80">
        <f>SUM(O23:O34)</f>
        <v>4672563373.2299995</v>
      </c>
      <c r="P35" s="196">
        <v>1E-3</v>
      </c>
      <c r="Q35" s="196">
        <v>1E-3</v>
      </c>
    </row>
    <row r="37" spans="1:17" ht="14.25" customHeight="1" x14ac:dyDescent="0.25">
      <c r="E37" s="183"/>
    </row>
  </sheetData>
  <mergeCells count="15">
    <mergeCell ref="A2:M2"/>
    <mergeCell ref="A3:A4"/>
    <mergeCell ref="B3:E3"/>
    <mergeCell ref="F3:I3"/>
    <mergeCell ref="J3:M3"/>
    <mergeCell ref="A20:I20"/>
    <mergeCell ref="M20:Q20"/>
    <mergeCell ref="A21:A22"/>
    <mergeCell ref="B21:C21"/>
    <mergeCell ref="D21:E21"/>
    <mergeCell ref="F21:G21"/>
    <mergeCell ref="H21:I21"/>
    <mergeCell ref="M21:M22"/>
    <mergeCell ref="N21:O21"/>
    <mergeCell ref="P21:Q21"/>
  </mergeCells>
  <pageMargins left="0.7" right="0.7" top="0.75" bottom="0.75" header="0.511811023622047" footer="0.511811023622047"/>
  <pageSetup paperSize="9" orientation="portrait" horizontalDpi="300" verticalDpi="300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104"/>
  <sheetViews>
    <sheetView zoomScaleNormal="100" workbookViewId="0">
      <selection sqref="A1:O1"/>
    </sheetView>
  </sheetViews>
  <sheetFormatPr defaultColWidth="8.7109375" defaultRowHeight="12.75" x14ac:dyDescent="0.2"/>
  <cols>
    <col min="1" max="1" width="14.5703125" customWidth="1"/>
    <col min="2" max="2" width="14.7109375" customWidth="1"/>
    <col min="3" max="3" width="10.28515625" customWidth="1"/>
    <col min="4" max="4" width="16.42578125" customWidth="1"/>
    <col min="6" max="6" width="10" customWidth="1"/>
    <col min="7" max="7" width="4.85546875" customWidth="1"/>
    <col min="9" max="9" width="6.7109375" customWidth="1"/>
    <col min="11" max="11" width="3.140625" customWidth="1"/>
  </cols>
  <sheetData>
    <row r="1" spans="1:19" ht="14.25" customHeight="1" x14ac:dyDescent="0.2">
      <c r="A1" s="592" t="s">
        <v>161</v>
      </c>
      <c r="B1" s="592"/>
      <c r="C1" s="592"/>
      <c r="D1" s="592"/>
      <c r="E1" s="592"/>
      <c r="F1" s="592"/>
      <c r="G1" s="592"/>
      <c r="H1" s="592"/>
    </row>
    <row r="3" spans="1:19" ht="14.25" customHeight="1" x14ac:dyDescent="0.2">
      <c r="A3" s="197" t="s">
        <v>162</v>
      </c>
      <c r="B3" s="198"/>
      <c r="C3" s="198"/>
      <c r="D3" s="86"/>
      <c r="E3" s="86"/>
      <c r="F3" s="86"/>
      <c r="G3" s="86"/>
      <c r="H3" s="86"/>
    </row>
    <row r="4" spans="1:19" ht="14.25" customHeight="1" x14ac:dyDescent="0.2">
      <c r="A4" s="197"/>
      <c r="B4" s="198"/>
      <c r="C4" s="198"/>
      <c r="D4" s="86"/>
      <c r="E4" s="86"/>
      <c r="F4" s="86"/>
      <c r="G4" s="86"/>
      <c r="H4" s="86"/>
    </row>
    <row r="5" spans="1:19" ht="14.25" customHeight="1" x14ac:dyDescent="0.2">
      <c r="A5" s="86" t="s">
        <v>18</v>
      </c>
      <c r="B5" s="86" t="s">
        <v>163</v>
      </c>
      <c r="C5" s="86"/>
      <c r="D5" s="86" t="s">
        <v>164</v>
      </c>
      <c r="E5" s="86"/>
      <c r="F5" s="86"/>
      <c r="G5" s="86"/>
      <c r="H5" s="86"/>
    </row>
    <row r="6" spans="1:19" ht="14.25" customHeight="1" x14ac:dyDescent="0.2">
      <c r="A6" s="86" t="s">
        <v>17</v>
      </c>
      <c r="B6" s="86" t="s">
        <v>165</v>
      </c>
      <c r="C6" s="86"/>
      <c r="D6" s="86" t="s">
        <v>166</v>
      </c>
      <c r="E6" s="86"/>
      <c r="F6" s="86"/>
      <c r="G6" s="86"/>
      <c r="H6" s="86"/>
    </row>
    <row r="7" spans="1:19" ht="14.25" customHeight="1" x14ac:dyDescent="0.2">
      <c r="A7" s="86" t="s">
        <v>19</v>
      </c>
      <c r="B7" s="86" t="s">
        <v>167</v>
      </c>
      <c r="C7" s="86"/>
      <c r="D7" s="86" t="s">
        <v>168</v>
      </c>
      <c r="E7" s="86"/>
      <c r="F7" s="86"/>
      <c r="G7" s="86"/>
      <c r="H7" s="86"/>
    </row>
    <row r="8" spans="1:19" ht="14.25" customHeight="1" x14ac:dyDescent="0.2">
      <c r="A8" s="86" t="s">
        <v>42</v>
      </c>
      <c r="B8" s="86" t="s">
        <v>169</v>
      </c>
      <c r="C8" s="86"/>
      <c r="D8" s="86"/>
      <c r="E8" s="86"/>
      <c r="F8" s="86"/>
      <c r="G8" s="86"/>
      <c r="H8" s="86"/>
    </row>
    <row r="9" spans="1:19" ht="14.25" customHeight="1" x14ac:dyDescent="0.2">
      <c r="A9" s="86" t="s">
        <v>170</v>
      </c>
      <c r="B9" s="86" t="s">
        <v>171</v>
      </c>
      <c r="C9" s="86"/>
      <c r="D9" s="86" t="s">
        <v>172</v>
      </c>
      <c r="E9" s="86"/>
      <c r="F9" s="86"/>
      <c r="G9" s="86"/>
      <c r="H9" s="86"/>
    </row>
    <row r="10" spans="1:19" ht="14.25" customHeight="1" x14ac:dyDescent="0.2">
      <c r="A10" s="86" t="s">
        <v>173</v>
      </c>
      <c r="B10" s="86" t="s">
        <v>174</v>
      </c>
      <c r="C10" s="86"/>
      <c r="D10" s="86" t="s">
        <v>175</v>
      </c>
      <c r="E10" s="86"/>
      <c r="F10" s="86"/>
      <c r="G10" s="86"/>
      <c r="H10" s="86"/>
    </row>
    <row r="11" spans="1:19" ht="14.25" customHeight="1" x14ac:dyDescent="0.2">
      <c r="A11" s="86" t="s">
        <v>22</v>
      </c>
      <c r="B11" s="86" t="s">
        <v>176</v>
      </c>
      <c r="C11" s="86"/>
      <c r="D11" s="86" t="s">
        <v>168</v>
      </c>
      <c r="E11" s="86"/>
      <c r="F11" s="86"/>
      <c r="G11" s="86"/>
      <c r="H11" s="86"/>
    </row>
    <row r="12" spans="1:19" ht="14.25" customHeight="1" x14ac:dyDescent="0.2">
      <c r="A12" s="86" t="s">
        <v>21</v>
      </c>
      <c r="B12" s="86" t="s">
        <v>177</v>
      </c>
      <c r="C12" s="86"/>
      <c r="D12" s="86" t="s">
        <v>168</v>
      </c>
      <c r="E12" s="86"/>
      <c r="F12" s="86"/>
      <c r="G12" s="86"/>
      <c r="H12" s="86"/>
    </row>
    <row r="13" spans="1:19" ht="14.25" customHeight="1" x14ac:dyDescent="0.2">
      <c r="A13" s="199" t="s">
        <v>23</v>
      </c>
      <c r="B13" s="86" t="s">
        <v>178</v>
      </c>
      <c r="C13" s="86"/>
      <c r="D13" s="86"/>
      <c r="E13" s="86"/>
      <c r="F13" s="86"/>
      <c r="G13" s="86"/>
      <c r="H13" s="86"/>
    </row>
    <row r="14" spans="1:19" ht="14.25" customHeight="1" x14ac:dyDescent="0.2">
      <c r="A14" s="199" t="s">
        <v>24</v>
      </c>
      <c r="B14" s="86" t="s">
        <v>179</v>
      </c>
      <c r="C14" s="86"/>
      <c r="D14" s="86" t="s">
        <v>180</v>
      </c>
      <c r="E14" s="86"/>
      <c r="F14" s="86"/>
      <c r="G14" s="86"/>
      <c r="H14" s="86"/>
      <c r="R14">
        <f>(515657.4+515.5+1229.1)*2204.6/45826002</f>
        <v>24.891205852956581</v>
      </c>
      <c r="S14" t="s">
        <v>116</v>
      </c>
    </row>
    <row r="16" spans="1:19" ht="14.25" customHeight="1" x14ac:dyDescent="0.2">
      <c r="A16" s="86" t="s">
        <v>181</v>
      </c>
      <c r="B16" s="200">
        <f>SUM('San Juan'!F17+'San Juan'!G17)</f>
        <v>17355928.379999999</v>
      </c>
      <c r="C16" s="86" t="s">
        <v>182</v>
      </c>
      <c r="D16" s="86"/>
      <c r="E16" s="86"/>
      <c r="F16" s="86"/>
      <c r="G16" s="86"/>
      <c r="H16" s="86"/>
    </row>
    <row r="17" spans="1:9" ht="14.25" customHeight="1" x14ac:dyDescent="0.2">
      <c r="A17" s="86" t="s">
        <v>181</v>
      </c>
      <c r="B17" s="200">
        <f>SUM('San Juan'!H17+'San Juan'!I17)</f>
        <v>35509235.580000006</v>
      </c>
      <c r="C17" s="86" t="s">
        <v>183</v>
      </c>
      <c r="D17" s="86"/>
      <c r="E17" s="86"/>
      <c r="F17" s="86"/>
      <c r="G17" s="86"/>
      <c r="H17" s="86"/>
    </row>
    <row r="18" spans="1:9" ht="14.25" customHeight="1" x14ac:dyDescent="0.2">
      <c r="A18" s="86" t="s">
        <v>184</v>
      </c>
      <c r="B18" s="168">
        <f>SUM('San Juan'!J17+'San Juan'!L17)/2</f>
        <v>0.48333333333333339</v>
      </c>
      <c r="C18" s="86"/>
      <c r="D18" s="201" t="s">
        <v>185</v>
      </c>
      <c r="E18" s="86"/>
      <c r="F18" s="86"/>
      <c r="G18" s="86"/>
      <c r="H18" s="86"/>
    </row>
    <row r="19" spans="1:9" ht="14.25" customHeight="1" x14ac:dyDescent="0.2">
      <c r="A19" s="86"/>
      <c r="B19" s="200"/>
      <c r="C19" s="86"/>
      <c r="D19" s="86"/>
      <c r="E19" s="86"/>
      <c r="F19" s="86"/>
      <c r="G19" s="86"/>
      <c r="H19" s="86"/>
    </row>
    <row r="21" spans="1:9" ht="14.25" customHeight="1" x14ac:dyDescent="0.2">
      <c r="A21" s="86" t="s">
        <v>186</v>
      </c>
      <c r="B21" s="86"/>
      <c r="C21" s="86"/>
      <c r="D21" s="86"/>
      <c r="E21" s="86"/>
      <c r="F21" s="86"/>
      <c r="G21" s="86"/>
      <c r="H21" s="86"/>
      <c r="I21" s="86"/>
    </row>
    <row r="23" spans="1:9" ht="14.25" customHeight="1" x14ac:dyDescent="0.2">
      <c r="A23" s="202" t="s">
        <v>90</v>
      </c>
      <c r="B23" s="203">
        <v>0.04</v>
      </c>
      <c r="C23" s="204" t="s">
        <v>132</v>
      </c>
      <c r="D23" s="111">
        <f>B16+B17</f>
        <v>52865163.960000008</v>
      </c>
      <c r="E23" s="204" t="s">
        <v>92</v>
      </c>
      <c r="F23" s="599" t="s">
        <v>94</v>
      </c>
      <c r="G23" s="599"/>
      <c r="H23" s="203">
        <v>0.15</v>
      </c>
      <c r="I23" s="205" t="s">
        <v>131</v>
      </c>
    </row>
    <row r="24" spans="1:9" ht="14.25" customHeight="1" x14ac:dyDescent="0.2">
      <c r="A24" s="86"/>
      <c r="B24" s="600" t="s">
        <v>131</v>
      </c>
      <c r="C24" s="600"/>
      <c r="D24" s="593" t="s">
        <v>64</v>
      </c>
      <c r="E24" s="593"/>
      <c r="F24" s="1">
        <v>2000</v>
      </c>
      <c r="G24" s="125" t="s">
        <v>132</v>
      </c>
      <c r="H24" s="600" t="s">
        <v>92</v>
      </c>
      <c r="I24" s="600"/>
    </row>
    <row r="26" spans="1:9" ht="14.25" customHeight="1" x14ac:dyDescent="0.2">
      <c r="A26" s="202" t="s">
        <v>90</v>
      </c>
      <c r="B26" s="200">
        <f>((B23*D23*H23)/F24)</f>
        <v>158.59549188000003</v>
      </c>
      <c r="C26" s="206" t="s">
        <v>94</v>
      </c>
      <c r="D26" s="86"/>
      <c r="E26" s="86"/>
      <c r="F26" s="86"/>
      <c r="G26" s="86"/>
      <c r="H26" s="86"/>
      <c r="I26" s="86"/>
    </row>
    <row r="27" spans="1:9" ht="14.25" customHeight="1" x14ac:dyDescent="0.2">
      <c r="A27" s="86"/>
      <c r="B27" s="86"/>
      <c r="C27" s="198" t="s">
        <v>64</v>
      </c>
      <c r="D27" s="86"/>
      <c r="E27" s="86"/>
      <c r="F27" s="86"/>
      <c r="G27" s="86"/>
      <c r="H27" s="86"/>
      <c r="I27" s="86"/>
    </row>
    <row r="29" spans="1:9" ht="14.25" customHeight="1" x14ac:dyDescent="0.2">
      <c r="A29" s="86" t="s">
        <v>89</v>
      </c>
      <c r="B29" s="86"/>
      <c r="C29" s="86"/>
      <c r="D29" s="86"/>
      <c r="E29" s="86"/>
      <c r="F29" s="86"/>
      <c r="G29" s="86"/>
      <c r="H29" s="86"/>
      <c r="I29" s="86"/>
    </row>
    <row r="31" spans="1:9" ht="14.25" customHeight="1" x14ac:dyDescent="0.2">
      <c r="A31" s="202" t="s">
        <v>90</v>
      </c>
      <c r="B31" s="203">
        <v>0.03</v>
      </c>
      <c r="C31" s="204" t="s">
        <v>132</v>
      </c>
      <c r="D31" s="111">
        <f>D23</f>
        <v>52865163.960000008</v>
      </c>
      <c r="E31" s="204" t="s">
        <v>92</v>
      </c>
      <c r="F31" s="599" t="s">
        <v>94</v>
      </c>
      <c r="G31" s="599"/>
      <c r="H31" s="203">
        <v>0.15</v>
      </c>
      <c r="I31" s="205" t="s">
        <v>131</v>
      </c>
    </row>
    <row r="32" spans="1:9" ht="14.25" customHeight="1" x14ac:dyDescent="0.2">
      <c r="A32" s="86"/>
      <c r="B32" s="600" t="s">
        <v>131</v>
      </c>
      <c r="C32" s="600"/>
      <c r="D32" s="593" t="s">
        <v>64</v>
      </c>
      <c r="E32" s="593"/>
      <c r="F32" s="1">
        <v>2000</v>
      </c>
      <c r="G32" s="125" t="s">
        <v>132</v>
      </c>
      <c r="H32" s="600" t="s">
        <v>92</v>
      </c>
      <c r="I32" s="600"/>
    </row>
    <row r="34" spans="1:11" ht="14.25" customHeight="1" x14ac:dyDescent="0.2">
      <c r="A34" s="202" t="s">
        <v>90</v>
      </c>
      <c r="B34" s="200">
        <f>((B31*D31*H31)/F32)</f>
        <v>118.94661891</v>
      </c>
      <c r="C34" s="206" t="s">
        <v>94</v>
      </c>
      <c r="D34" s="86"/>
      <c r="E34" s="86"/>
      <c r="F34" s="86"/>
      <c r="G34" s="86"/>
      <c r="H34" s="86"/>
      <c r="I34" s="86"/>
    </row>
    <row r="35" spans="1:11" ht="14.25" customHeight="1" x14ac:dyDescent="0.2">
      <c r="A35" s="86"/>
      <c r="B35" s="86"/>
      <c r="C35" s="198" t="s">
        <v>64</v>
      </c>
      <c r="D35" s="86"/>
      <c r="E35" s="86"/>
      <c r="F35" s="86"/>
      <c r="G35" s="86"/>
      <c r="H35" s="86"/>
      <c r="I35" s="86"/>
    </row>
    <row r="38" spans="1:11" ht="14.25" customHeight="1" x14ac:dyDescent="0.2">
      <c r="A38" s="86" t="s">
        <v>187</v>
      </c>
      <c r="B38" s="86"/>
      <c r="C38" s="86"/>
      <c r="D38" s="86"/>
      <c r="E38" s="86"/>
      <c r="F38" s="86"/>
      <c r="G38" s="86"/>
      <c r="H38" s="86"/>
      <c r="I38" s="86"/>
    </row>
    <row r="40" spans="1:11" ht="14.25" customHeight="1" x14ac:dyDescent="0.2">
      <c r="A40" s="202" t="s">
        <v>90</v>
      </c>
      <c r="B40" s="207">
        <v>4.0500000000000001E-2</v>
      </c>
      <c r="C40" s="204" t="s">
        <v>132</v>
      </c>
      <c r="D40" s="111">
        <f>D31</f>
        <v>52865163.960000008</v>
      </c>
      <c r="E40" s="204" t="s">
        <v>92</v>
      </c>
      <c r="F40" s="599" t="s">
        <v>94</v>
      </c>
      <c r="G40" s="599"/>
      <c r="H40" s="203">
        <v>0.15</v>
      </c>
      <c r="I40" s="205" t="s">
        <v>131</v>
      </c>
    </row>
    <row r="41" spans="1:11" ht="14.25" customHeight="1" x14ac:dyDescent="0.2">
      <c r="A41" s="86"/>
      <c r="B41" s="600" t="s">
        <v>131</v>
      </c>
      <c r="C41" s="600"/>
      <c r="D41" s="593" t="s">
        <v>64</v>
      </c>
      <c r="E41" s="593"/>
      <c r="F41" s="1">
        <v>2000</v>
      </c>
      <c r="G41" s="125" t="s">
        <v>132</v>
      </c>
      <c r="H41" s="600" t="s">
        <v>92</v>
      </c>
      <c r="I41" s="600"/>
    </row>
    <row r="43" spans="1:11" ht="14.25" customHeight="1" x14ac:dyDescent="0.2">
      <c r="A43" s="202" t="s">
        <v>90</v>
      </c>
      <c r="B43" s="200">
        <f>((B40*D40*H40)/F41)</f>
        <v>160.57793552850001</v>
      </c>
      <c r="C43" s="206" t="s">
        <v>94</v>
      </c>
      <c r="D43" s="86"/>
      <c r="E43" s="86"/>
      <c r="F43" s="86"/>
      <c r="G43" s="86"/>
      <c r="H43" s="86"/>
      <c r="I43" s="86"/>
    </row>
    <row r="44" spans="1:11" ht="14.25" customHeight="1" x14ac:dyDescent="0.2">
      <c r="A44" s="86"/>
      <c r="B44" s="86"/>
      <c r="C44" s="198" t="s">
        <v>64</v>
      </c>
      <c r="D44" s="86"/>
      <c r="E44" s="86"/>
      <c r="F44" s="86"/>
      <c r="G44" s="86"/>
      <c r="H44" s="86"/>
      <c r="I44" s="86"/>
    </row>
    <row r="45" spans="1:11" ht="14.25" customHeight="1" x14ac:dyDescent="0.2">
      <c r="A45" s="86"/>
      <c r="B45" s="86"/>
      <c r="C45" s="198"/>
      <c r="D45" s="86"/>
      <c r="E45" s="86"/>
      <c r="F45" s="86"/>
      <c r="G45" s="86"/>
      <c r="H45" s="86"/>
      <c r="I45" s="86"/>
    </row>
    <row r="46" spans="1:11" ht="14.25" customHeight="1" x14ac:dyDescent="0.2">
      <c r="A46" s="86" t="s">
        <v>188</v>
      </c>
      <c r="B46" s="86"/>
      <c r="C46" s="86"/>
      <c r="D46" s="86"/>
      <c r="E46" s="86"/>
      <c r="F46" s="86"/>
      <c r="G46" s="86"/>
      <c r="H46" s="86"/>
      <c r="I46" s="86"/>
      <c r="J46" s="86"/>
      <c r="K46" s="86"/>
    </row>
    <row r="47" spans="1:11" ht="14.25" customHeight="1" x14ac:dyDescent="0.25">
      <c r="I47" s="208" t="s">
        <v>189</v>
      </c>
    </row>
    <row r="48" spans="1:11" ht="14.25" customHeight="1" x14ac:dyDescent="0.2">
      <c r="A48" s="202" t="s">
        <v>90</v>
      </c>
      <c r="B48" s="209">
        <f>(157+5.7)*B18</f>
        <v>78.638333333333335</v>
      </c>
      <c r="C48" s="204" t="s">
        <v>132</v>
      </c>
      <c r="D48" s="111">
        <f>D40</f>
        <v>52865163.960000008</v>
      </c>
      <c r="E48" s="204" t="s">
        <v>92</v>
      </c>
      <c r="F48" s="599" t="s">
        <v>94</v>
      </c>
      <c r="G48" s="599"/>
    </row>
    <row r="49" spans="1:11" ht="14.25" customHeight="1" x14ac:dyDescent="0.2">
      <c r="A49" s="86"/>
      <c r="B49" s="210">
        <v>1000</v>
      </c>
      <c r="C49" s="211" t="s">
        <v>141</v>
      </c>
      <c r="D49" s="593" t="s">
        <v>64</v>
      </c>
      <c r="E49" s="593"/>
      <c r="F49" s="1">
        <v>2000</v>
      </c>
      <c r="G49" s="125" t="s">
        <v>132</v>
      </c>
    </row>
    <row r="51" spans="1:11" ht="14.25" customHeight="1" x14ac:dyDescent="0.2">
      <c r="A51" s="202" t="s">
        <v>90</v>
      </c>
      <c r="B51" s="200">
        <f>((B48/B49*D48)/F49)</f>
        <v>2078.6141926039004</v>
      </c>
      <c r="C51" s="206" t="s">
        <v>94</v>
      </c>
      <c r="D51" s="86"/>
      <c r="E51" s="86"/>
      <c r="F51" s="86"/>
      <c r="G51" s="86"/>
      <c r="H51" s="86"/>
      <c r="I51" s="86"/>
      <c r="J51" s="86"/>
      <c r="K51" s="86"/>
    </row>
    <row r="52" spans="1:11" ht="14.25" customHeight="1" x14ac:dyDescent="0.2">
      <c r="A52" s="86"/>
      <c r="B52" s="86"/>
      <c r="C52" s="198" t="s">
        <v>64</v>
      </c>
      <c r="D52" s="86"/>
      <c r="E52" s="86"/>
      <c r="F52" s="86"/>
      <c r="G52" s="86"/>
      <c r="H52" s="86"/>
      <c r="I52" s="86"/>
      <c r="J52" s="86"/>
      <c r="K52" s="86"/>
    </row>
    <row r="53" spans="1:11" ht="14.25" customHeight="1" x14ac:dyDescent="0.2">
      <c r="A53" s="86"/>
      <c r="B53" s="86"/>
      <c r="C53" s="198"/>
      <c r="D53" s="86"/>
      <c r="E53" s="86"/>
      <c r="F53" s="86"/>
      <c r="G53" s="86"/>
      <c r="H53" s="86"/>
      <c r="I53" s="86"/>
      <c r="J53" s="86"/>
      <c r="K53" s="86"/>
    </row>
    <row r="54" spans="1:11" ht="14.25" customHeight="1" x14ac:dyDescent="0.2">
      <c r="A54" s="86"/>
      <c r="B54" s="86"/>
      <c r="C54" s="198"/>
      <c r="D54" s="86"/>
      <c r="E54" s="86"/>
      <c r="F54" s="86"/>
      <c r="G54" s="86"/>
      <c r="H54" s="86"/>
      <c r="I54" s="86"/>
      <c r="J54" s="86"/>
      <c r="K54" s="86"/>
    </row>
    <row r="55" spans="1:11" ht="14.25" customHeight="1" x14ac:dyDescent="0.2">
      <c r="A55" s="86"/>
      <c r="B55" s="86"/>
      <c r="C55" s="198"/>
      <c r="D55" s="86"/>
      <c r="E55" s="86"/>
      <c r="F55" s="86"/>
      <c r="G55" s="86"/>
      <c r="H55" s="86"/>
      <c r="I55" s="86"/>
      <c r="J55" s="86"/>
      <c r="K55" s="86"/>
    </row>
    <row r="56" spans="1:11" ht="14.25" customHeight="1" x14ac:dyDescent="0.2">
      <c r="A56" s="86"/>
      <c r="B56" s="86"/>
      <c r="C56" s="198"/>
      <c r="D56" s="86"/>
      <c r="E56" s="86"/>
      <c r="F56" s="86"/>
      <c r="G56" s="86"/>
      <c r="H56" s="86"/>
      <c r="I56" s="86"/>
      <c r="J56" s="86"/>
      <c r="K56" s="86"/>
    </row>
    <row r="57" spans="1:11" ht="14.25" customHeight="1" x14ac:dyDescent="0.2">
      <c r="A57" s="86" t="s">
        <v>190</v>
      </c>
      <c r="B57" s="86"/>
      <c r="C57" s="86"/>
      <c r="D57" s="86"/>
      <c r="E57" s="86"/>
      <c r="F57" s="86"/>
      <c r="G57" s="86"/>
      <c r="H57" s="86"/>
    </row>
    <row r="59" spans="1:11" ht="14.25" customHeight="1" x14ac:dyDescent="0.2">
      <c r="A59" s="202" t="s">
        <v>90</v>
      </c>
      <c r="B59" s="212">
        <v>47</v>
      </c>
      <c r="C59" s="204" t="s">
        <v>132</v>
      </c>
      <c r="D59" s="111">
        <f>B16</f>
        <v>17355928.379999999</v>
      </c>
      <c r="E59" s="204" t="s">
        <v>92</v>
      </c>
      <c r="F59" s="599" t="s">
        <v>94</v>
      </c>
      <c r="G59" s="599"/>
      <c r="H59" s="213"/>
    </row>
    <row r="60" spans="1:11" ht="14.25" customHeight="1" x14ac:dyDescent="0.2">
      <c r="A60" s="86"/>
      <c r="B60" s="1">
        <v>1000</v>
      </c>
      <c r="C60" s="125" t="s">
        <v>92</v>
      </c>
      <c r="D60" s="593" t="s">
        <v>64</v>
      </c>
      <c r="E60" s="593"/>
      <c r="F60" s="1">
        <v>2000</v>
      </c>
      <c r="G60" s="125" t="s">
        <v>132</v>
      </c>
      <c r="H60" s="213"/>
    </row>
    <row r="62" spans="1:11" ht="14.25" customHeight="1" x14ac:dyDescent="0.2">
      <c r="A62" s="202" t="s">
        <v>90</v>
      </c>
      <c r="B62" s="200">
        <f>((B59/B60)*D59)/F60</f>
        <v>407.86431692999997</v>
      </c>
      <c r="C62" s="206" t="s">
        <v>94</v>
      </c>
      <c r="D62" s="86"/>
      <c r="E62" s="86"/>
      <c r="F62" s="86"/>
      <c r="G62" s="86"/>
      <c r="H62" s="86"/>
    </row>
    <row r="63" spans="1:11" ht="14.25" customHeight="1" x14ac:dyDescent="0.2">
      <c r="A63" s="86"/>
      <c r="B63" s="86"/>
      <c r="C63" s="198" t="s">
        <v>64</v>
      </c>
      <c r="D63" s="86"/>
      <c r="E63" s="86"/>
      <c r="F63" s="86"/>
      <c r="G63" s="86"/>
      <c r="H63" s="86"/>
    </row>
    <row r="65" spans="1:8" ht="14.25" customHeight="1" x14ac:dyDescent="0.2">
      <c r="A65" s="86" t="s">
        <v>191</v>
      </c>
      <c r="B65" s="86"/>
      <c r="C65" s="86"/>
      <c r="D65" s="86"/>
      <c r="E65" s="86"/>
      <c r="F65" s="86"/>
      <c r="G65" s="86"/>
      <c r="H65" s="86"/>
    </row>
    <row r="67" spans="1:8" ht="14.25" customHeight="1" x14ac:dyDescent="0.2">
      <c r="A67" s="202" t="s">
        <v>90</v>
      </c>
      <c r="B67" s="212">
        <v>32</v>
      </c>
      <c r="C67" s="204" t="s">
        <v>132</v>
      </c>
      <c r="D67" s="111">
        <f>B17</f>
        <v>35509235.580000006</v>
      </c>
      <c r="E67" s="204" t="s">
        <v>92</v>
      </c>
      <c r="F67" s="599" t="s">
        <v>94</v>
      </c>
      <c r="G67" s="599"/>
      <c r="H67" s="213"/>
    </row>
    <row r="68" spans="1:8" ht="14.25" customHeight="1" x14ac:dyDescent="0.2">
      <c r="A68" s="86"/>
      <c r="B68" s="1">
        <v>1000</v>
      </c>
      <c r="C68" s="125" t="s">
        <v>92</v>
      </c>
      <c r="D68" s="593" t="s">
        <v>64</v>
      </c>
      <c r="E68" s="593"/>
      <c r="F68" s="1">
        <v>2000</v>
      </c>
      <c r="G68" s="125" t="s">
        <v>132</v>
      </c>
      <c r="H68" s="213"/>
    </row>
    <row r="70" spans="1:8" ht="14.25" customHeight="1" x14ac:dyDescent="0.2">
      <c r="A70" s="202" t="s">
        <v>90</v>
      </c>
      <c r="B70" s="200">
        <f>((B67/B68)*D67)/F68</f>
        <v>568.14776928000015</v>
      </c>
      <c r="C70" s="206" t="s">
        <v>94</v>
      </c>
      <c r="D70" s="86"/>
      <c r="E70" s="86"/>
      <c r="F70" s="86"/>
      <c r="G70" s="86"/>
      <c r="H70" s="86"/>
    </row>
    <row r="71" spans="1:8" ht="14.25" customHeight="1" x14ac:dyDescent="0.2">
      <c r="A71" s="86"/>
      <c r="B71" s="86"/>
      <c r="C71" s="198" t="s">
        <v>64</v>
      </c>
      <c r="D71" s="86"/>
      <c r="E71" s="86"/>
      <c r="F71" s="86"/>
      <c r="G71" s="86"/>
      <c r="H71" s="86"/>
    </row>
    <row r="73" spans="1:8" ht="14.25" customHeight="1" x14ac:dyDescent="0.2">
      <c r="A73" s="86" t="s">
        <v>98</v>
      </c>
      <c r="B73" s="86"/>
      <c r="C73" s="86"/>
      <c r="D73" s="86"/>
      <c r="E73" s="86"/>
      <c r="F73" s="86"/>
      <c r="G73" s="86"/>
      <c r="H73" s="86"/>
    </row>
    <row r="75" spans="1:8" ht="14.25" customHeight="1" x14ac:dyDescent="0.2">
      <c r="A75" s="202" t="s">
        <v>90</v>
      </c>
      <c r="B75" s="203">
        <v>0.76</v>
      </c>
      <c r="C75" s="204" t="s">
        <v>132</v>
      </c>
      <c r="D75" s="111">
        <f>D48</f>
        <v>52865163.960000008</v>
      </c>
      <c r="E75" s="204" t="s">
        <v>92</v>
      </c>
      <c r="F75" s="599" t="s">
        <v>94</v>
      </c>
      <c r="G75" s="599"/>
      <c r="H75" s="213"/>
    </row>
    <row r="76" spans="1:8" ht="14.25" customHeight="1" x14ac:dyDescent="0.2">
      <c r="A76" s="86"/>
      <c r="B76" s="1">
        <v>1000</v>
      </c>
      <c r="C76" s="125" t="s">
        <v>92</v>
      </c>
      <c r="D76" s="593" t="s">
        <v>64</v>
      </c>
      <c r="E76" s="593"/>
      <c r="F76" s="1">
        <v>2000</v>
      </c>
      <c r="G76" s="125" t="s">
        <v>132</v>
      </c>
      <c r="H76" s="213"/>
    </row>
    <row r="78" spans="1:8" ht="14.25" customHeight="1" x14ac:dyDescent="0.2">
      <c r="A78" s="202" t="s">
        <v>90</v>
      </c>
      <c r="B78" s="200">
        <f>((B75/B76)*D75)/F76</f>
        <v>20.088762304800007</v>
      </c>
      <c r="C78" s="206" t="s">
        <v>94</v>
      </c>
      <c r="D78" s="86"/>
      <c r="E78" s="86"/>
      <c r="F78" s="86"/>
      <c r="G78" s="86"/>
      <c r="H78" s="86"/>
    </row>
    <row r="79" spans="1:8" ht="14.25" customHeight="1" x14ac:dyDescent="0.2">
      <c r="A79" s="86"/>
      <c r="B79" s="86"/>
      <c r="C79" s="198" t="s">
        <v>64</v>
      </c>
      <c r="D79" s="86"/>
      <c r="E79" s="86"/>
      <c r="F79" s="86"/>
      <c r="G79" s="86"/>
      <c r="H79" s="86"/>
    </row>
    <row r="81" spans="1:8" ht="14.25" customHeight="1" x14ac:dyDescent="0.2">
      <c r="A81" s="86" t="s">
        <v>99</v>
      </c>
      <c r="B81" s="86"/>
      <c r="C81" s="86"/>
      <c r="D81" s="86"/>
      <c r="E81" s="86"/>
      <c r="F81" s="86"/>
      <c r="G81" s="86"/>
      <c r="H81" s="86"/>
    </row>
    <row r="83" spans="1:8" ht="14.25" customHeight="1" x14ac:dyDescent="0.2">
      <c r="A83" s="202" t="s">
        <v>90</v>
      </c>
      <c r="B83" s="203">
        <v>5</v>
      </c>
      <c r="C83" s="204" t="s">
        <v>132</v>
      </c>
      <c r="D83" s="111">
        <f>D75</f>
        <v>52865163.960000008</v>
      </c>
      <c r="E83" s="204" t="s">
        <v>92</v>
      </c>
      <c r="F83" s="599" t="s">
        <v>94</v>
      </c>
      <c r="G83" s="599"/>
      <c r="H83" s="213"/>
    </row>
    <row r="84" spans="1:8" ht="14.25" customHeight="1" x14ac:dyDescent="0.2">
      <c r="A84" s="86"/>
      <c r="B84" s="1">
        <v>1000</v>
      </c>
      <c r="C84" s="125" t="s">
        <v>92</v>
      </c>
      <c r="D84" s="593" t="s">
        <v>64</v>
      </c>
      <c r="E84" s="593"/>
      <c r="F84" s="1">
        <v>2000</v>
      </c>
      <c r="G84" s="125" t="s">
        <v>132</v>
      </c>
      <c r="H84" s="213"/>
    </row>
    <row r="86" spans="1:8" ht="14.25" customHeight="1" x14ac:dyDescent="0.2">
      <c r="A86" s="202" t="s">
        <v>90</v>
      </c>
      <c r="B86" s="200">
        <f>((B83/B84)*D83)/F84</f>
        <v>132.16290990000002</v>
      </c>
      <c r="C86" s="206" t="s">
        <v>94</v>
      </c>
      <c r="D86" s="86"/>
      <c r="E86" s="86"/>
      <c r="F86" s="86"/>
      <c r="G86" s="86"/>
      <c r="H86" s="86"/>
    </row>
    <row r="87" spans="1:8" ht="14.25" customHeight="1" x14ac:dyDescent="0.2">
      <c r="A87" s="86"/>
      <c r="B87" s="86"/>
      <c r="C87" s="198" t="s">
        <v>64</v>
      </c>
      <c r="D87" s="86"/>
      <c r="E87" s="86"/>
      <c r="F87" s="86"/>
      <c r="G87" s="86"/>
      <c r="H87" s="86"/>
    </row>
    <row r="89" spans="1:8" ht="14.25" customHeight="1" x14ac:dyDescent="0.2">
      <c r="A89" s="86" t="s">
        <v>100</v>
      </c>
      <c r="B89" s="86"/>
      <c r="C89" s="86"/>
      <c r="D89" s="86"/>
      <c r="E89" s="86"/>
      <c r="F89" s="86"/>
      <c r="G89" s="86"/>
      <c r="H89" s="86"/>
    </row>
    <row r="91" spans="1:8" ht="14.25" customHeight="1" x14ac:dyDescent="0.2">
      <c r="A91" s="202" t="s">
        <v>90</v>
      </c>
      <c r="B91" s="203">
        <v>1.5100000000000001E-3</v>
      </c>
      <c r="C91" s="204" t="s">
        <v>132</v>
      </c>
      <c r="D91" s="111">
        <f>D83</f>
        <v>52865163.960000008</v>
      </c>
      <c r="E91" s="204" t="s">
        <v>92</v>
      </c>
      <c r="F91" s="599" t="s">
        <v>94</v>
      </c>
      <c r="G91" s="599"/>
      <c r="H91" s="213"/>
    </row>
    <row r="92" spans="1:8" ht="14.25" customHeight="1" x14ac:dyDescent="0.2">
      <c r="A92" s="86"/>
      <c r="B92" s="1">
        <v>1000</v>
      </c>
      <c r="C92" s="125" t="s">
        <v>92</v>
      </c>
      <c r="D92" s="593" t="s">
        <v>64</v>
      </c>
      <c r="E92" s="593"/>
      <c r="F92" s="1">
        <v>2000</v>
      </c>
      <c r="G92" s="125" t="s">
        <v>132</v>
      </c>
      <c r="H92" s="213"/>
    </row>
    <row r="94" spans="1:8" ht="14.25" customHeight="1" x14ac:dyDescent="0.2">
      <c r="A94" s="202" t="s">
        <v>90</v>
      </c>
      <c r="B94" s="200">
        <f>((B91/B92)*D91)/F92</f>
        <v>3.9913198789800014E-2</v>
      </c>
      <c r="C94" s="206" t="s">
        <v>94</v>
      </c>
    </row>
    <row r="95" spans="1:8" ht="14.25" customHeight="1" x14ac:dyDescent="0.2">
      <c r="A95" s="86"/>
      <c r="B95" s="86"/>
      <c r="C95" s="198" t="s">
        <v>64</v>
      </c>
    </row>
    <row r="98" spans="1:8" ht="14.25" customHeight="1" x14ac:dyDescent="0.2">
      <c r="A98" s="86" t="s">
        <v>101</v>
      </c>
      <c r="B98" s="86"/>
      <c r="C98" s="86"/>
      <c r="D98" s="86"/>
      <c r="E98" s="86"/>
      <c r="F98" s="86"/>
      <c r="G98" s="86"/>
      <c r="H98" s="86"/>
    </row>
    <row r="100" spans="1:8" ht="14.25" customHeight="1" x14ac:dyDescent="0.2">
      <c r="A100" s="202" t="s">
        <v>90</v>
      </c>
      <c r="B100" s="209">
        <f>R14</f>
        <v>24.891205852956581</v>
      </c>
      <c r="C100" s="204" t="s">
        <v>132</v>
      </c>
      <c r="D100" s="111">
        <f>D91</f>
        <v>52865163.960000008</v>
      </c>
      <c r="E100" s="204" t="s">
        <v>92</v>
      </c>
      <c r="F100" s="599" t="s">
        <v>94</v>
      </c>
      <c r="G100" s="599"/>
      <c r="H100" s="213"/>
    </row>
    <row r="101" spans="1:8" ht="14.25" customHeight="1" x14ac:dyDescent="0.2">
      <c r="A101" s="86"/>
      <c r="B101" s="1"/>
      <c r="C101" s="125" t="s">
        <v>92</v>
      </c>
      <c r="D101" s="593" t="s">
        <v>64</v>
      </c>
      <c r="E101" s="593"/>
      <c r="F101" s="1">
        <v>2000</v>
      </c>
      <c r="G101" s="125" t="s">
        <v>132</v>
      </c>
      <c r="H101" s="213"/>
    </row>
    <row r="103" spans="1:8" ht="14.25" customHeight="1" x14ac:dyDescent="0.2">
      <c r="A103" s="202" t="s">
        <v>90</v>
      </c>
      <c r="B103" s="200">
        <f>B100*D100/F101</f>
        <v>657938.83928933076</v>
      </c>
      <c r="C103" s="206" t="s">
        <v>94</v>
      </c>
    </row>
    <row r="104" spans="1:8" ht="14.25" customHeight="1" x14ac:dyDescent="0.2">
      <c r="A104" s="86"/>
      <c r="B104" s="86"/>
      <c r="C104" s="198" t="s">
        <v>64</v>
      </c>
    </row>
  </sheetData>
  <mergeCells count="27">
    <mergeCell ref="A1:H1"/>
    <mergeCell ref="F23:G23"/>
    <mergeCell ref="B24:C24"/>
    <mergeCell ref="D24:E24"/>
    <mergeCell ref="H24:I24"/>
    <mergeCell ref="F31:G31"/>
    <mergeCell ref="B32:C32"/>
    <mergeCell ref="D32:E32"/>
    <mergeCell ref="H32:I32"/>
    <mergeCell ref="F40:G40"/>
    <mergeCell ref="B41:C41"/>
    <mergeCell ref="D41:E41"/>
    <mergeCell ref="H41:I41"/>
    <mergeCell ref="F48:G48"/>
    <mergeCell ref="D49:E49"/>
    <mergeCell ref="F59:G59"/>
    <mergeCell ref="D60:E60"/>
    <mergeCell ref="F67:G67"/>
    <mergeCell ref="D68:E68"/>
    <mergeCell ref="F75:G75"/>
    <mergeCell ref="F100:G100"/>
    <mergeCell ref="D101:E101"/>
    <mergeCell ref="D76:E76"/>
    <mergeCell ref="F83:G83"/>
    <mergeCell ref="D84:E84"/>
    <mergeCell ref="F91:G91"/>
    <mergeCell ref="D92:E92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83"/>
  <sheetViews>
    <sheetView zoomScaleNormal="100" workbookViewId="0">
      <selection sqref="A1:O1"/>
    </sheetView>
  </sheetViews>
  <sheetFormatPr defaultColWidth="8.7109375" defaultRowHeight="12.75" x14ac:dyDescent="0.2"/>
  <cols>
    <col min="1" max="2" width="18.28515625" customWidth="1"/>
    <col min="3" max="3" width="16.5703125" customWidth="1"/>
    <col min="4" max="4" width="12.42578125" customWidth="1"/>
    <col min="5" max="5" width="11.5703125" customWidth="1"/>
    <col min="6" max="6" width="13.5703125" customWidth="1"/>
    <col min="7" max="7" width="4" customWidth="1"/>
    <col min="8" max="8" width="8.42578125" customWidth="1"/>
    <col min="9" max="9" width="8.28515625" customWidth="1"/>
    <col min="10" max="10" width="5.5703125" customWidth="1"/>
    <col min="11" max="11" width="3.42578125" customWidth="1"/>
    <col min="12" max="12" width="4.5703125" customWidth="1"/>
    <col min="13" max="13" width="14" customWidth="1"/>
    <col min="14" max="14" width="8.5703125" customWidth="1"/>
    <col min="15" max="15" width="9.140625" customWidth="1"/>
    <col min="16" max="16" width="8.28515625" customWidth="1"/>
    <col min="17" max="17" width="1.7109375" customWidth="1"/>
    <col min="18" max="18" width="8" customWidth="1"/>
    <col min="19" max="19" width="8.28515625" customWidth="1"/>
    <col min="20" max="20" width="5.5703125" customWidth="1"/>
    <col min="21" max="21" width="3.42578125" customWidth="1"/>
  </cols>
  <sheetData>
    <row r="1" spans="1:24" ht="14.25" customHeight="1" x14ac:dyDescent="0.2">
      <c r="A1" s="594" t="s">
        <v>192</v>
      </c>
      <c r="B1" s="594"/>
      <c r="C1" s="594"/>
      <c r="D1" s="594"/>
      <c r="E1" s="594"/>
      <c r="F1" s="594"/>
      <c r="G1" s="594"/>
      <c r="H1" s="594"/>
      <c r="I1" s="594"/>
      <c r="J1" s="594"/>
      <c r="K1" s="594"/>
      <c r="L1" s="594"/>
      <c r="M1" s="594"/>
      <c r="N1" s="594"/>
      <c r="O1" s="594"/>
      <c r="P1" s="594"/>
    </row>
    <row r="2" spans="1:24" ht="14.25" customHeight="1" x14ac:dyDescent="0.2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</row>
    <row r="3" spans="1:24" ht="45.75" customHeight="1" x14ac:dyDescent="0.2">
      <c r="A3" s="106" t="s">
        <v>103</v>
      </c>
      <c r="B3" s="107" t="s">
        <v>104</v>
      </c>
      <c r="C3" s="107" t="s">
        <v>193</v>
      </c>
      <c r="D3" s="108" t="s">
        <v>106</v>
      </c>
      <c r="E3" s="108" t="s">
        <v>107</v>
      </c>
      <c r="M3" s="105"/>
      <c r="N3" s="105"/>
      <c r="O3" s="105"/>
      <c r="P3" s="105"/>
    </row>
    <row r="4" spans="1:24" ht="14.25" customHeight="1" x14ac:dyDescent="0.2">
      <c r="A4" s="109" t="s">
        <v>20</v>
      </c>
      <c r="B4" s="214">
        <v>9.2099392372881395E-2</v>
      </c>
      <c r="C4" s="214">
        <v>0.108058493511864</v>
      </c>
      <c r="D4" s="111">
        <f>B23</f>
        <v>583.7696826687453</v>
      </c>
      <c r="E4" s="112">
        <f>F23</f>
        <v>133.28074946775007</v>
      </c>
      <c r="J4" s="113"/>
      <c r="K4" s="114"/>
      <c r="L4" s="114"/>
      <c r="M4" s="105"/>
      <c r="N4" s="105"/>
      <c r="O4" s="105"/>
      <c r="P4" s="105"/>
    </row>
    <row r="5" spans="1:24" ht="14.25" customHeight="1" x14ac:dyDescent="0.2">
      <c r="A5" s="115" t="s">
        <v>21</v>
      </c>
      <c r="B5" s="214">
        <v>2.2429676537803301E-2</v>
      </c>
      <c r="C5" s="214">
        <v>9.4426363060370194E-3</v>
      </c>
      <c r="D5" s="118">
        <f>B29</f>
        <v>132.16249430386213</v>
      </c>
      <c r="E5" s="119">
        <f>F29</f>
        <v>30.17408545750277</v>
      </c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</row>
    <row r="6" spans="1:24" ht="14.25" customHeight="1" x14ac:dyDescent="0.2">
      <c r="A6" s="115" t="s">
        <v>22</v>
      </c>
      <c r="B6" s="116">
        <v>2.0999999999999999E-3</v>
      </c>
      <c r="C6" s="116">
        <v>8.3000000000000001E-3</v>
      </c>
      <c r="D6" s="118">
        <f>B35</f>
        <v>16.772077679544182</v>
      </c>
      <c r="E6" s="119">
        <f>F35</f>
        <v>3.8292414793479868</v>
      </c>
      <c r="F6" s="595" t="s">
        <v>108</v>
      </c>
      <c r="G6" s="595"/>
      <c r="H6" s="595"/>
      <c r="I6" s="595"/>
      <c r="J6" s="595"/>
      <c r="K6" s="595"/>
      <c r="L6" s="595"/>
      <c r="M6" s="595"/>
      <c r="N6" s="595"/>
      <c r="O6" s="120"/>
      <c r="P6" s="120"/>
    </row>
    <row r="7" spans="1:24" ht="14.25" customHeight="1" x14ac:dyDescent="0.2">
      <c r="A7" s="115" t="s">
        <v>17</v>
      </c>
      <c r="B7" s="116">
        <v>6.6E-3</v>
      </c>
      <c r="C7" s="116">
        <v>2.8400000000000002E-2</v>
      </c>
      <c r="D7" s="118">
        <f>B41</f>
        <v>54.08480101711428</v>
      </c>
      <c r="E7" s="119">
        <f>F41</f>
        <v>12.34812808609915</v>
      </c>
      <c r="F7" s="121" t="s">
        <v>109</v>
      </c>
      <c r="G7" s="122" t="s">
        <v>194</v>
      </c>
      <c r="I7" s="122"/>
      <c r="J7" s="122"/>
      <c r="K7" s="122"/>
      <c r="L7" s="122"/>
      <c r="M7" s="122"/>
      <c r="N7" s="122"/>
      <c r="O7" s="122"/>
      <c r="P7" s="122"/>
    </row>
    <row r="8" spans="1:24" ht="14.25" customHeight="1" x14ac:dyDescent="0.2">
      <c r="A8" s="115" t="s">
        <v>18</v>
      </c>
      <c r="B8" s="116">
        <v>6.6E-3</v>
      </c>
      <c r="C8" s="116">
        <v>3.5700000000000003E-2</v>
      </c>
      <c r="D8" s="118">
        <f>B47</f>
        <v>58.414285994876288</v>
      </c>
      <c r="E8" s="123">
        <f>F47</f>
        <v>13.336594975999152</v>
      </c>
      <c r="F8" s="124"/>
      <c r="G8" s="122" t="s">
        <v>195</v>
      </c>
      <c r="H8" s="122"/>
      <c r="I8" s="122"/>
      <c r="J8" s="122"/>
      <c r="K8" s="122"/>
      <c r="L8" s="122"/>
      <c r="M8" s="122"/>
      <c r="N8" s="122"/>
      <c r="O8" s="122"/>
    </row>
    <row r="9" spans="1:24" ht="14.25" customHeight="1" x14ac:dyDescent="0.2">
      <c r="A9" s="115" t="s">
        <v>40</v>
      </c>
      <c r="B9" s="116">
        <v>6.6E-3</v>
      </c>
      <c r="C9" s="116">
        <v>3.5700000000000003E-2</v>
      </c>
      <c r="D9" s="118">
        <f>B53</f>
        <v>58.414285994876288</v>
      </c>
      <c r="E9" s="119">
        <f>F53</f>
        <v>13.336594975999152</v>
      </c>
      <c r="F9" s="125"/>
      <c r="G9" s="122" t="s">
        <v>112</v>
      </c>
      <c r="H9" s="122"/>
      <c r="I9" s="122"/>
      <c r="J9" s="122"/>
      <c r="K9" s="122"/>
      <c r="L9" s="122"/>
      <c r="M9" s="122"/>
      <c r="N9" s="122"/>
      <c r="O9" s="122"/>
    </row>
    <row r="10" spans="1:24" ht="14.25" customHeight="1" x14ac:dyDescent="0.2">
      <c r="A10" s="115" t="s">
        <v>19</v>
      </c>
      <c r="B10" s="116">
        <v>2.8E-3</v>
      </c>
      <c r="C10" s="117" t="s">
        <v>196</v>
      </c>
      <c r="D10" s="118">
        <f>B59</f>
        <v>16.247110764577592</v>
      </c>
      <c r="E10" s="119">
        <f>F59</f>
        <v>3.7093860193099522</v>
      </c>
      <c r="F10" s="125"/>
      <c r="G10" s="125"/>
      <c r="H10" s="124"/>
      <c r="I10" s="124"/>
      <c r="J10" s="124"/>
      <c r="K10" s="124"/>
      <c r="L10" s="124"/>
      <c r="M10" s="124"/>
      <c r="N10" s="124"/>
      <c r="O10" s="124"/>
      <c r="P10" s="124"/>
    </row>
    <row r="11" spans="1:24" ht="14.25" customHeight="1" x14ac:dyDescent="0.2">
      <c r="A11" s="115" t="s">
        <v>42</v>
      </c>
      <c r="B11" s="116">
        <v>4.2999999999999999E-4</v>
      </c>
      <c r="C11" s="116">
        <v>7.7000000000000002E-3</v>
      </c>
      <c r="D11" s="118">
        <f>B65</f>
        <v>6.9930457952294969</v>
      </c>
      <c r="E11" s="119">
        <f>F65</f>
        <v>1.5965857979976019</v>
      </c>
      <c r="F11" s="127" t="s">
        <v>114</v>
      </c>
      <c r="G11" s="122" t="s">
        <v>115</v>
      </c>
      <c r="H11" s="122"/>
      <c r="I11" s="122"/>
      <c r="J11" s="122"/>
      <c r="K11" s="122"/>
      <c r="L11" s="122"/>
      <c r="N11" s="124"/>
      <c r="O11" s="124"/>
      <c r="P11" s="124"/>
      <c r="V11" t="s">
        <v>24</v>
      </c>
      <c r="W11">
        <f>(73.96+0.003*25+0.0006*298)*2.2046*0.138</f>
        <v>22.578420600240001</v>
      </c>
      <c r="X11" t="s">
        <v>116</v>
      </c>
    </row>
    <row r="12" spans="1:24" ht="14.25" customHeight="1" x14ac:dyDescent="0.2">
      <c r="A12" s="115" t="s">
        <v>23</v>
      </c>
      <c r="B12" s="116">
        <v>0</v>
      </c>
      <c r="C12" s="116">
        <v>9.0000000000000002E-6</v>
      </c>
      <c r="D12" s="118">
        <f>B71</f>
        <v>5.3377212054600024E-3</v>
      </c>
      <c r="E12" s="119">
        <f>F71</f>
        <v>1.2186578094657539E-3</v>
      </c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W12">
        <f>(475409.8+224+267)*2204.62/8707340462.38</f>
        <v>0.12049378638965323</v>
      </c>
      <c r="X12" t="s">
        <v>117</v>
      </c>
    </row>
    <row r="13" spans="1:24" ht="14.25" customHeight="1" x14ac:dyDescent="0.2">
      <c r="A13" s="115" t="s">
        <v>24</v>
      </c>
      <c r="B13" s="116" t="s">
        <v>197</v>
      </c>
      <c r="C13" s="116" t="s">
        <v>119</v>
      </c>
      <c r="D13" s="129">
        <f>B77</f>
        <v>763604.73289371177</v>
      </c>
      <c r="E13" s="130">
        <f>F77</f>
        <v>174338.98011271958</v>
      </c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</row>
    <row r="14" spans="1:24" ht="14.25" customHeight="1" x14ac:dyDescent="0.2">
      <c r="A14" s="131" t="s">
        <v>43</v>
      </c>
      <c r="B14" s="132">
        <v>0</v>
      </c>
      <c r="C14" s="133">
        <v>0</v>
      </c>
      <c r="D14" s="134">
        <v>0</v>
      </c>
      <c r="E14" s="135">
        <v>0</v>
      </c>
      <c r="F14" s="105"/>
      <c r="G14" s="105"/>
      <c r="H14" s="113">
        <f>B23+'Cálculos SJ'!B62+'Cálculos SJ6'!D4+'Cálculos SJ'!B70</f>
        <v>1790.4368578214514</v>
      </c>
      <c r="I14" s="105"/>
      <c r="J14" s="105"/>
      <c r="K14" s="105"/>
      <c r="L14" s="105"/>
      <c r="M14" s="105"/>
      <c r="N14" s="105"/>
      <c r="O14" s="105"/>
      <c r="P14" s="105"/>
    </row>
    <row r="15" spans="1:24" ht="14.25" customHeight="1" x14ac:dyDescent="0.2">
      <c r="A15" s="136"/>
      <c r="B15" s="136"/>
      <c r="C15" s="136"/>
      <c r="D15" s="136"/>
      <c r="E15" s="113"/>
      <c r="H15" s="105"/>
      <c r="I15" s="105"/>
      <c r="J15" s="105"/>
      <c r="K15" s="105"/>
      <c r="L15" s="105"/>
      <c r="M15" s="105"/>
      <c r="N15" s="105"/>
      <c r="O15" s="105"/>
      <c r="P15" s="105"/>
    </row>
    <row r="16" spans="1:24" ht="14.25" customHeight="1" x14ac:dyDescent="0.2">
      <c r="A16" s="137" t="s">
        <v>473</v>
      </c>
      <c r="B16" s="138">
        <f>SUM('San Juan'!D35)</f>
        <v>8595364.2600000016</v>
      </c>
      <c r="C16" s="138"/>
      <c r="D16" s="139" t="s">
        <v>87</v>
      </c>
      <c r="H16" s="105"/>
      <c r="I16" s="105"/>
      <c r="J16" s="105"/>
      <c r="K16" s="105"/>
      <c r="L16" s="105"/>
      <c r="M16" s="105"/>
      <c r="N16" s="105"/>
      <c r="O16" s="105"/>
      <c r="P16" s="105"/>
    </row>
    <row r="17" spans="1:21" ht="14.25" customHeight="1" x14ac:dyDescent="0.2">
      <c r="A17" s="140" t="s">
        <v>472</v>
      </c>
      <c r="B17" s="141">
        <f>SUM('San Juan'!N35)</f>
        <v>11063970651.58</v>
      </c>
      <c r="C17" s="141"/>
      <c r="D17" s="114" t="s">
        <v>120</v>
      </c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</row>
    <row r="18" spans="1:21" ht="14.25" customHeight="1" x14ac:dyDescent="0.25">
      <c r="A18" s="88" t="s">
        <v>198</v>
      </c>
      <c r="B18" s="215">
        <f>SUM('San Juan'!F35)</f>
        <v>7.474999999999999E-4</v>
      </c>
      <c r="D18" t="s">
        <v>122</v>
      </c>
      <c r="M18" s="105"/>
      <c r="N18" s="105"/>
      <c r="O18" s="105"/>
      <c r="P18" s="105"/>
    </row>
    <row r="19" spans="1:21" ht="14.25" customHeight="1" x14ac:dyDescent="0.2">
      <c r="A19" s="105"/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</row>
    <row r="20" spans="1:21" ht="14.25" customHeight="1" x14ac:dyDescent="0.2">
      <c r="A20" s="143" t="s">
        <v>123</v>
      </c>
      <c r="B20" s="144">
        <f>B16</f>
        <v>8595364.2600000016</v>
      </c>
      <c r="C20" s="145"/>
      <c r="D20" s="146" t="s">
        <v>124</v>
      </c>
      <c r="E20" s="147">
        <v>0.13800000000000001</v>
      </c>
      <c r="F20" s="148" t="s">
        <v>125</v>
      </c>
      <c r="G20" s="593" t="s">
        <v>126</v>
      </c>
      <c r="H20" s="216">
        <f>C4</f>
        <v>0.108058493511864</v>
      </c>
      <c r="I20" s="150" t="s">
        <v>127</v>
      </c>
      <c r="J20" s="149">
        <v>1</v>
      </c>
      <c r="K20" s="149" t="s">
        <v>94</v>
      </c>
      <c r="L20" s="151" t="s">
        <v>128</v>
      </c>
      <c r="M20" s="152">
        <f>B17</f>
        <v>11063970651.58</v>
      </c>
      <c r="N20" s="148" t="s">
        <v>129</v>
      </c>
      <c r="O20" s="144">
        <v>1020</v>
      </c>
      <c r="P20" s="146" t="s">
        <v>130</v>
      </c>
      <c r="Q20" s="593" t="s">
        <v>126</v>
      </c>
      <c r="R20" s="216">
        <f>B4</f>
        <v>9.2099392372881395E-2</v>
      </c>
      <c r="S20" s="150" t="s">
        <v>127</v>
      </c>
      <c r="T20" s="149">
        <v>1</v>
      </c>
      <c r="U20" s="149" t="s">
        <v>94</v>
      </c>
    </row>
    <row r="21" spans="1:21" ht="14.25" customHeight="1" x14ac:dyDescent="0.2">
      <c r="A21" s="125"/>
      <c r="B21" s="1"/>
      <c r="C21" s="125"/>
      <c r="D21" s="153" t="s">
        <v>64</v>
      </c>
      <c r="E21" s="125"/>
      <c r="F21" s="154" t="s">
        <v>92</v>
      </c>
      <c r="G21" s="593"/>
      <c r="H21" s="105"/>
      <c r="I21" s="155" t="s">
        <v>131</v>
      </c>
      <c r="J21" s="156">
        <v>2000</v>
      </c>
      <c r="K21" s="105" t="s">
        <v>132</v>
      </c>
      <c r="L21" s="125"/>
      <c r="M21" s="125"/>
      <c r="N21" s="154" t="s">
        <v>64</v>
      </c>
      <c r="O21" s="157">
        <v>1000000</v>
      </c>
      <c r="P21" s="153" t="s">
        <v>73</v>
      </c>
      <c r="Q21" s="593"/>
      <c r="R21" s="105"/>
      <c r="S21" s="155" t="s">
        <v>131</v>
      </c>
      <c r="T21" s="156">
        <v>2000</v>
      </c>
      <c r="U21" s="105" t="s">
        <v>132</v>
      </c>
    </row>
    <row r="22" spans="1:21" ht="14.25" customHeight="1" x14ac:dyDescent="0.2">
      <c r="A22" s="105"/>
      <c r="B22" s="105"/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</row>
    <row r="23" spans="1:21" ht="14.25" customHeight="1" x14ac:dyDescent="0.25">
      <c r="A23" s="143"/>
      <c r="B23" s="158">
        <f>(B20*E20*H20+M20*O20*R20/1000000)/2000</f>
        <v>583.7696826687453</v>
      </c>
      <c r="C23" s="158"/>
      <c r="D23" s="105" t="s">
        <v>133</v>
      </c>
      <c r="E23" s="143" t="s">
        <v>90</v>
      </c>
      <c r="F23" s="113">
        <f>B23*(2000/8760)</f>
        <v>133.28074946775007</v>
      </c>
      <c r="G23" s="105" t="s">
        <v>134</v>
      </c>
      <c r="H23" s="159"/>
      <c r="I23" s="105"/>
      <c r="J23" s="105"/>
      <c r="K23" s="105"/>
      <c r="L23" s="105"/>
      <c r="M23" s="105"/>
      <c r="N23" s="105"/>
      <c r="O23" s="105"/>
      <c r="P23" s="105"/>
    </row>
    <row r="24" spans="1:21" ht="14.25" customHeight="1" x14ac:dyDescent="0.2">
      <c r="A24" s="105"/>
      <c r="B24" s="105"/>
      <c r="C24" s="105"/>
      <c r="D24" s="105"/>
      <c r="E24" s="105"/>
      <c r="F24" s="105"/>
      <c r="G24" s="105"/>
      <c r="H24" s="160"/>
      <c r="I24" s="160"/>
      <c r="J24" s="160"/>
      <c r="K24" s="105"/>
      <c r="L24" s="105"/>
      <c r="M24" s="105"/>
      <c r="N24" s="105"/>
      <c r="O24" s="105"/>
      <c r="P24" s="105"/>
    </row>
    <row r="25" spans="1:21" ht="14.25" customHeight="1" x14ac:dyDescent="0.2">
      <c r="A25" s="105"/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</row>
    <row r="26" spans="1:21" ht="14.25" customHeight="1" x14ac:dyDescent="0.2">
      <c r="A26" s="143" t="s">
        <v>135</v>
      </c>
      <c r="B26" s="144">
        <f>B16</f>
        <v>8595364.2600000016</v>
      </c>
      <c r="C26" s="145"/>
      <c r="D26" s="146" t="s">
        <v>124</v>
      </c>
      <c r="E26" s="147">
        <v>0.13800000000000001</v>
      </c>
      <c r="F26" s="148" t="s">
        <v>125</v>
      </c>
      <c r="G26" s="593" t="s">
        <v>126</v>
      </c>
      <c r="H26" s="216">
        <f>C5</f>
        <v>9.4426363060370194E-3</v>
      </c>
      <c r="I26" s="150" t="s">
        <v>127</v>
      </c>
      <c r="J26" s="149">
        <v>1</v>
      </c>
      <c r="K26" s="149" t="s">
        <v>94</v>
      </c>
      <c r="L26" s="151" t="s">
        <v>128</v>
      </c>
      <c r="M26" s="152">
        <f>B17</f>
        <v>11063970651.58</v>
      </c>
      <c r="N26" s="146" t="s">
        <v>129</v>
      </c>
      <c r="O26" s="145">
        <v>1020</v>
      </c>
      <c r="P26" s="146" t="s">
        <v>130</v>
      </c>
      <c r="Q26" s="1" t="s">
        <v>126</v>
      </c>
      <c r="R26" s="216">
        <f>B5</f>
        <v>2.2429676537803301E-2</v>
      </c>
      <c r="S26" s="150" t="s">
        <v>127</v>
      </c>
      <c r="T26" s="161">
        <v>1</v>
      </c>
      <c r="U26" s="149" t="s">
        <v>94</v>
      </c>
    </row>
    <row r="27" spans="1:21" ht="14.25" customHeight="1" x14ac:dyDescent="0.2">
      <c r="A27" s="125"/>
      <c r="B27" s="1"/>
      <c r="C27" s="125"/>
      <c r="D27" s="153" t="s">
        <v>64</v>
      </c>
      <c r="E27" s="125"/>
      <c r="F27" s="162" t="s">
        <v>92</v>
      </c>
      <c r="G27" s="593"/>
      <c r="H27" s="105"/>
      <c r="I27" s="155" t="s">
        <v>131</v>
      </c>
      <c r="J27" s="156">
        <v>2000</v>
      </c>
      <c r="K27" s="105" t="s">
        <v>132</v>
      </c>
      <c r="L27" s="125"/>
      <c r="M27" s="125"/>
      <c r="N27" s="153" t="s">
        <v>64</v>
      </c>
      <c r="O27" s="163">
        <v>1000000</v>
      </c>
      <c r="P27" s="153" t="s">
        <v>73</v>
      </c>
      <c r="Q27" s="1"/>
      <c r="R27" s="105"/>
      <c r="S27" s="155" t="s">
        <v>131</v>
      </c>
      <c r="T27" s="164">
        <v>2000</v>
      </c>
      <c r="U27" s="105" t="s">
        <v>132</v>
      </c>
    </row>
    <row r="28" spans="1:21" ht="14.25" customHeight="1" x14ac:dyDescent="0.2">
      <c r="A28" s="105"/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</row>
    <row r="29" spans="1:21" ht="14.25" customHeight="1" x14ac:dyDescent="0.2">
      <c r="A29" s="143"/>
      <c r="B29" s="158">
        <f>(B26*E26*H26+M26*O26*R26/1000000)/2000</f>
        <v>132.16249430386213</v>
      </c>
      <c r="C29" s="158"/>
      <c r="D29" s="105" t="s">
        <v>133</v>
      </c>
      <c r="E29" s="143" t="s">
        <v>90</v>
      </c>
      <c r="F29" s="113">
        <f>B29*(2000/8760)</f>
        <v>30.17408545750277</v>
      </c>
      <c r="G29" s="105" t="s">
        <v>134</v>
      </c>
      <c r="I29" s="105"/>
      <c r="J29" s="105"/>
      <c r="K29" s="105"/>
      <c r="L29" s="105"/>
      <c r="M29" s="105"/>
      <c r="N29" s="105"/>
      <c r="O29" s="105"/>
      <c r="P29" s="105"/>
    </row>
    <row r="30" spans="1:21" ht="14.25" customHeight="1" x14ac:dyDescent="0.2">
      <c r="A30" s="105"/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</row>
    <row r="31" spans="1:21" ht="14.25" customHeight="1" x14ac:dyDescent="0.2">
      <c r="A31" s="105"/>
      <c r="B31" s="105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</row>
    <row r="32" spans="1:21" ht="14.25" customHeight="1" x14ac:dyDescent="0.2">
      <c r="A32" s="143" t="s">
        <v>136</v>
      </c>
      <c r="B32" s="144">
        <f>B16</f>
        <v>8595364.2600000016</v>
      </c>
      <c r="C32" s="145"/>
      <c r="D32" s="146" t="s">
        <v>124</v>
      </c>
      <c r="E32" s="147">
        <v>0.13800000000000001</v>
      </c>
      <c r="F32" s="148" t="s">
        <v>125</v>
      </c>
      <c r="G32" s="593" t="s">
        <v>126</v>
      </c>
      <c r="H32" s="149">
        <f>C6</f>
        <v>8.3000000000000001E-3</v>
      </c>
      <c r="I32" s="150" t="s">
        <v>127</v>
      </c>
      <c r="J32" s="149">
        <v>1</v>
      </c>
      <c r="K32" s="149" t="s">
        <v>94</v>
      </c>
      <c r="L32" s="151" t="s">
        <v>128</v>
      </c>
      <c r="M32" s="152">
        <f>B17</f>
        <v>11063970651.58</v>
      </c>
      <c r="N32" s="146" t="s">
        <v>129</v>
      </c>
      <c r="O32" s="145">
        <v>1020</v>
      </c>
      <c r="P32" s="146" t="s">
        <v>130</v>
      </c>
      <c r="Q32" s="1" t="s">
        <v>126</v>
      </c>
      <c r="R32" s="149">
        <f>B6</f>
        <v>2.0999999999999999E-3</v>
      </c>
      <c r="S32" s="150" t="s">
        <v>127</v>
      </c>
      <c r="T32" s="149">
        <v>1</v>
      </c>
      <c r="U32" s="149" t="s">
        <v>94</v>
      </c>
    </row>
    <row r="33" spans="1:21" ht="14.25" customHeight="1" x14ac:dyDescent="0.2">
      <c r="A33" s="125"/>
      <c r="B33" s="1"/>
      <c r="C33" s="125"/>
      <c r="D33" s="153" t="s">
        <v>64</v>
      </c>
      <c r="E33" s="125"/>
      <c r="F33" s="154" t="s">
        <v>92</v>
      </c>
      <c r="G33" s="593"/>
      <c r="H33" s="105"/>
      <c r="I33" s="155" t="s">
        <v>131</v>
      </c>
      <c r="J33" s="156">
        <v>2000</v>
      </c>
      <c r="K33" s="105" t="s">
        <v>132</v>
      </c>
      <c r="L33" s="125"/>
      <c r="M33" s="125"/>
      <c r="N33" s="153" t="s">
        <v>64</v>
      </c>
      <c r="O33" s="163">
        <v>1000000</v>
      </c>
      <c r="P33" s="153" t="s">
        <v>73</v>
      </c>
      <c r="Q33" s="1"/>
      <c r="R33" s="105"/>
      <c r="S33" s="155" t="s">
        <v>131</v>
      </c>
      <c r="T33" s="156">
        <v>2000</v>
      </c>
      <c r="U33" s="105" t="s">
        <v>132</v>
      </c>
    </row>
    <row r="34" spans="1:21" ht="14.25" customHeight="1" x14ac:dyDescent="0.2">
      <c r="A34" s="105"/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</row>
    <row r="35" spans="1:21" ht="14.25" customHeight="1" x14ac:dyDescent="0.2">
      <c r="A35" s="143"/>
      <c r="B35" s="158">
        <f>(B32*E32*H32+M32*O32*R32/1000000)/2000</f>
        <v>16.772077679544182</v>
      </c>
      <c r="C35" s="158"/>
      <c r="D35" s="105" t="s">
        <v>133</v>
      </c>
      <c r="E35" s="143" t="s">
        <v>90</v>
      </c>
      <c r="F35" s="113">
        <f>B35*(2000/8760)</f>
        <v>3.8292414793479868</v>
      </c>
      <c r="G35" s="105" t="s">
        <v>134</v>
      </c>
      <c r="I35" s="105"/>
      <c r="J35" s="105"/>
      <c r="K35" s="105"/>
      <c r="L35" s="105"/>
      <c r="M35" s="105"/>
      <c r="N35" s="105"/>
      <c r="O35" s="105"/>
      <c r="P35" s="105"/>
    </row>
    <row r="36" spans="1:21" ht="14.25" customHeight="1" x14ac:dyDescent="0.2">
      <c r="A36" s="105"/>
      <c r="B36" s="105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</row>
    <row r="37" spans="1:21" ht="14.25" customHeight="1" x14ac:dyDescent="0.2">
      <c r="A37" s="105"/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105"/>
    </row>
    <row r="38" spans="1:21" ht="14.25" customHeight="1" x14ac:dyDescent="0.2">
      <c r="A38" s="143" t="s">
        <v>137</v>
      </c>
      <c r="B38" s="144">
        <f>B16</f>
        <v>8595364.2600000016</v>
      </c>
      <c r="C38" s="145"/>
      <c r="D38" s="146" t="s">
        <v>124</v>
      </c>
      <c r="E38" s="147">
        <v>0.13800000000000001</v>
      </c>
      <c r="F38" s="148" t="s">
        <v>125</v>
      </c>
      <c r="G38" s="593" t="s">
        <v>126</v>
      </c>
      <c r="H38" s="149">
        <f>C7</f>
        <v>2.8400000000000002E-2</v>
      </c>
      <c r="I38" s="150" t="s">
        <v>127</v>
      </c>
      <c r="J38" s="149">
        <v>1</v>
      </c>
      <c r="K38" s="149" t="s">
        <v>94</v>
      </c>
      <c r="L38" s="151" t="s">
        <v>128</v>
      </c>
      <c r="M38" s="152">
        <f>B17</f>
        <v>11063970651.58</v>
      </c>
      <c r="N38" s="146" t="s">
        <v>129</v>
      </c>
      <c r="O38" s="145">
        <v>1020</v>
      </c>
      <c r="P38" s="146" t="s">
        <v>130</v>
      </c>
      <c r="Q38" s="1" t="s">
        <v>126</v>
      </c>
      <c r="R38" s="149">
        <f>B7</f>
        <v>6.6E-3</v>
      </c>
      <c r="S38" s="150" t="s">
        <v>127</v>
      </c>
      <c r="T38" s="149">
        <v>1</v>
      </c>
      <c r="U38" s="149" t="s">
        <v>94</v>
      </c>
    </row>
    <row r="39" spans="1:21" ht="14.25" customHeight="1" x14ac:dyDescent="0.2">
      <c r="A39" s="125"/>
      <c r="B39" s="1"/>
      <c r="C39" s="125"/>
      <c r="D39" s="153" t="s">
        <v>64</v>
      </c>
      <c r="E39" s="125"/>
      <c r="F39" s="154" t="s">
        <v>92</v>
      </c>
      <c r="G39" s="593"/>
      <c r="H39" s="105"/>
      <c r="I39" s="155" t="s">
        <v>131</v>
      </c>
      <c r="J39" s="156">
        <v>2000</v>
      </c>
      <c r="K39" s="105" t="s">
        <v>132</v>
      </c>
      <c r="L39" s="125"/>
      <c r="M39" s="125"/>
      <c r="N39" s="153" t="s">
        <v>64</v>
      </c>
      <c r="O39" s="163">
        <v>1000000</v>
      </c>
      <c r="P39" s="153" t="s">
        <v>73</v>
      </c>
      <c r="Q39" s="1"/>
      <c r="R39" s="105"/>
      <c r="S39" s="155" t="s">
        <v>131</v>
      </c>
      <c r="T39" s="156">
        <v>2000</v>
      </c>
      <c r="U39" s="105" t="s">
        <v>132</v>
      </c>
    </row>
    <row r="40" spans="1:21" ht="14.25" customHeight="1" x14ac:dyDescent="0.2">
      <c r="A40" s="105"/>
      <c r="B40" s="105"/>
      <c r="C40" s="105"/>
      <c r="D40" s="105"/>
      <c r="E40" s="105"/>
      <c r="F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</row>
    <row r="41" spans="1:21" ht="14.25" customHeight="1" x14ac:dyDescent="0.2">
      <c r="A41" s="143"/>
      <c r="B41" s="158">
        <f>(B38*E38*H38+M38*O38*R38/1000000)/2000</f>
        <v>54.08480101711428</v>
      </c>
      <c r="C41" s="158"/>
      <c r="D41" s="105" t="s">
        <v>133</v>
      </c>
      <c r="E41" s="143" t="s">
        <v>90</v>
      </c>
      <c r="F41" s="113">
        <f>B41*(2000/8760)</f>
        <v>12.34812808609915</v>
      </c>
      <c r="G41" s="105" t="s">
        <v>134</v>
      </c>
      <c r="L41" s="105" t="s">
        <v>134</v>
      </c>
      <c r="N41" s="105"/>
      <c r="O41" s="105"/>
      <c r="P41" s="105"/>
      <c r="Q41" s="105"/>
      <c r="R41" s="105"/>
      <c r="S41" s="105"/>
      <c r="T41" s="105"/>
      <c r="U41" s="105"/>
    </row>
    <row r="42" spans="1:21" ht="14.25" customHeight="1" x14ac:dyDescent="0.2">
      <c r="A42" s="143"/>
      <c r="B42" s="158"/>
      <c r="C42" s="158"/>
      <c r="D42" s="105"/>
      <c r="E42" s="143"/>
      <c r="F42" s="113"/>
      <c r="L42" s="105"/>
      <c r="N42" s="105"/>
      <c r="O42" s="105"/>
      <c r="P42" s="105"/>
      <c r="Q42" s="105"/>
      <c r="R42" s="105"/>
      <c r="S42" s="105"/>
      <c r="T42" s="105"/>
      <c r="U42" s="105"/>
    </row>
    <row r="43" spans="1:21" ht="14.25" customHeight="1" x14ac:dyDescent="0.2">
      <c r="A43" s="143"/>
      <c r="B43" s="158"/>
      <c r="C43" s="158"/>
      <c r="D43" s="105"/>
      <c r="E43" s="143"/>
      <c r="F43" s="113"/>
      <c r="L43" s="105"/>
      <c r="N43" s="105"/>
      <c r="O43" s="105"/>
      <c r="P43" s="105"/>
      <c r="Q43" s="105"/>
      <c r="R43" s="105"/>
      <c r="S43" s="105"/>
      <c r="T43" s="105"/>
      <c r="U43" s="105"/>
    </row>
    <row r="44" spans="1:21" ht="14.25" customHeight="1" x14ac:dyDescent="0.2">
      <c r="A44" s="143" t="s">
        <v>138</v>
      </c>
      <c r="B44" s="144">
        <f>B16</f>
        <v>8595364.2600000016</v>
      </c>
      <c r="C44" s="145"/>
      <c r="D44" s="146" t="s">
        <v>124</v>
      </c>
      <c r="E44" s="147">
        <v>0.13800000000000001</v>
      </c>
      <c r="F44" s="148" t="s">
        <v>125</v>
      </c>
      <c r="G44" s="593" t="s">
        <v>126</v>
      </c>
      <c r="H44" s="149">
        <f>C8</f>
        <v>3.5700000000000003E-2</v>
      </c>
      <c r="I44" s="150" t="s">
        <v>127</v>
      </c>
      <c r="J44" s="149">
        <v>1</v>
      </c>
      <c r="K44" s="149" t="s">
        <v>94</v>
      </c>
      <c r="L44" s="151" t="s">
        <v>128</v>
      </c>
      <c r="M44" s="152">
        <f>B17</f>
        <v>11063970651.58</v>
      </c>
      <c r="N44" s="146" t="s">
        <v>129</v>
      </c>
      <c r="O44" s="145">
        <v>1020</v>
      </c>
      <c r="P44" s="146" t="s">
        <v>130</v>
      </c>
      <c r="Q44" s="1" t="s">
        <v>126</v>
      </c>
      <c r="R44" s="149">
        <f>B8</f>
        <v>6.6E-3</v>
      </c>
      <c r="S44" s="150" t="s">
        <v>127</v>
      </c>
      <c r="T44" s="149">
        <v>1</v>
      </c>
      <c r="U44" s="149" t="s">
        <v>94</v>
      </c>
    </row>
    <row r="45" spans="1:21" ht="14.25" customHeight="1" x14ac:dyDescent="0.2">
      <c r="A45" s="125"/>
      <c r="B45" s="1"/>
      <c r="C45" s="125"/>
      <c r="D45" s="153" t="s">
        <v>64</v>
      </c>
      <c r="E45" s="125"/>
      <c r="F45" s="154" t="s">
        <v>92</v>
      </c>
      <c r="G45" s="593"/>
      <c r="H45" s="105"/>
      <c r="I45" s="155" t="s">
        <v>131</v>
      </c>
      <c r="J45" s="156">
        <v>2000</v>
      </c>
      <c r="K45" s="105" t="s">
        <v>132</v>
      </c>
      <c r="L45" s="125"/>
      <c r="M45" s="125"/>
      <c r="N45" s="153" t="s">
        <v>64</v>
      </c>
      <c r="O45" s="163">
        <v>1000000</v>
      </c>
      <c r="P45" s="153" t="s">
        <v>73</v>
      </c>
      <c r="Q45" s="1"/>
      <c r="R45" s="105"/>
      <c r="S45" s="155" t="s">
        <v>131</v>
      </c>
      <c r="T45" s="156">
        <v>2000</v>
      </c>
      <c r="U45" s="105" t="s">
        <v>132</v>
      </c>
    </row>
    <row r="46" spans="1:21" ht="14.25" customHeight="1" x14ac:dyDescent="0.2">
      <c r="A46" s="105"/>
      <c r="B46" s="105"/>
      <c r="C46" s="105"/>
      <c r="D46" s="105"/>
      <c r="E46" s="105"/>
      <c r="F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</row>
    <row r="47" spans="1:21" ht="14.25" customHeight="1" x14ac:dyDescent="0.2">
      <c r="A47" s="143"/>
      <c r="B47" s="158">
        <f>(B44*E44*H44+M44*O44*R44/1000000)/2000</f>
        <v>58.414285994876288</v>
      </c>
      <c r="C47" s="158"/>
      <c r="D47" s="105" t="s">
        <v>133</v>
      </c>
      <c r="E47" s="143" t="s">
        <v>90</v>
      </c>
      <c r="F47" s="113">
        <f>B47*(2000/8760)</f>
        <v>13.336594975999152</v>
      </c>
      <c r="G47" s="105" t="s">
        <v>134</v>
      </c>
      <c r="L47" s="105" t="s">
        <v>134</v>
      </c>
      <c r="N47" s="105"/>
      <c r="O47" s="105"/>
      <c r="P47" s="105"/>
      <c r="Q47" s="105"/>
      <c r="R47" s="105"/>
      <c r="S47" s="105"/>
      <c r="T47" s="105"/>
      <c r="U47" s="105"/>
    </row>
    <row r="48" spans="1:21" ht="14.25" customHeight="1" x14ac:dyDescent="0.2">
      <c r="A48" s="105"/>
      <c r="B48" s="105"/>
      <c r="C48" s="105"/>
      <c r="D48" s="105"/>
      <c r="E48" s="105"/>
      <c r="F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</row>
    <row r="49" spans="1:21" ht="14.25" customHeight="1" x14ac:dyDescent="0.2">
      <c r="A49" s="105"/>
      <c r="B49" s="105"/>
      <c r="C49" s="105"/>
      <c r="D49" s="105"/>
      <c r="E49" s="105"/>
      <c r="F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</row>
    <row r="50" spans="1:21" ht="14.25" customHeight="1" x14ac:dyDescent="0.2">
      <c r="A50" s="143" t="s">
        <v>139</v>
      </c>
      <c r="B50" s="144">
        <f>B16</f>
        <v>8595364.2600000016</v>
      </c>
      <c r="C50" s="145"/>
      <c r="D50" s="146" t="s">
        <v>124</v>
      </c>
      <c r="E50" s="147">
        <v>0.13800000000000001</v>
      </c>
      <c r="F50" s="148" t="s">
        <v>125</v>
      </c>
      <c r="G50" s="593" t="s">
        <v>126</v>
      </c>
      <c r="H50" s="149">
        <f>C9</f>
        <v>3.5700000000000003E-2</v>
      </c>
      <c r="I50" s="150" t="s">
        <v>127</v>
      </c>
      <c r="J50" s="149">
        <v>1</v>
      </c>
      <c r="K50" s="149" t="s">
        <v>94</v>
      </c>
      <c r="L50" s="151" t="s">
        <v>128</v>
      </c>
      <c r="M50" s="152">
        <f>B17</f>
        <v>11063970651.58</v>
      </c>
      <c r="N50" s="146" t="s">
        <v>129</v>
      </c>
      <c r="O50" s="145">
        <v>1020</v>
      </c>
      <c r="P50" s="146" t="s">
        <v>130</v>
      </c>
      <c r="Q50" s="1" t="s">
        <v>126</v>
      </c>
      <c r="R50" s="149">
        <f>B9</f>
        <v>6.6E-3</v>
      </c>
      <c r="S50" s="150" t="s">
        <v>127</v>
      </c>
      <c r="T50" s="149">
        <v>1</v>
      </c>
      <c r="U50" s="149" t="s">
        <v>94</v>
      </c>
    </row>
    <row r="51" spans="1:21" ht="14.25" customHeight="1" x14ac:dyDescent="0.2">
      <c r="A51" s="125"/>
      <c r="B51" s="1"/>
      <c r="C51" s="125"/>
      <c r="D51" s="153" t="s">
        <v>64</v>
      </c>
      <c r="E51" s="125"/>
      <c r="F51" s="154" t="s">
        <v>92</v>
      </c>
      <c r="G51" s="593"/>
      <c r="H51" s="105"/>
      <c r="I51" s="155" t="s">
        <v>131</v>
      </c>
      <c r="J51" s="156">
        <v>2000</v>
      </c>
      <c r="K51" s="105" t="s">
        <v>132</v>
      </c>
      <c r="L51" s="125"/>
      <c r="M51" s="125"/>
      <c r="N51" s="153" t="s">
        <v>64</v>
      </c>
      <c r="O51" s="163">
        <v>1000000</v>
      </c>
      <c r="P51" s="153" t="s">
        <v>73</v>
      </c>
      <c r="Q51" s="1"/>
      <c r="R51" s="105"/>
      <c r="S51" s="155" t="s">
        <v>131</v>
      </c>
      <c r="T51" s="156">
        <v>2000</v>
      </c>
      <c r="U51" s="105" t="s">
        <v>132</v>
      </c>
    </row>
    <row r="52" spans="1:21" ht="14.25" customHeight="1" x14ac:dyDescent="0.2">
      <c r="A52" s="105"/>
      <c r="B52" s="105"/>
      <c r="C52" s="105"/>
      <c r="D52" s="105"/>
      <c r="E52" s="105"/>
      <c r="F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</row>
    <row r="53" spans="1:21" ht="14.25" customHeight="1" x14ac:dyDescent="0.2">
      <c r="A53" s="143"/>
      <c r="B53" s="158">
        <f>(B50*E50*H50+M50*O50*R50/1000000)/2000</f>
        <v>58.414285994876288</v>
      </c>
      <c r="C53" s="158"/>
      <c r="D53" s="105" t="s">
        <v>133</v>
      </c>
      <c r="E53" s="143" t="s">
        <v>90</v>
      </c>
      <c r="F53" s="113">
        <f>B53*(2000/8760)</f>
        <v>13.336594975999152</v>
      </c>
      <c r="G53" s="105" t="s">
        <v>134</v>
      </c>
      <c r="L53" s="105" t="s">
        <v>134</v>
      </c>
      <c r="N53" s="105"/>
      <c r="O53" s="105"/>
      <c r="P53" s="105"/>
      <c r="Q53" s="105"/>
      <c r="R53" s="105"/>
      <c r="S53" s="105"/>
      <c r="T53" s="105"/>
      <c r="U53" s="105"/>
    </row>
    <row r="54" spans="1:21" ht="14.25" customHeight="1" x14ac:dyDescent="0.2">
      <c r="A54" s="105"/>
      <c r="B54" s="105"/>
      <c r="C54" s="105"/>
      <c r="D54" s="105"/>
      <c r="E54" s="105"/>
      <c r="F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</row>
    <row r="55" spans="1:21" ht="14.25" customHeight="1" x14ac:dyDescent="0.2">
      <c r="A55" s="105"/>
      <c r="B55" s="105"/>
      <c r="C55" s="105"/>
      <c r="D55" s="105"/>
      <c r="E55" s="105"/>
      <c r="F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</row>
    <row r="56" spans="1:21" ht="14.25" customHeight="1" x14ac:dyDescent="0.2">
      <c r="A56" s="143" t="s">
        <v>140</v>
      </c>
      <c r="B56" s="144">
        <f>B16</f>
        <v>8595364.2600000016</v>
      </c>
      <c r="C56" s="145"/>
      <c r="D56" s="146" t="s">
        <v>124</v>
      </c>
      <c r="E56" s="147">
        <v>0.13800000000000001</v>
      </c>
      <c r="F56" s="148" t="s">
        <v>125</v>
      </c>
      <c r="G56" s="593" t="s">
        <v>126</v>
      </c>
      <c r="H56" s="149">
        <f>1.01*B18</f>
        <v>7.5497499999999996E-4</v>
      </c>
      <c r="I56" s="150" t="s">
        <v>127</v>
      </c>
      <c r="J56" s="149">
        <v>1</v>
      </c>
      <c r="K56" s="149" t="s">
        <v>94</v>
      </c>
      <c r="L56" s="151" t="s">
        <v>128</v>
      </c>
      <c r="M56" s="152">
        <f>B17</f>
        <v>11063970651.58</v>
      </c>
      <c r="N56" s="146" t="s">
        <v>129</v>
      </c>
      <c r="O56" s="145">
        <v>1020</v>
      </c>
      <c r="P56" s="146" t="s">
        <v>130</v>
      </c>
      <c r="Q56" s="1" t="s">
        <v>126</v>
      </c>
      <c r="R56" s="149">
        <f>B10</f>
        <v>2.8E-3</v>
      </c>
      <c r="S56" s="150" t="s">
        <v>127</v>
      </c>
      <c r="T56" s="149">
        <v>1</v>
      </c>
      <c r="U56" s="149" t="s">
        <v>94</v>
      </c>
    </row>
    <row r="57" spans="1:21" ht="14.25" customHeight="1" x14ac:dyDescent="0.2">
      <c r="A57" s="125"/>
      <c r="B57" s="1"/>
      <c r="C57" s="125"/>
      <c r="D57" s="153" t="s">
        <v>64</v>
      </c>
      <c r="E57" s="125"/>
      <c r="F57" s="154" t="s">
        <v>92</v>
      </c>
      <c r="G57" s="593"/>
      <c r="H57" s="105"/>
      <c r="I57" s="155" t="s">
        <v>131</v>
      </c>
      <c r="J57" s="156">
        <v>2000</v>
      </c>
      <c r="K57" s="105" t="s">
        <v>132</v>
      </c>
      <c r="L57" s="125"/>
      <c r="M57" s="125"/>
      <c r="N57" s="153" t="s">
        <v>64</v>
      </c>
      <c r="O57" s="163">
        <v>1000000</v>
      </c>
      <c r="P57" s="153" t="s">
        <v>73</v>
      </c>
      <c r="Q57" s="1"/>
      <c r="R57" s="105"/>
      <c r="S57" s="155" t="s">
        <v>131</v>
      </c>
      <c r="T57" s="156">
        <v>2000</v>
      </c>
      <c r="U57" s="105" t="s">
        <v>132</v>
      </c>
    </row>
    <row r="58" spans="1:21" ht="14.25" customHeight="1" x14ac:dyDescent="0.2">
      <c r="A58" s="105"/>
      <c r="B58" s="105"/>
      <c r="C58" s="105"/>
      <c r="D58" s="105"/>
      <c r="E58" s="105"/>
      <c r="F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</row>
    <row r="59" spans="1:21" ht="14.25" customHeight="1" x14ac:dyDescent="0.2">
      <c r="A59" s="143"/>
      <c r="B59" s="158">
        <f>(B56*E56*H56+M56*O56*R56/1000000)/2000</f>
        <v>16.247110764577592</v>
      </c>
      <c r="C59" s="158"/>
      <c r="D59" s="105" t="s">
        <v>133</v>
      </c>
      <c r="E59" s="143" t="s">
        <v>90</v>
      </c>
      <c r="F59" s="113">
        <f>B59*(2000/8760)</f>
        <v>3.7093860193099522</v>
      </c>
      <c r="G59" s="105" t="s">
        <v>134</v>
      </c>
      <c r="L59" s="105" t="s">
        <v>134</v>
      </c>
      <c r="N59" s="105"/>
      <c r="O59" s="105"/>
      <c r="P59" s="105"/>
      <c r="Q59" s="105"/>
      <c r="R59" s="105"/>
      <c r="S59" s="105"/>
      <c r="T59" s="105"/>
      <c r="U59" s="105"/>
    </row>
    <row r="60" spans="1:21" ht="14.25" customHeight="1" x14ac:dyDescent="0.2">
      <c r="A60" s="105"/>
      <c r="B60" s="105"/>
      <c r="C60" s="105"/>
      <c r="D60" s="105"/>
      <c r="E60" s="105"/>
      <c r="F60" s="105"/>
      <c r="L60" s="105"/>
      <c r="M60" s="105"/>
      <c r="N60" s="105"/>
      <c r="O60" s="105"/>
      <c r="P60" s="105"/>
      <c r="Q60" s="105"/>
      <c r="R60" s="105"/>
      <c r="S60" s="105"/>
      <c r="T60" s="105"/>
      <c r="U60" s="105"/>
    </row>
    <row r="61" spans="1:21" ht="14.25" customHeight="1" x14ac:dyDescent="0.2">
      <c r="A61" s="105"/>
      <c r="B61" s="105"/>
      <c r="C61" s="105"/>
      <c r="D61" s="105"/>
      <c r="E61" s="105"/>
      <c r="F61" s="105"/>
      <c r="L61" s="105"/>
      <c r="M61" s="105"/>
      <c r="N61" s="105"/>
      <c r="O61" s="105"/>
      <c r="P61" s="105"/>
      <c r="Q61" s="105"/>
      <c r="R61" s="105"/>
      <c r="S61" s="105"/>
      <c r="T61" s="105"/>
      <c r="U61" s="105"/>
    </row>
    <row r="62" spans="1:21" ht="14.25" customHeight="1" x14ac:dyDescent="0.2">
      <c r="A62" s="143" t="s">
        <v>142</v>
      </c>
      <c r="B62" s="144">
        <f>B16</f>
        <v>8595364.2600000016</v>
      </c>
      <c r="C62" s="145"/>
      <c r="D62" s="146" t="s">
        <v>124</v>
      </c>
      <c r="E62" s="147">
        <v>0.13800000000000001</v>
      </c>
      <c r="F62" s="148" t="s">
        <v>125</v>
      </c>
      <c r="G62" s="593" t="s">
        <v>126</v>
      </c>
      <c r="H62" s="149">
        <f>C11</f>
        <v>7.7000000000000002E-3</v>
      </c>
      <c r="I62" s="150" t="s">
        <v>127</v>
      </c>
      <c r="J62" s="149">
        <v>1</v>
      </c>
      <c r="K62" s="149" t="s">
        <v>94</v>
      </c>
      <c r="L62" s="151" t="s">
        <v>128</v>
      </c>
      <c r="M62" s="152">
        <f>B17</f>
        <v>11063970651.58</v>
      </c>
      <c r="N62" s="146" t="s">
        <v>129</v>
      </c>
      <c r="O62" s="145">
        <v>1020</v>
      </c>
      <c r="P62" s="146" t="s">
        <v>130</v>
      </c>
      <c r="Q62" s="1" t="s">
        <v>126</v>
      </c>
      <c r="R62" s="149">
        <f>B11</f>
        <v>4.2999999999999999E-4</v>
      </c>
      <c r="S62" s="150" t="s">
        <v>127</v>
      </c>
      <c r="T62" s="149">
        <v>1</v>
      </c>
      <c r="U62" s="149" t="s">
        <v>94</v>
      </c>
    </row>
    <row r="63" spans="1:21" ht="14.25" customHeight="1" x14ac:dyDescent="0.2">
      <c r="A63" s="125"/>
      <c r="B63" s="1"/>
      <c r="C63" s="125"/>
      <c r="D63" s="153" t="s">
        <v>64</v>
      </c>
      <c r="E63" s="125"/>
      <c r="F63" s="154" t="s">
        <v>92</v>
      </c>
      <c r="G63" s="593"/>
      <c r="H63" s="105"/>
      <c r="I63" s="155" t="s">
        <v>131</v>
      </c>
      <c r="J63" s="156">
        <v>2000</v>
      </c>
      <c r="K63" s="105" t="s">
        <v>132</v>
      </c>
      <c r="L63" s="125"/>
      <c r="M63" s="125"/>
      <c r="N63" s="153" t="s">
        <v>64</v>
      </c>
      <c r="O63" s="163">
        <v>1000000</v>
      </c>
      <c r="P63" s="153" t="s">
        <v>73</v>
      </c>
      <c r="Q63" s="1"/>
      <c r="R63" s="105"/>
      <c r="S63" s="155" t="s">
        <v>131</v>
      </c>
      <c r="T63" s="156">
        <v>2000</v>
      </c>
      <c r="U63" s="105" t="s">
        <v>132</v>
      </c>
    </row>
    <row r="64" spans="1:21" ht="14.25" customHeight="1" x14ac:dyDescent="0.2">
      <c r="A64" s="105"/>
      <c r="B64" s="105"/>
      <c r="C64" s="105"/>
      <c r="D64" s="105"/>
      <c r="E64" s="105"/>
      <c r="F64" s="105"/>
      <c r="L64" s="105"/>
      <c r="M64" s="105"/>
      <c r="N64" s="105"/>
      <c r="O64" s="105"/>
      <c r="P64" s="105"/>
      <c r="Q64" s="105"/>
      <c r="R64" s="105"/>
      <c r="S64" s="105"/>
      <c r="T64" s="105"/>
      <c r="U64" s="105"/>
    </row>
    <row r="65" spans="1:21" ht="14.25" customHeight="1" x14ac:dyDescent="0.2">
      <c r="A65" s="143"/>
      <c r="B65" s="158">
        <f>(B62*E62*H62+M62*O62*R62/1000000)/2000</f>
        <v>6.9930457952294969</v>
      </c>
      <c r="C65" s="158"/>
      <c r="D65" s="105" t="s">
        <v>133</v>
      </c>
      <c r="E65" s="143" t="s">
        <v>90</v>
      </c>
      <c r="F65" s="113">
        <f>B65*(2000/8760)</f>
        <v>1.5965857979976019</v>
      </c>
      <c r="G65" s="105" t="s">
        <v>134</v>
      </c>
      <c r="L65" s="105" t="s">
        <v>134</v>
      </c>
      <c r="N65" s="105"/>
      <c r="O65" s="105"/>
      <c r="P65" s="105"/>
      <c r="Q65" s="105"/>
      <c r="R65" s="105"/>
      <c r="S65" s="105"/>
      <c r="T65" s="105"/>
      <c r="U65" s="105"/>
    </row>
    <row r="66" spans="1:21" ht="14.25" customHeight="1" x14ac:dyDescent="0.2">
      <c r="A66" s="105"/>
      <c r="B66" s="105"/>
      <c r="C66" s="105"/>
      <c r="D66" s="105"/>
      <c r="E66" s="105"/>
      <c r="F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</row>
    <row r="67" spans="1:21" ht="14.25" customHeight="1" x14ac:dyDescent="0.2">
      <c r="A67" s="105"/>
      <c r="B67" s="105"/>
      <c r="C67" s="105"/>
      <c r="D67" s="105"/>
      <c r="E67" s="105"/>
      <c r="F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</row>
    <row r="68" spans="1:21" ht="14.25" customHeight="1" x14ac:dyDescent="0.2">
      <c r="A68" s="143" t="s">
        <v>143</v>
      </c>
      <c r="B68" s="144">
        <f>B16</f>
        <v>8595364.2600000016</v>
      </c>
      <c r="C68" s="145"/>
      <c r="D68" s="146" t="s">
        <v>124</v>
      </c>
      <c r="E68" s="147">
        <v>0.13800000000000001</v>
      </c>
      <c r="F68" s="148" t="s">
        <v>125</v>
      </c>
      <c r="G68" s="593" t="s">
        <v>126</v>
      </c>
      <c r="H68" s="165">
        <f>C12</f>
        <v>9.0000000000000002E-6</v>
      </c>
      <c r="I68" s="150" t="s">
        <v>127</v>
      </c>
      <c r="J68" s="149">
        <v>1</v>
      </c>
      <c r="K68" s="149" t="s">
        <v>94</v>
      </c>
      <c r="L68" s="151" t="s">
        <v>128</v>
      </c>
      <c r="M68" s="152">
        <f>B17</f>
        <v>11063970651.58</v>
      </c>
      <c r="N68" s="146" t="s">
        <v>129</v>
      </c>
      <c r="O68" s="145">
        <v>1020</v>
      </c>
      <c r="P68" s="146" t="s">
        <v>130</v>
      </c>
      <c r="Q68" s="1" t="s">
        <v>126</v>
      </c>
      <c r="R68" s="149">
        <f>B12</f>
        <v>0</v>
      </c>
      <c r="S68" s="150" t="s">
        <v>127</v>
      </c>
      <c r="T68" s="149">
        <v>1</v>
      </c>
      <c r="U68" s="149" t="s">
        <v>94</v>
      </c>
    </row>
    <row r="69" spans="1:21" ht="14.25" customHeight="1" x14ac:dyDescent="0.2">
      <c r="A69" s="125"/>
      <c r="B69" s="1"/>
      <c r="C69" s="125"/>
      <c r="D69" s="153" t="s">
        <v>64</v>
      </c>
      <c r="E69" s="125"/>
      <c r="F69" s="154" t="s">
        <v>92</v>
      </c>
      <c r="G69" s="593"/>
      <c r="H69" s="105"/>
      <c r="I69" s="155" t="s">
        <v>131</v>
      </c>
      <c r="J69" s="156">
        <v>2000</v>
      </c>
      <c r="K69" s="105" t="s">
        <v>132</v>
      </c>
      <c r="L69" s="125"/>
      <c r="M69" s="125"/>
      <c r="N69" s="153" t="s">
        <v>64</v>
      </c>
      <c r="O69" s="163">
        <v>1000000</v>
      </c>
      <c r="P69" s="153" t="s">
        <v>73</v>
      </c>
      <c r="Q69" s="1"/>
      <c r="R69" s="105"/>
      <c r="S69" s="155" t="s">
        <v>131</v>
      </c>
      <c r="T69" s="156">
        <v>2000</v>
      </c>
      <c r="U69" s="105" t="s">
        <v>132</v>
      </c>
    </row>
    <row r="70" spans="1:21" ht="14.25" customHeight="1" x14ac:dyDescent="0.2">
      <c r="A70" s="105"/>
      <c r="B70" s="105"/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05"/>
      <c r="P70" s="105"/>
    </row>
    <row r="71" spans="1:21" ht="14.25" customHeight="1" x14ac:dyDescent="0.2">
      <c r="A71" s="143"/>
      <c r="B71" s="158">
        <f>(B68*E68*H68+M68*O68*R68/1000000)/2000</f>
        <v>5.3377212054600024E-3</v>
      </c>
      <c r="C71" s="158"/>
      <c r="D71" s="105" t="s">
        <v>133</v>
      </c>
      <c r="E71" s="143" t="s">
        <v>90</v>
      </c>
      <c r="F71" s="113">
        <f>B71*(2000/8760)</f>
        <v>1.2186578094657539E-3</v>
      </c>
      <c r="G71" s="105" t="s">
        <v>134</v>
      </c>
      <c r="I71" s="105"/>
      <c r="J71" s="105"/>
      <c r="K71" s="105"/>
      <c r="L71" s="105"/>
      <c r="M71" s="105"/>
      <c r="N71" s="105"/>
      <c r="O71" s="105"/>
      <c r="P71" s="105"/>
    </row>
    <row r="74" spans="1:21" ht="14.25" customHeight="1" x14ac:dyDescent="0.2">
      <c r="A74" s="143" t="s">
        <v>144</v>
      </c>
      <c r="B74" s="144">
        <f>B16</f>
        <v>8595364.2600000016</v>
      </c>
      <c r="C74" s="145"/>
      <c r="D74" s="146" t="s">
        <v>124</v>
      </c>
      <c r="E74" s="166">
        <f>W11</f>
        <v>22.578420600240001</v>
      </c>
      <c r="F74" s="148" t="s">
        <v>132</v>
      </c>
      <c r="G74" s="593" t="s">
        <v>126</v>
      </c>
      <c r="H74" s="149">
        <v>1</v>
      </c>
      <c r="I74" s="149" t="s">
        <v>94</v>
      </c>
      <c r="J74" s="151" t="s">
        <v>128</v>
      </c>
      <c r="M74" s="152">
        <f>B17</f>
        <v>11063970651.58</v>
      </c>
      <c r="N74" s="146" t="s">
        <v>129</v>
      </c>
      <c r="O74" s="167">
        <f>W12</f>
        <v>0.12049378638965323</v>
      </c>
      <c r="P74" s="146" t="s">
        <v>132</v>
      </c>
      <c r="Q74" s="1" t="s">
        <v>126</v>
      </c>
      <c r="R74" s="149">
        <v>1</v>
      </c>
      <c r="S74" s="149" t="s">
        <v>94</v>
      </c>
    </row>
    <row r="75" spans="1:21" ht="14.25" customHeight="1" x14ac:dyDescent="0.2">
      <c r="A75" s="125"/>
      <c r="B75" s="1"/>
      <c r="C75" s="125"/>
      <c r="D75" s="153" t="s">
        <v>64</v>
      </c>
      <c r="E75" s="125"/>
      <c r="F75" s="154" t="s">
        <v>92</v>
      </c>
      <c r="G75" s="593"/>
      <c r="H75" s="156">
        <v>2000</v>
      </c>
      <c r="I75" s="105" t="s">
        <v>132</v>
      </c>
      <c r="J75" s="125"/>
      <c r="M75" s="125"/>
      <c r="N75" s="153" t="s">
        <v>64</v>
      </c>
      <c r="O75" s="163"/>
      <c r="P75" s="153" t="s">
        <v>73</v>
      </c>
      <c r="Q75" s="1"/>
      <c r="R75" s="156">
        <v>2000</v>
      </c>
      <c r="S75" s="105" t="s">
        <v>132</v>
      </c>
    </row>
    <row r="76" spans="1:21" ht="14.25" customHeight="1" x14ac:dyDescent="0.2">
      <c r="A76" s="105"/>
      <c r="B76" s="105"/>
      <c r="C76" s="105"/>
      <c r="D76" s="105"/>
      <c r="E76" s="105"/>
      <c r="F76" s="105"/>
      <c r="L76" s="105"/>
      <c r="M76" s="105"/>
      <c r="N76" s="105"/>
      <c r="O76" s="105"/>
      <c r="P76" s="105"/>
      <c r="Q76" s="105"/>
      <c r="R76" s="105"/>
      <c r="S76" s="105"/>
      <c r="T76" s="105"/>
      <c r="U76" s="105"/>
    </row>
    <row r="77" spans="1:21" ht="14.25" customHeight="1" x14ac:dyDescent="0.2">
      <c r="A77" s="143"/>
      <c r="B77" s="158">
        <f>(B74*E74+M74*O74)/H75</f>
        <v>763604.73289371177</v>
      </c>
      <c r="C77" s="158"/>
      <c r="D77" s="105" t="s">
        <v>133</v>
      </c>
      <c r="E77" s="143" t="s">
        <v>90</v>
      </c>
      <c r="F77" s="113">
        <f>B77*(2000/8760)</f>
        <v>174338.98011271958</v>
      </c>
      <c r="G77" s="105" t="s">
        <v>134</v>
      </c>
      <c r="L77" s="105"/>
      <c r="N77" s="105"/>
      <c r="O77" s="105"/>
      <c r="P77" s="105"/>
      <c r="Q77" s="105"/>
      <c r="R77" s="105"/>
      <c r="S77" s="105"/>
      <c r="T77" s="105"/>
      <c r="U77" s="105"/>
    </row>
    <row r="78" spans="1:21" ht="14.25" customHeight="1" x14ac:dyDescent="0.2">
      <c r="A78" s="105"/>
      <c r="B78" s="105"/>
      <c r="C78" s="105"/>
      <c r="D78" s="105"/>
      <c r="E78" s="105"/>
      <c r="F78" s="105"/>
      <c r="L78" s="105"/>
      <c r="M78" s="105"/>
      <c r="N78" s="105"/>
      <c r="O78" s="105"/>
      <c r="P78" s="105"/>
      <c r="Q78" s="105"/>
      <c r="R78" s="105"/>
      <c r="S78" s="105"/>
      <c r="T78" s="105"/>
      <c r="U78" s="105"/>
    </row>
    <row r="79" spans="1:21" ht="14.25" customHeight="1" x14ac:dyDescent="0.2">
      <c r="A79" s="105"/>
      <c r="B79" s="105"/>
      <c r="C79" s="105"/>
      <c r="D79" s="105"/>
      <c r="E79" s="105"/>
      <c r="F79" s="105"/>
      <c r="L79" s="105"/>
      <c r="M79" s="105"/>
      <c r="N79" s="105"/>
      <c r="O79" s="105"/>
      <c r="P79" s="105"/>
      <c r="Q79" s="105"/>
      <c r="R79" s="105"/>
      <c r="S79" s="105"/>
      <c r="T79" s="105"/>
      <c r="U79" s="105"/>
    </row>
    <row r="80" spans="1:21" ht="14.25" customHeight="1" x14ac:dyDescent="0.2">
      <c r="A80" s="86"/>
      <c r="B80" s="82" t="s">
        <v>145</v>
      </c>
      <c r="C80" s="82"/>
      <c r="D80" s="82"/>
      <c r="E80" s="82"/>
      <c r="F80" s="82"/>
      <c r="G80" s="82"/>
      <c r="H80" s="82"/>
      <c r="I80" s="82"/>
      <c r="J80" s="82"/>
      <c r="K80" s="86"/>
      <c r="L80" s="86"/>
      <c r="M80" s="86"/>
      <c r="N80" s="86"/>
      <c r="O80" s="86"/>
      <c r="P80" s="86"/>
    </row>
    <row r="81" spans="2:10" ht="14.25" customHeight="1" x14ac:dyDescent="0.2">
      <c r="B81" s="82" t="s">
        <v>146</v>
      </c>
      <c r="C81" s="82"/>
      <c r="D81" s="82"/>
      <c r="E81" s="82"/>
      <c r="F81" s="82"/>
      <c r="G81" s="82"/>
      <c r="H81" s="82"/>
      <c r="I81" s="82"/>
      <c r="J81" s="82"/>
    </row>
    <row r="82" spans="2:10" ht="14.25" customHeight="1" x14ac:dyDescent="0.2">
      <c r="B82" s="82" t="s">
        <v>147</v>
      </c>
      <c r="C82" s="82"/>
      <c r="D82" s="82"/>
      <c r="E82" s="82"/>
      <c r="F82" s="82"/>
      <c r="G82" s="82"/>
      <c r="H82" s="82"/>
      <c r="I82" s="82"/>
      <c r="J82" s="82"/>
    </row>
    <row r="83" spans="2:10" ht="14.25" customHeight="1" x14ac:dyDescent="0.2">
      <c r="B83" s="82" t="s">
        <v>148</v>
      </c>
      <c r="C83" s="82"/>
      <c r="D83" s="86"/>
      <c r="E83" s="86"/>
      <c r="F83" s="86"/>
      <c r="G83" s="86"/>
      <c r="H83" s="86"/>
      <c r="I83" s="86"/>
      <c r="J83" s="86"/>
    </row>
  </sheetData>
  <mergeCells count="13">
    <mergeCell ref="A1:P1"/>
    <mergeCell ref="F6:N6"/>
    <mergeCell ref="G20:G21"/>
    <mergeCell ref="Q20:Q21"/>
    <mergeCell ref="G26:G27"/>
    <mergeCell ref="G62:G63"/>
    <mergeCell ref="G68:G69"/>
    <mergeCell ref="G74:G75"/>
    <mergeCell ref="G32:G33"/>
    <mergeCell ref="G38:G39"/>
    <mergeCell ref="G44:G45"/>
    <mergeCell ref="G50:G51"/>
    <mergeCell ref="G56:G57"/>
  </mergeCells>
  <pageMargins left="0.7" right="0.7" top="0.75" bottom="0.75" header="0.511811023622047" footer="0.511811023622047"/>
  <pageSetup paperSize="9" orientation="portrait" horizontalDpi="300" verticalDpi="300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83"/>
  <sheetViews>
    <sheetView zoomScaleNormal="100" workbookViewId="0">
      <selection sqref="A1:O1"/>
    </sheetView>
  </sheetViews>
  <sheetFormatPr defaultColWidth="8.7109375" defaultRowHeight="12.75" x14ac:dyDescent="0.2"/>
  <cols>
    <col min="1" max="1" width="18.28515625" customWidth="1"/>
    <col min="2" max="2" width="17" customWidth="1"/>
    <col min="3" max="3" width="16.5703125" customWidth="1"/>
    <col min="4" max="4" width="12.42578125" customWidth="1"/>
    <col min="5" max="5" width="11.5703125" customWidth="1"/>
    <col min="6" max="6" width="11.42578125" customWidth="1"/>
    <col min="7" max="7" width="4" customWidth="1"/>
    <col min="8" max="8" width="8.42578125" customWidth="1"/>
    <col min="9" max="9" width="7.5703125" customWidth="1"/>
    <col min="10" max="10" width="5.5703125" customWidth="1"/>
    <col min="11" max="11" width="3.42578125" customWidth="1"/>
    <col min="12" max="12" width="4.5703125" customWidth="1"/>
    <col min="13" max="13" width="13.7109375" customWidth="1"/>
    <col min="15" max="15" width="9.28515625" customWidth="1"/>
    <col min="16" max="16" width="8.28515625" customWidth="1"/>
    <col min="17" max="17" width="1.7109375" customWidth="1"/>
    <col min="18" max="18" width="8" customWidth="1"/>
    <col min="19" max="19" width="8.28515625" customWidth="1"/>
    <col min="20" max="20" width="5.5703125" customWidth="1"/>
    <col min="21" max="21" width="3.42578125" customWidth="1"/>
  </cols>
  <sheetData>
    <row r="1" spans="1:24" ht="14.25" customHeight="1" x14ac:dyDescent="0.2">
      <c r="A1" s="594" t="s">
        <v>199</v>
      </c>
      <c r="B1" s="594"/>
      <c r="C1" s="594"/>
      <c r="D1" s="594"/>
      <c r="E1" s="594"/>
      <c r="F1" s="594"/>
      <c r="G1" s="594"/>
      <c r="H1" s="594"/>
      <c r="I1" s="594"/>
      <c r="J1" s="594"/>
      <c r="K1" s="594"/>
      <c r="L1" s="594"/>
      <c r="M1" s="594"/>
      <c r="N1" s="594"/>
      <c r="O1" s="594"/>
      <c r="P1" s="594"/>
    </row>
    <row r="2" spans="1:24" ht="14.25" customHeight="1" x14ac:dyDescent="0.2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</row>
    <row r="3" spans="1:24" ht="51.75" customHeight="1" x14ac:dyDescent="0.2">
      <c r="A3" s="106" t="s">
        <v>103</v>
      </c>
      <c r="B3" s="107" t="s">
        <v>104</v>
      </c>
      <c r="C3" s="107" t="s">
        <v>193</v>
      </c>
      <c r="D3" s="108" t="s">
        <v>106</v>
      </c>
      <c r="E3" s="108" t="s">
        <v>107</v>
      </c>
      <c r="M3" s="105"/>
      <c r="N3" s="105"/>
      <c r="O3" s="105"/>
      <c r="P3" s="105"/>
    </row>
    <row r="4" spans="1:24" ht="14.25" customHeight="1" x14ac:dyDescent="0.2">
      <c r="A4" s="109" t="s">
        <v>20</v>
      </c>
      <c r="B4" s="214">
        <v>9.2099392372881395E-2</v>
      </c>
      <c r="C4" s="214">
        <v>0.108058493511864</v>
      </c>
      <c r="D4" s="111">
        <f>B23</f>
        <v>230.65508894270602</v>
      </c>
      <c r="E4" s="112">
        <f>F23</f>
        <v>52.66097921066347</v>
      </c>
      <c r="J4" s="113"/>
      <c r="K4" s="114"/>
      <c r="L4" s="114"/>
      <c r="M4" s="105"/>
      <c r="N4" s="105"/>
      <c r="O4" s="105"/>
      <c r="P4" s="105"/>
    </row>
    <row r="5" spans="1:24" ht="14.25" customHeight="1" x14ac:dyDescent="0.2">
      <c r="A5" s="115" t="s">
        <v>21</v>
      </c>
      <c r="B5" s="214">
        <v>2.2429676537803301E-2</v>
      </c>
      <c r="C5" s="214">
        <v>9.4426363060370194E-3</v>
      </c>
      <c r="D5" s="118">
        <f>B29</f>
        <v>54.427178534070002</v>
      </c>
      <c r="E5" s="119">
        <f>F29</f>
        <v>12.426296468965754</v>
      </c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</row>
    <row r="6" spans="1:24" ht="14.25" customHeight="1" x14ac:dyDescent="0.2">
      <c r="A6" s="115" t="s">
        <v>22</v>
      </c>
      <c r="B6" s="116">
        <v>2.0999999999999999E-3</v>
      </c>
      <c r="C6" s="116">
        <v>8.3000000000000001E-3</v>
      </c>
      <c r="D6" s="118">
        <f>B35</f>
        <v>5.8631740107513295</v>
      </c>
      <c r="E6" s="119">
        <f>F35</f>
        <v>1.3386242033678835</v>
      </c>
      <c r="F6" s="595" t="s">
        <v>108</v>
      </c>
      <c r="G6" s="595"/>
      <c r="H6" s="595"/>
      <c r="I6" s="595"/>
      <c r="J6" s="595"/>
      <c r="K6" s="595"/>
      <c r="L6" s="595"/>
      <c r="M6" s="595"/>
      <c r="N6" s="595"/>
      <c r="O6" s="120"/>
      <c r="P6" s="120"/>
    </row>
    <row r="7" spans="1:24" ht="14.25" customHeight="1" x14ac:dyDescent="0.2">
      <c r="A7" s="115" t="s">
        <v>17</v>
      </c>
      <c r="B7" s="116">
        <v>6.6E-3</v>
      </c>
      <c r="C7" s="116">
        <v>2.8400000000000002E-2</v>
      </c>
      <c r="D7" s="118">
        <f>B41</f>
        <v>18.666593533548181</v>
      </c>
      <c r="E7" s="119">
        <f>F41</f>
        <v>4.2617793455589448</v>
      </c>
      <c r="F7" s="121" t="s">
        <v>109</v>
      </c>
      <c r="G7" s="122" t="s">
        <v>194</v>
      </c>
      <c r="I7" s="122"/>
      <c r="J7" s="122"/>
      <c r="K7" s="122"/>
      <c r="L7" s="122"/>
      <c r="M7" s="122"/>
      <c r="N7" s="122"/>
      <c r="O7" s="122"/>
      <c r="P7" s="122"/>
    </row>
    <row r="8" spans="1:24" ht="14.25" customHeight="1" x14ac:dyDescent="0.2">
      <c r="A8" s="115" t="s">
        <v>18</v>
      </c>
      <c r="B8" s="116">
        <v>6.6E-3</v>
      </c>
      <c r="C8" s="116">
        <v>3.5700000000000003E-2</v>
      </c>
      <c r="D8" s="118">
        <f>B47</f>
        <v>19.421975227230181</v>
      </c>
      <c r="E8" s="123">
        <f>F47</f>
        <v>4.4342409194589454</v>
      </c>
      <c r="F8" s="124"/>
      <c r="G8" s="122" t="s">
        <v>195</v>
      </c>
      <c r="H8" s="122"/>
      <c r="I8" s="122"/>
      <c r="J8" s="122"/>
      <c r="K8" s="122"/>
      <c r="L8" s="122"/>
      <c r="M8" s="122"/>
      <c r="N8" s="122"/>
      <c r="O8" s="122"/>
    </row>
    <row r="9" spans="1:24" ht="14.25" customHeight="1" x14ac:dyDescent="0.2">
      <c r="A9" s="115" t="s">
        <v>40</v>
      </c>
      <c r="B9" s="116">
        <v>6.6E-3</v>
      </c>
      <c r="C9" s="116">
        <v>3.5700000000000003E-2</v>
      </c>
      <c r="D9" s="118">
        <f>B53</f>
        <v>19.421975227230181</v>
      </c>
      <c r="E9" s="119">
        <f>F53</f>
        <v>4.4342409194589454</v>
      </c>
      <c r="F9" s="125"/>
      <c r="G9" s="122" t="s">
        <v>112</v>
      </c>
      <c r="H9" s="122"/>
      <c r="I9" s="122"/>
      <c r="J9" s="122"/>
      <c r="K9" s="122"/>
      <c r="L9" s="122"/>
      <c r="M9" s="122"/>
      <c r="N9" s="122"/>
      <c r="O9" s="122"/>
    </row>
    <row r="10" spans="1:24" ht="14.25" customHeight="1" x14ac:dyDescent="0.2">
      <c r="A10" s="115" t="s">
        <v>19</v>
      </c>
      <c r="B10" s="116">
        <v>2.8E-3</v>
      </c>
      <c r="C10" s="117" t="s">
        <v>196</v>
      </c>
      <c r="D10" s="118">
        <f>B59</f>
        <v>6.7505430030255313</v>
      </c>
      <c r="E10" s="119">
        <f>F59</f>
        <v>1.5412198637044592</v>
      </c>
      <c r="F10" s="125"/>
      <c r="G10" s="125"/>
      <c r="H10" s="124"/>
      <c r="I10" s="124"/>
      <c r="J10" s="124"/>
      <c r="K10" s="124"/>
      <c r="L10" s="124"/>
      <c r="M10" s="124"/>
      <c r="N10" s="124"/>
      <c r="O10" s="124"/>
      <c r="P10" s="124"/>
    </row>
    <row r="11" spans="1:24" ht="14.25" customHeight="1" x14ac:dyDescent="0.2">
      <c r="A11" s="115" t="s">
        <v>42</v>
      </c>
      <c r="B11" s="116">
        <v>4.2999999999999999E-4</v>
      </c>
      <c r="C11" s="116">
        <v>7.7000000000000002E-3</v>
      </c>
      <c r="D11" s="118">
        <f>B65</f>
        <v>1.8214656191673388</v>
      </c>
      <c r="E11" s="119">
        <f>F65</f>
        <v>0.41585973040350199</v>
      </c>
      <c r="F11" s="127" t="s">
        <v>114</v>
      </c>
      <c r="G11" s="122" t="s">
        <v>115</v>
      </c>
      <c r="H11" s="122"/>
      <c r="I11" s="122"/>
      <c r="J11" s="122"/>
      <c r="K11" s="122"/>
      <c r="L11" s="122"/>
      <c r="N11" s="124"/>
      <c r="O11" s="124"/>
      <c r="P11" s="124"/>
      <c r="V11" t="s">
        <v>24</v>
      </c>
      <c r="W11">
        <f>(73.96+0.003*25+0.0006*298)*2.2046*0.138</f>
        <v>22.578420600240001</v>
      </c>
      <c r="X11" t="s">
        <v>116</v>
      </c>
    </row>
    <row r="12" spans="1:24" ht="14.25" customHeight="1" x14ac:dyDescent="0.2">
      <c r="A12" s="115" t="s">
        <v>23</v>
      </c>
      <c r="B12" s="116">
        <v>0</v>
      </c>
      <c r="C12" s="116">
        <v>9.0000000000000002E-6</v>
      </c>
      <c r="D12" s="118">
        <f>B71</f>
        <v>9.3129249906000005E-4</v>
      </c>
      <c r="E12" s="119">
        <f>F71</f>
        <v>2.1262385823287672E-4</v>
      </c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W12">
        <f>(475409.8+224+267)*2204.62/8707340462.38</f>
        <v>0.12049378638965323</v>
      </c>
      <c r="X12" t="s">
        <v>117</v>
      </c>
    </row>
    <row r="13" spans="1:24" ht="14.25" customHeight="1" x14ac:dyDescent="0.2">
      <c r="A13" s="115" t="s">
        <v>24</v>
      </c>
      <c r="B13" s="116" t="s">
        <v>197</v>
      </c>
      <c r="C13" s="116" t="s">
        <v>119</v>
      </c>
      <c r="D13" s="129">
        <f>B77</f>
        <v>298437.46976649691</v>
      </c>
      <c r="E13" s="130">
        <f>F77</f>
        <v>68136.40862248787</v>
      </c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</row>
    <row r="14" spans="1:24" ht="14.25" customHeight="1" x14ac:dyDescent="0.2">
      <c r="A14" s="131" t="s">
        <v>43</v>
      </c>
      <c r="B14" s="132">
        <v>0</v>
      </c>
      <c r="C14" s="133">
        <v>0</v>
      </c>
      <c r="D14" s="134">
        <v>0</v>
      </c>
      <c r="E14" s="135">
        <v>0</v>
      </c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</row>
    <row r="15" spans="1:24" ht="14.25" customHeight="1" x14ac:dyDescent="0.2">
      <c r="A15" s="136"/>
      <c r="B15" s="136"/>
      <c r="C15" s="136"/>
      <c r="D15" s="136"/>
      <c r="E15" s="113"/>
      <c r="H15" s="105"/>
      <c r="I15" s="105"/>
      <c r="J15" s="105"/>
      <c r="K15" s="105"/>
      <c r="L15" s="105"/>
      <c r="M15" s="105"/>
      <c r="N15" s="105"/>
      <c r="O15" s="105"/>
      <c r="P15" s="105"/>
    </row>
    <row r="16" spans="1:24" ht="14.25" customHeight="1" x14ac:dyDescent="0.2">
      <c r="A16" s="137" t="s">
        <v>473</v>
      </c>
      <c r="B16" s="138">
        <f>SUM('San Juan'!E35)</f>
        <v>1499665.8599999999</v>
      </c>
      <c r="C16" s="138"/>
      <c r="D16" s="139" t="s">
        <v>87</v>
      </c>
      <c r="H16" s="105"/>
      <c r="I16" s="105"/>
      <c r="J16" s="105"/>
      <c r="K16" s="105"/>
      <c r="L16" s="105"/>
      <c r="M16" s="105"/>
      <c r="N16" s="105"/>
      <c r="O16" s="105"/>
      <c r="P16" s="105"/>
    </row>
    <row r="17" spans="1:21" ht="14.25" customHeight="1" x14ac:dyDescent="0.2">
      <c r="A17" s="140" t="s">
        <v>472</v>
      </c>
      <c r="B17" s="141">
        <f>SUM('San Juan'!O35)</f>
        <v>4672563373.2299995</v>
      </c>
      <c r="C17" s="141"/>
      <c r="D17" s="114" t="s">
        <v>120</v>
      </c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</row>
    <row r="18" spans="1:21" ht="14.25" customHeight="1" x14ac:dyDescent="0.25">
      <c r="A18" s="88" t="s">
        <v>198</v>
      </c>
      <c r="B18" s="215">
        <f>SUM('San Juan'!G35)</f>
        <v>7.474999999999999E-4</v>
      </c>
      <c r="D18" t="s">
        <v>122</v>
      </c>
      <c r="M18" s="105"/>
      <c r="N18" s="105"/>
      <c r="O18" s="105"/>
      <c r="P18" s="105"/>
    </row>
    <row r="19" spans="1:21" ht="14.25" customHeight="1" x14ac:dyDescent="0.2">
      <c r="A19" s="105"/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</row>
    <row r="20" spans="1:21" ht="14.25" customHeight="1" x14ac:dyDescent="0.2">
      <c r="A20" s="143" t="s">
        <v>123</v>
      </c>
      <c r="B20" s="144">
        <f>B16</f>
        <v>1499665.8599999999</v>
      </c>
      <c r="C20" s="145"/>
      <c r="D20" s="146" t="s">
        <v>124</v>
      </c>
      <c r="E20" s="147">
        <v>0.13800000000000001</v>
      </c>
      <c r="F20" s="148" t="s">
        <v>125</v>
      </c>
      <c r="G20" s="593" t="s">
        <v>126</v>
      </c>
      <c r="H20" s="216">
        <f>C4</f>
        <v>0.108058493511864</v>
      </c>
      <c r="I20" s="150" t="s">
        <v>127</v>
      </c>
      <c r="J20" s="149">
        <v>1</v>
      </c>
      <c r="K20" s="149" t="s">
        <v>94</v>
      </c>
      <c r="L20" s="151" t="s">
        <v>128</v>
      </c>
      <c r="M20" s="152">
        <f>B17</f>
        <v>4672563373.2299995</v>
      </c>
      <c r="N20" s="148" t="s">
        <v>129</v>
      </c>
      <c r="O20" s="144">
        <v>1020</v>
      </c>
      <c r="P20" s="146" t="s">
        <v>130</v>
      </c>
      <c r="Q20" s="593" t="s">
        <v>126</v>
      </c>
      <c r="R20" s="216">
        <f>B4</f>
        <v>9.2099392372881395E-2</v>
      </c>
      <c r="S20" s="150" t="s">
        <v>127</v>
      </c>
      <c r="T20" s="149">
        <v>1</v>
      </c>
      <c r="U20" s="149" t="s">
        <v>94</v>
      </c>
    </row>
    <row r="21" spans="1:21" ht="14.25" customHeight="1" x14ac:dyDescent="0.2">
      <c r="A21" s="125"/>
      <c r="B21" s="1"/>
      <c r="C21" s="125"/>
      <c r="D21" s="153" t="s">
        <v>64</v>
      </c>
      <c r="E21" s="125"/>
      <c r="F21" s="154" t="s">
        <v>92</v>
      </c>
      <c r="G21" s="593"/>
      <c r="H21" s="105"/>
      <c r="I21" s="155" t="s">
        <v>131</v>
      </c>
      <c r="J21" s="156">
        <v>2000</v>
      </c>
      <c r="K21" s="105" t="s">
        <v>132</v>
      </c>
      <c r="L21" s="125"/>
      <c r="M21" s="125"/>
      <c r="N21" s="154" t="s">
        <v>64</v>
      </c>
      <c r="O21" s="157">
        <v>1000000</v>
      </c>
      <c r="P21" s="153" t="s">
        <v>73</v>
      </c>
      <c r="Q21" s="593"/>
      <c r="R21" s="105"/>
      <c r="S21" s="155" t="s">
        <v>131</v>
      </c>
      <c r="T21" s="156">
        <v>2000</v>
      </c>
      <c r="U21" s="105" t="s">
        <v>132</v>
      </c>
    </row>
    <row r="22" spans="1:21" ht="14.25" customHeight="1" x14ac:dyDescent="0.2">
      <c r="A22" s="105"/>
      <c r="B22" s="105"/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</row>
    <row r="23" spans="1:21" ht="14.25" customHeight="1" x14ac:dyDescent="0.25">
      <c r="A23" s="143"/>
      <c r="B23" s="158">
        <f>(B20*E20*H20+M20*O20*R20/1000000)/2000</f>
        <v>230.65508894270602</v>
      </c>
      <c r="C23" s="158"/>
      <c r="D23" s="105" t="s">
        <v>133</v>
      </c>
      <c r="E23" s="143" t="s">
        <v>90</v>
      </c>
      <c r="F23" s="113">
        <f>B23*(2000/8760)</f>
        <v>52.66097921066347</v>
      </c>
      <c r="G23" s="105" t="s">
        <v>134</v>
      </c>
      <c r="H23" s="159"/>
      <c r="I23" s="105"/>
      <c r="J23" s="105"/>
      <c r="K23" s="105"/>
      <c r="L23" s="105"/>
      <c r="M23" s="105"/>
      <c r="N23" s="105"/>
      <c r="O23" s="105"/>
      <c r="P23" s="105"/>
    </row>
    <row r="24" spans="1:21" ht="14.25" customHeight="1" x14ac:dyDescent="0.2">
      <c r="A24" s="105"/>
      <c r="B24" s="105"/>
      <c r="C24" s="105"/>
      <c r="D24" s="105"/>
      <c r="E24" s="105"/>
      <c r="F24" s="105"/>
      <c r="G24" s="105"/>
      <c r="H24" s="160"/>
      <c r="I24" s="160"/>
      <c r="J24" s="160"/>
      <c r="K24" s="105"/>
      <c r="L24" s="105"/>
      <c r="M24" s="105"/>
      <c r="N24" s="105"/>
      <c r="O24" s="105"/>
      <c r="P24" s="105"/>
    </row>
    <row r="25" spans="1:21" ht="14.25" customHeight="1" x14ac:dyDescent="0.2">
      <c r="A25" s="105"/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</row>
    <row r="26" spans="1:21" ht="14.25" customHeight="1" x14ac:dyDescent="0.2">
      <c r="A26" s="143" t="s">
        <v>135</v>
      </c>
      <c r="B26" s="144">
        <f>B16</f>
        <v>1499665.8599999999</v>
      </c>
      <c r="C26" s="145"/>
      <c r="D26" s="146" t="s">
        <v>124</v>
      </c>
      <c r="E26" s="147">
        <v>0.13800000000000001</v>
      </c>
      <c r="F26" s="148" t="s">
        <v>125</v>
      </c>
      <c r="G26" s="593" t="s">
        <v>126</v>
      </c>
      <c r="H26" s="216">
        <f>C5</f>
        <v>9.4426363060370194E-3</v>
      </c>
      <c r="I26" s="150" t="s">
        <v>127</v>
      </c>
      <c r="J26" s="149">
        <v>1</v>
      </c>
      <c r="K26" s="149" t="s">
        <v>94</v>
      </c>
      <c r="L26" s="151" t="s">
        <v>128</v>
      </c>
      <c r="M26" s="152">
        <f>B17</f>
        <v>4672563373.2299995</v>
      </c>
      <c r="N26" s="146" t="s">
        <v>129</v>
      </c>
      <c r="O26" s="145">
        <v>1020</v>
      </c>
      <c r="P26" s="146" t="s">
        <v>130</v>
      </c>
      <c r="Q26" s="1" t="s">
        <v>126</v>
      </c>
      <c r="R26" s="216">
        <f>B5</f>
        <v>2.2429676537803301E-2</v>
      </c>
      <c r="S26" s="150" t="s">
        <v>127</v>
      </c>
      <c r="T26" s="161">
        <v>1</v>
      </c>
      <c r="U26" s="149" t="s">
        <v>94</v>
      </c>
    </row>
    <row r="27" spans="1:21" ht="14.25" customHeight="1" x14ac:dyDescent="0.2">
      <c r="A27" s="125"/>
      <c r="B27" s="1"/>
      <c r="C27" s="125"/>
      <c r="D27" s="153" t="s">
        <v>64</v>
      </c>
      <c r="E27" s="125"/>
      <c r="F27" s="162" t="s">
        <v>92</v>
      </c>
      <c r="G27" s="593"/>
      <c r="H27" s="105"/>
      <c r="I27" s="155" t="s">
        <v>131</v>
      </c>
      <c r="J27" s="156">
        <v>2000</v>
      </c>
      <c r="K27" s="105" t="s">
        <v>132</v>
      </c>
      <c r="L27" s="125"/>
      <c r="M27" s="125"/>
      <c r="N27" s="153" t="s">
        <v>64</v>
      </c>
      <c r="O27" s="163">
        <v>1000000</v>
      </c>
      <c r="P27" s="153" t="s">
        <v>73</v>
      </c>
      <c r="Q27" s="1"/>
      <c r="R27" s="105"/>
      <c r="S27" s="155" t="s">
        <v>131</v>
      </c>
      <c r="T27" s="164">
        <v>2000</v>
      </c>
      <c r="U27" s="105" t="s">
        <v>132</v>
      </c>
    </row>
    <row r="28" spans="1:21" ht="14.25" customHeight="1" x14ac:dyDescent="0.2">
      <c r="A28" s="105"/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</row>
    <row r="29" spans="1:21" ht="14.25" customHeight="1" x14ac:dyDescent="0.2">
      <c r="A29" s="143"/>
      <c r="B29" s="158">
        <f>(B26*E26*H26+M26*O26*R26/1000000)/2000</f>
        <v>54.427178534070002</v>
      </c>
      <c r="C29" s="158"/>
      <c r="D29" s="105" t="s">
        <v>133</v>
      </c>
      <c r="E29" s="143" t="s">
        <v>90</v>
      </c>
      <c r="F29" s="113">
        <f>B29*(2000/8760)</f>
        <v>12.426296468965754</v>
      </c>
      <c r="G29" s="105" t="s">
        <v>134</v>
      </c>
      <c r="I29" s="105"/>
      <c r="J29" s="105"/>
      <c r="K29" s="105"/>
      <c r="L29" s="105"/>
      <c r="M29" s="105"/>
      <c r="N29" s="105"/>
      <c r="O29" s="105"/>
      <c r="P29" s="105"/>
    </row>
    <row r="30" spans="1:21" ht="14.25" customHeight="1" x14ac:dyDescent="0.2">
      <c r="A30" s="105"/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</row>
    <row r="31" spans="1:21" ht="14.25" customHeight="1" x14ac:dyDescent="0.2">
      <c r="A31" s="105"/>
      <c r="B31" s="105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</row>
    <row r="32" spans="1:21" ht="14.25" customHeight="1" x14ac:dyDescent="0.2">
      <c r="A32" s="143" t="s">
        <v>136</v>
      </c>
      <c r="B32" s="144">
        <f>B16</f>
        <v>1499665.8599999999</v>
      </c>
      <c r="C32" s="145"/>
      <c r="D32" s="146" t="s">
        <v>124</v>
      </c>
      <c r="E32" s="147">
        <v>0.13800000000000001</v>
      </c>
      <c r="F32" s="148" t="s">
        <v>125</v>
      </c>
      <c r="G32" s="593" t="s">
        <v>126</v>
      </c>
      <c r="H32" s="149">
        <f>C6</f>
        <v>8.3000000000000001E-3</v>
      </c>
      <c r="I32" s="150" t="s">
        <v>127</v>
      </c>
      <c r="J32" s="149">
        <v>1</v>
      </c>
      <c r="K32" s="149" t="s">
        <v>94</v>
      </c>
      <c r="L32" s="151" t="s">
        <v>128</v>
      </c>
      <c r="M32" s="152">
        <f>B17</f>
        <v>4672563373.2299995</v>
      </c>
      <c r="N32" s="146" t="s">
        <v>129</v>
      </c>
      <c r="O32" s="145">
        <v>1020</v>
      </c>
      <c r="P32" s="146" t="s">
        <v>130</v>
      </c>
      <c r="Q32" s="1" t="s">
        <v>126</v>
      </c>
      <c r="R32" s="149">
        <f>B6</f>
        <v>2.0999999999999999E-3</v>
      </c>
      <c r="S32" s="150" t="s">
        <v>127</v>
      </c>
      <c r="T32" s="149">
        <v>1</v>
      </c>
      <c r="U32" s="149" t="s">
        <v>94</v>
      </c>
    </row>
    <row r="33" spans="1:21" ht="14.25" customHeight="1" x14ac:dyDescent="0.2">
      <c r="A33" s="125"/>
      <c r="B33" s="1"/>
      <c r="C33" s="125"/>
      <c r="D33" s="153" t="s">
        <v>64</v>
      </c>
      <c r="E33" s="125"/>
      <c r="F33" s="154" t="s">
        <v>92</v>
      </c>
      <c r="G33" s="593"/>
      <c r="H33" s="105"/>
      <c r="I33" s="155" t="s">
        <v>131</v>
      </c>
      <c r="J33" s="156">
        <v>2000</v>
      </c>
      <c r="K33" s="105" t="s">
        <v>132</v>
      </c>
      <c r="L33" s="125"/>
      <c r="M33" s="125"/>
      <c r="N33" s="153" t="s">
        <v>64</v>
      </c>
      <c r="O33" s="163">
        <v>1000000</v>
      </c>
      <c r="P33" s="153" t="s">
        <v>73</v>
      </c>
      <c r="Q33" s="1"/>
      <c r="R33" s="105"/>
      <c r="S33" s="155" t="s">
        <v>131</v>
      </c>
      <c r="T33" s="156">
        <v>2000</v>
      </c>
      <c r="U33" s="105" t="s">
        <v>132</v>
      </c>
    </row>
    <row r="34" spans="1:21" ht="14.25" customHeight="1" x14ac:dyDescent="0.2">
      <c r="A34" s="105"/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</row>
    <row r="35" spans="1:21" ht="14.25" customHeight="1" x14ac:dyDescent="0.2">
      <c r="A35" s="143"/>
      <c r="B35" s="158">
        <f>(B32*E32*H32+M32*O32*R32/1000000)/2000</f>
        <v>5.8631740107513295</v>
      </c>
      <c r="C35" s="158"/>
      <c r="D35" s="105" t="s">
        <v>133</v>
      </c>
      <c r="E35" s="143" t="s">
        <v>90</v>
      </c>
      <c r="F35" s="113">
        <f>B35*(2000/8760)</f>
        <v>1.3386242033678835</v>
      </c>
      <c r="G35" s="105" t="s">
        <v>134</v>
      </c>
      <c r="I35" s="105"/>
      <c r="J35" s="105"/>
      <c r="K35" s="105"/>
      <c r="L35" s="105"/>
      <c r="M35" s="105"/>
      <c r="N35" s="105"/>
      <c r="O35" s="105"/>
      <c r="P35" s="105"/>
    </row>
    <row r="36" spans="1:21" ht="14.25" customHeight="1" x14ac:dyDescent="0.2">
      <c r="A36" s="105"/>
      <c r="B36" s="105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</row>
    <row r="37" spans="1:21" ht="14.25" customHeight="1" x14ac:dyDescent="0.2">
      <c r="A37" s="105"/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105"/>
    </row>
    <row r="38" spans="1:21" ht="14.25" customHeight="1" x14ac:dyDescent="0.2">
      <c r="A38" s="143" t="s">
        <v>137</v>
      </c>
      <c r="B38" s="144">
        <f>B16</f>
        <v>1499665.8599999999</v>
      </c>
      <c r="C38" s="145"/>
      <c r="D38" s="146" t="s">
        <v>124</v>
      </c>
      <c r="E38" s="147">
        <v>0.13800000000000001</v>
      </c>
      <c r="F38" s="148" t="s">
        <v>125</v>
      </c>
      <c r="G38" s="593" t="s">
        <v>126</v>
      </c>
      <c r="H38" s="149">
        <f>C7</f>
        <v>2.8400000000000002E-2</v>
      </c>
      <c r="I38" s="150" t="s">
        <v>127</v>
      </c>
      <c r="J38" s="149">
        <v>1</v>
      </c>
      <c r="K38" s="149" t="s">
        <v>94</v>
      </c>
      <c r="L38" s="151" t="s">
        <v>128</v>
      </c>
      <c r="M38" s="152">
        <f>B17</f>
        <v>4672563373.2299995</v>
      </c>
      <c r="N38" s="146" t="s">
        <v>129</v>
      </c>
      <c r="O38" s="145">
        <v>1020</v>
      </c>
      <c r="P38" s="146" t="s">
        <v>130</v>
      </c>
      <c r="Q38" s="1" t="s">
        <v>126</v>
      </c>
      <c r="R38" s="149">
        <f>B7</f>
        <v>6.6E-3</v>
      </c>
      <c r="S38" s="150" t="s">
        <v>127</v>
      </c>
      <c r="T38" s="149">
        <v>1</v>
      </c>
      <c r="U38" s="149" t="s">
        <v>94</v>
      </c>
    </row>
    <row r="39" spans="1:21" ht="14.25" customHeight="1" x14ac:dyDescent="0.2">
      <c r="A39" s="125"/>
      <c r="B39" s="1"/>
      <c r="C39" s="125"/>
      <c r="D39" s="153" t="s">
        <v>64</v>
      </c>
      <c r="E39" s="125"/>
      <c r="F39" s="154" t="s">
        <v>92</v>
      </c>
      <c r="G39" s="593"/>
      <c r="H39" s="105"/>
      <c r="I39" s="155" t="s">
        <v>131</v>
      </c>
      <c r="J39" s="156">
        <v>2000</v>
      </c>
      <c r="K39" s="105" t="s">
        <v>132</v>
      </c>
      <c r="L39" s="125"/>
      <c r="M39" s="125"/>
      <c r="N39" s="153" t="s">
        <v>64</v>
      </c>
      <c r="O39" s="163">
        <v>1000000</v>
      </c>
      <c r="P39" s="153" t="s">
        <v>73</v>
      </c>
      <c r="Q39" s="1"/>
      <c r="R39" s="105"/>
      <c r="S39" s="155" t="s">
        <v>131</v>
      </c>
      <c r="T39" s="156">
        <v>2000</v>
      </c>
      <c r="U39" s="105" t="s">
        <v>132</v>
      </c>
    </row>
    <row r="40" spans="1:21" ht="14.25" customHeight="1" x14ac:dyDescent="0.2">
      <c r="A40" s="105"/>
      <c r="B40" s="105"/>
      <c r="C40" s="105"/>
      <c r="D40" s="105"/>
      <c r="E40" s="105"/>
      <c r="F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</row>
    <row r="41" spans="1:21" ht="14.25" customHeight="1" x14ac:dyDescent="0.2">
      <c r="A41" s="143"/>
      <c r="B41" s="158">
        <f>(B38*E38*H38+M38*O38*R38/1000000)/2000</f>
        <v>18.666593533548181</v>
      </c>
      <c r="C41" s="158"/>
      <c r="D41" s="105" t="s">
        <v>133</v>
      </c>
      <c r="E41" s="143" t="s">
        <v>90</v>
      </c>
      <c r="F41" s="113">
        <f>B41*(2000/8760)</f>
        <v>4.2617793455589448</v>
      </c>
      <c r="G41" s="105" t="s">
        <v>134</v>
      </c>
      <c r="L41" s="105" t="s">
        <v>134</v>
      </c>
      <c r="N41" s="105"/>
      <c r="O41" s="105"/>
      <c r="P41" s="105"/>
      <c r="Q41" s="105"/>
      <c r="R41" s="105"/>
      <c r="S41" s="105"/>
      <c r="T41" s="105"/>
      <c r="U41" s="105"/>
    </row>
    <row r="42" spans="1:21" ht="14.25" customHeight="1" x14ac:dyDescent="0.2">
      <c r="A42" s="143"/>
      <c r="B42" s="158"/>
      <c r="C42" s="158"/>
      <c r="D42" s="105"/>
      <c r="E42" s="143"/>
      <c r="F42" s="113"/>
      <c r="L42" s="105"/>
      <c r="N42" s="105"/>
      <c r="O42" s="105"/>
      <c r="P42" s="105"/>
      <c r="Q42" s="105"/>
      <c r="R42" s="105"/>
      <c r="S42" s="105"/>
      <c r="T42" s="105"/>
      <c r="U42" s="105"/>
    </row>
    <row r="43" spans="1:21" ht="14.25" customHeight="1" x14ac:dyDescent="0.2">
      <c r="A43" s="143"/>
      <c r="B43" s="158"/>
      <c r="C43" s="158"/>
      <c r="D43" s="105"/>
      <c r="E43" s="143"/>
      <c r="F43" s="113"/>
      <c r="L43" s="105"/>
      <c r="N43" s="105"/>
      <c r="O43" s="105"/>
      <c r="P43" s="105"/>
      <c r="Q43" s="105"/>
      <c r="R43" s="105"/>
      <c r="S43" s="105"/>
      <c r="T43" s="105"/>
      <c r="U43" s="105"/>
    </row>
    <row r="44" spans="1:21" ht="14.25" customHeight="1" x14ac:dyDescent="0.2">
      <c r="A44" s="143" t="s">
        <v>138</v>
      </c>
      <c r="B44" s="144">
        <f>B16</f>
        <v>1499665.8599999999</v>
      </c>
      <c r="C44" s="145"/>
      <c r="D44" s="146" t="s">
        <v>124</v>
      </c>
      <c r="E44" s="147">
        <v>0.13800000000000001</v>
      </c>
      <c r="F44" s="148" t="s">
        <v>125</v>
      </c>
      <c r="G44" s="593" t="s">
        <v>126</v>
      </c>
      <c r="H44" s="149">
        <f>C8</f>
        <v>3.5700000000000003E-2</v>
      </c>
      <c r="I44" s="150" t="s">
        <v>127</v>
      </c>
      <c r="J44" s="149">
        <v>1</v>
      </c>
      <c r="K44" s="149" t="s">
        <v>94</v>
      </c>
      <c r="L44" s="151" t="s">
        <v>128</v>
      </c>
      <c r="M44" s="152">
        <f>B17</f>
        <v>4672563373.2299995</v>
      </c>
      <c r="N44" s="146" t="s">
        <v>129</v>
      </c>
      <c r="O44" s="145">
        <v>1020</v>
      </c>
      <c r="P44" s="146" t="s">
        <v>130</v>
      </c>
      <c r="Q44" s="1" t="s">
        <v>126</v>
      </c>
      <c r="R44" s="149">
        <f>B8</f>
        <v>6.6E-3</v>
      </c>
      <c r="S44" s="150" t="s">
        <v>127</v>
      </c>
      <c r="T44" s="149">
        <v>1</v>
      </c>
      <c r="U44" s="149" t="s">
        <v>94</v>
      </c>
    </row>
    <row r="45" spans="1:21" ht="14.25" customHeight="1" x14ac:dyDescent="0.2">
      <c r="A45" s="125"/>
      <c r="B45" s="1"/>
      <c r="C45" s="125"/>
      <c r="D45" s="153" t="s">
        <v>64</v>
      </c>
      <c r="E45" s="125"/>
      <c r="F45" s="154" t="s">
        <v>92</v>
      </c>
      <c r="G45" s="593"/>
      <c r="H45" s="105"/>
      <c r="I45" s="155" t="s">
        <v>131</v>
      </c>
      <c r="J45" s="156">
        <v>2000</v>
      </c>
      <c r="K45" s="105" t="s">
        <v>132</v>
      </c>
      <c r="L45" s="125"/>
      <c r="M45" s="125"/>
      <c r="N45" s="153" t="s">
        <v>64</v>
      </c>
      <c r="O45" s="163">
        <v>1000000</v>
      </c>
      <c r="P45" s="153" t="s">
        <v>73</v>
      </c>
      <c r="Q45" s="1"/>
      <c r="R45" s="105"/>
      <c r="S45" s="155" t="s">
        <v>131</v>
      </c>
      <c r="T45" s="156">
        <v>2000</v>
      </c>
      <c r="U45" s="105" t="s">
        <v>132</v>
      </c>
    </row>
    <row r="46" spans="1:21" ht="14.25" customHeight="1" x14ac:dyDescent="0.2">
      <c r="A46" s="105"/>
      <c r="B46" s="105"/>
      <c r="C46" s="105"/>
      <c r="D46" s="105"/>
      <c r="E46" s="105"/>
      <c r="F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</row>
    <row r="47" spans="1:21" ht="14.25" customHeight="1" x14ac:dyDescent="0.2">
      <c r="A47" s="143"/>
      <c r="B47" s="158">
        <f>(B44*E44*H44+M44*O44*R44/1000000)/2000</f>
        <v>19.421975227230181</v>
      </c>
      <c r="C47" s="158"/>
      <c r="D47" s="105" t="s">
        <v>133</v>
      </c>
      <c r="E47" s="143" t="s">
        <v>90</v>
      </c>
      <c r="F47" s="113">
        <f>B47*(2000/8760)</f>
        <v>4.4342409194589454</v>
      </c>
      <c r="G47" s="105" t="s">
        <v>134</v>
      </c>
      <c r="L47" s="105" t="s">
        <v>134</v>
      </c>
      <c r="N47" s="105"/>
      <c r="O47" s="105"/>
      <c r="P47" s="105"/>
      <c r="Q47" s="105"/>
      <c r="R47" s="105"/>
      <c r="S47" s="105"/>
      <c r="T47" s="105"/>
      <c r="U47" s="105"/>
    </row>
    <row r="48" spans="1:21" ht="14.25" customHeight="1" x14ac:dyDescent="0.2">
      <c r="A48" s="105"/>
      <c r="B48" s="105"/>
      <c r="C48" s="105"/>
      <c r="D48" s="105"/>
      <c r="E48" s="105"/>
      <c r="F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</row>
    <row r="49" spans="1:21" ht="14.25" customHeight="1" x14ac:dyDescent="0.2">
      <c r="A49" s="105"/>
      <c r="B49" s="105"/>
      <c r="C49" s="105"/>
      <c r="D49" s="105"/>
      <c r="E49" s="105"/>
      <c r="F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</row>
    <row r="50" spans="1:21" ht="14.25" customHeight="1" x14ac:dyDescent="0.2">
      <c r="A50" s="143" t="s">
        <v>139</v>
      </c>
      <c r="B50" s="144">
        <f>B16</f>
        <v>1499665.8599999999</v>
      </c>
      <c r="C50" s="145"/>
      <c r="D50" s="146" t="s">
        <v>124</v>
      </c>
      <c r="E50" s="147">
        <v>0.13800000000000001</v>
      </c>
      <c r="F50" s="148" t="s">
        <v>125</v>
      </c>
      <c r="G50" s="593" t="s">
        <v>126</v>
      </c>
      <c r="H50" s="149">
        <f>C9</f>
        <v>3.5700000000000003E-2</v>
      </c>
      <c r="I50" s="150" t="s">
        <v>127</v>
      </c>
      <c r="J50" s="149">
        <v>1</v>
      </c>
      <c r="K50" s="149" t="s">
        <v>94</v>
      </c>
      <c r="L50" s="151" t="s">
        <v>128</v>
      </c>
      <c r="M50" s="152">
        <f>B17</f>
        <v>4672563373.2299995</v>
      </c>
      <c r="N50" s="146" t="s">
        <v>129</v>
      </c>
      <c r="O50" s="145">
        <v>1020</v>
      </c>
      <c r="P50" s="146" t="s">
        <v>130</v>
      </c>
      <c r="Q50" s="1" t="s">
        <v>126</v>
      </c>
      <c r="R50" s="149">
        <f>B9</f>
        <v>6.6E-3</v>
      </c>
      <c r="S50" s="150" t="s">
        <v>127</v>
      </c>
      <c r="T50" s="149">
        <v>1</v>
      </c>
      <c r="U50" s="149" t="s">
        <v>94</v>
      </c>
    </row>
    <row r="51" spans="1:21" ht="14.25" customHeight="1" x14ac:dyDescent="0.2">
      <c r="A51" s="125"/>
      <c r="B51" s="1"/>
      <c r="C51" s="125"/>
      <c r="D51" s="153" t="s">
        <v>64</v>
      </c>
      <c r="E51" s="125"/>
      <c r="F51" s="154" t="s">
        <v>92</v>
      </c>
      <c r="G51" s="593"/>
      <c r="H51" s="105"/>
      <c r="I51" s="155" t="s">
        <v>131</v>
      </c>
      <c r="J51" s="156">
        <v>2000</v>
      </c>
      <c r="K51" s="105" t="s">
        <v>132</v>
      </c>
      <c r="L51" s="125"/>
      <c r="M51" s="125"/>
      <c r="N51" s="153" t="s">
        <v>64</v>
      </c>
      <c r="O51" s="163">
        <v>1000000</v>
      </c>
      <c r="P51" s="153" t="s">
        <v>73</v>
      </c>
      <c r="Q51" s="1"/>
      <c r="R51" s="105"/>
      <c r="S51" s="155" t="s">
        <v>131</v>
      </c>
      <c r="T51" s="156">
        <v>2000</v>
      </c>
      <c r="U51" s="105" t="s">
        <v>132</v>
      </c>
    </row>
    <row r="52" spans="1:21" ht="14.25" customHeight="1" x14ac:dyDescent="0.2">
      <c r="A52" s="105"/>
      <c r="B52" s="105"/>
      <c r="C52" s="105"/>
      <c r="D52" s="105"/>
      <c r="E52" s="105"/>
      <c r="F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</row>
    <row r="53" spans="1:21" ht="14.25" customHeight="1" x14ac:dyDescent="0.2">
      <c r="A53" s="143"/>
      <c r="B53" s="158">
        <f>(B50*E50*H50+M50*O50*R50/1000000)/2000</f>
        <v>19.421975227230181</v>
      </c>
      <c r="C53" s="158"/>
      <c r="D53" s="105" t="s">
        <v>133</v>
      </c>
      <c r="E53" s="143" t="s">
        <v>90</v>
      </c>
      <c r="F53" s="113">
        <f>B53*(2000/8760)</f>
        <v>4.4342409194589454</v>
      </c>
      <c r="G53" s="105" t="s">
        <v>134</v>
      </c>
      <c r="L53" s="105" t="s">
        <v>134</v>
      </c>
      <c r="N53" s="105"/>
      <c r="O53" s="105"/>
      <c r="P53" s="105"/>
      <c r="Q53" s="105"/>
      <c r="R53" s="105"/>
      <c r="S53" s="105"/>
      <c r="T53" s="105"/>
      <c r="U53" s="105"/>
    </row>
    <row r="54" spans="1:21" ht="14.25" customHeight="1" x14ac:dyDescent="0.2">
      <c r="A54" s="105"/>
      <c r="B54" s="105"/>
      <c r="C54" s="105"/>
      <c r="D54" s="105"/>
      <c r="E54" s="105"/>
      <c r="F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</row>
    <row r="55" spans="1:21" ht="14.25" customHeight="1" x14ac:dyDescent="0.2">
      <c r="A55" s="105"/>
      <c r="B55" s="105"/>
      <c r="C55" s="105"/>
      <c r="D55" s="105"/>
      <c r="E55" s="105"/>
      <c r="F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</row>
    <row r="56" spans="1:21" ht="14.25" customHeight="1" x14ac:dyDescent="0.2">
      <c r="A56" s="143" t="s">
        <v>140</v>
      </c>
      <c r="B56" s="144">
        <f>B16</f>
        <v>1499665.8599999999</v>
      </c>
      <c r="C56" s="145"/>
      <c r="D56" s="146" t="s">
        <v>124</v>
      </c>
      <c r="E56" s="147">
        <v>0.13800000000000001</v>
      </c>
      <c r="F56" s="148" t="s">
        <v>125</v>
      </c>
      <c r="G56" s="593" t="s">
        <v>126</v>
      </c>
      <c r="H56" s="149">
        <f>1.01*B18</f>
        <v>7.5497499999999996E-4</v>
      </c>
      <c r="I56" s="150" t="s">
        <v>127</v>
      </c>
      <c r="J56" s="149">
        <v>1</v>
      </c>
      <c r="K56" s="149" t="s">
        <v>94</v>
      </c>
      <c r="L56" s="151" t="s">
        <v>128</v>
      </c>
      <c r="M56" s="152">
        <f>B17</f>
        <v>4672563373.2299995</v>
      </c>
      <c r="N56" s="146" t="s">
        <v>129</v>
      </c>
      <c r="O56" s="145">
        <v>1020</v>
      </c>
      <c r="P56" s="146" t="s">
        <v>130</v>
      </c>
      <c r="Q56" s="1" t="s">
        <v>126</v>
      </c>
      <c r="R56" s="149">
        <f>B10</f>
        <v>2.8E-3</v>
      </c>
      <c r="S56" s="150" t="s">
        <v>127</v>
      </c>
      <c r="T56" s="149">
        <v>1</v>
      </c>
      <c r="U56" s="149" t="s">
        <v>94</v>
      </c>
    </row>
    <row r="57" spans="1:21" ht="14.25" customHeight="1" x14ac:dyDescent="0.2">
      <c r="A57" s="125"/>
      <c r="B57" s="1"/>
      <c r="C57" s="125"/>
      <c r="D57" s="153" t="s">
        <v>64</v>
      </c>
      <c r="E57" s="125"/>
      <c r="F57" s="154" t="s">
        <v>92</v>
      </c>
      <c r="G57" s="593"/>
      <c r="H57" s="105"/>
      <c r="I57" s="155" t="s">
        <v>131</v>
      </c>
      <c r="J57" s="156">
        <v>2000</v>
      </c>
      <c r="K57" s="105" t="s">
        <v>132</v>
      </c>
      <c r="L57" s="125"/>
      <c r="M57" s="125"/>
      <c r="N57" s="153" t="s">
        <v>64</v>
      </c>
      <c r="O57" s="163">
        <v>1000000</v>
      </c>
      <c r="P57" s="153" t="s">
        <v>73</v>
      </c>
      <c r="Q57" s="1"/>
      <c r="R57" s="105"/>
      <c r="S57" s="155" t="s">
        <v>131</v>
      </c>
      <c r="T57" s="156">
        <v>2000</v>
      </c>
      <c r="U57" s="105" t="s">
        <v>132</v>
      </c>
    </row>
    <row r="58" spans="1:21" ht="14.25" customHeight="1" x14ac:dyDescent="0.2">
      <c r="A58" s="105"/>
      <c r="B58" s="105"/>
      <c r="C58" s="105"/>
      <c r="D58" s="105"/>
      <c r="E58" s="105"/>
      <c r="F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</row>
    <row r="59" spans="1:21" ht="14.25" customHeight="1" x14ac:dyDescent="0.2">
      <c r="A59" s="143"/>
      <c r="B59" s="158">
        <f>(B56*E56*H56+M56*O56*R56/1000000)/2000</f>
        <v>6.7505430030255313</v>
      </c>
      <c r="C59" s="158"/>
      <c r="D59" s="105" t="s">
        <v>133</v>
      </c>
      <c r="E59" s="143" t="s">
        <v>90</v>
      </c>
      <c r="F59" s="113">
        <f>B59*(2000/8760)</f>
        <v>1.5412198637044592</v>
      </c>
      <c r="G59" s="105" t="s">
        <v>134</v>
      </c>
      <c r="L59" s="105" t="s">
        <v>134</v>
      </c>
      <c r="N59" s="105"/>
      <c r="O59" s="105"/>
      <c r="P59" s="105"/>
      <c r="Q59" s="105"/>
      <c r="R59" s="105"/>
      <c r="S59" s="105"/>
      <c r="T59" s="105"/>
      <c r="U59" s="105"/>
    </row>
    <row r="60" spans="1:21" ht="14.25" customHeight="1" x14ac:dyDescent="0.2">
      <c r="A60" s="105"/>
      <c r="B60" s="105"/>
      <c r="C60" s="105"/>
      <c r="D60" s="105"/>
      <c r="E60" s="105"/>
      <c r="F60" s="105"/>
      <c r="L60" s="105"/>
      <c r="M60" s="105"/>
      <c r="N60" s="105"/>
      <c r="O60" s="105"/>
      <c r="P60" s="105"/>
      <c r="Q60" s="105"/>
      <c r="R60" s="105"/>
      <c r="S60" s="105"/>
      <c r="T60" s="105"/>
      <c r="U60" s="105"/>
    </row>
    <row r="61" spans="1:21" ht="14.25" customHeight="1" x14ac:dyDescent="0.2">
      <c r="A61" s="105"/>
      <c r="B61" s="105"/>
      <c r="C61" s="105"/>
      <c r="D61" s="105"/>
      <c r="E61" s="105"/>
      <c r="F61" s="105"/>
      <c r="L61" s="105"/>
      <c r="M61" s="105"/>
      <c r="N61" s="105"/>
      <c r="O61" s="105"/>
      <c r="P61" s="105"/>
      <c r="Q61" s="105"/>
      <c r="R61" s="105"/>
      <c r="S61" s="105"/>
      <c r="T61" s="105"/>
      <c r="U61" s="105"/>
    </row>
    <row r="62" spans="1:21" ht="14.25" customHeight="1" x14ac:dyDescent="0.2">
      <c r="A62" s="143" t="s">
        <v>142</v>
      </c>
      <c r="B62" s="144">
        <f>B16</f>
        <v>1499665.8599999999</v>
      </c>
      <c r="C62" s="145"/>
      <c r="D62" s="146" t="s">
        <v>124</v>
      </c>
      <c r="E62" s="147">
        <v>0.13800000000000001</v>
      </c>
      <c r="F62" s="148" t="s">
        <v>125</v>
      </c>
      <c r="G62" s="593" t="s">
        <v>126</v>
      </c>
      <c r="H62" s="149">
        <f>C11</f>
        <v>7.7000000000000002E-3</v>
      </c>
      <c r="I62" s="150" t="s">
        <v>127</v>
      </c>
      <c r="J62" s="149">
        <v>1</v>
      </c>
      <c r="K62" s="149" t="s">
        <v>94</v>
      </c>
      <c r="L62" s="151" t="s">
        <v>128</v>
      </c>
      <c r="M62" s="152">
        <f>B17</f>
        <v>4672563373.2299995</v>
      </c>
      <c r="N62" s="146" t="s">
        <v>129</v>
      </c>
      <c r="O62" s="145">
        <v>1020</v>
      </c>
      <c r="P62" s="146" t="s">
        <v>130</v>
      </c>
      <c r="Q62" s="1" t="s">
        <v>126</v>
      </c>
      <c r="R62" s="149">
        <f>B11</f>
        <v>4.2999999999999999E-4</v>
      </c>
      <c r="S62" s="150" t="s">
        <v>127</v>
      </c>
      <c r="T62" s="149">
        <v>1</v>
      </c>
      <c r="U62" s="149" t="s">
        <v>94</v>
      </c>
    </row>
    <row r="63" spans="1:21" ht="14.25" customHeight="1" x14ac:dyDescent="0.2">
      <c r="A63" s="125"/>
      <c r="B63" s="1"/>
      <c r="C63" s="125"/>
      <c r="D63" s="153" t="s">
        <v>64</v>
      </c>
      <c r="E63" s="125"/>
      <c r="F63" s="154" t="s">
        <v>92</v>
      </c>
      <c r="G63" s="593"/>
      <c r="H63" s="105"/>
      <c r="I63" s="155" t="s">
        <v>131</v>
      </c>
      <c r="J63" s="156">
        <v>2000</v>
      </c>
      <c r="K63" s="105" t="s">
        <v>132</v>
      </c>
      <c r="L63" s="125"/>
      <c r="M63" s="125"/>
      <c r="N63" s="153" t="s">
        <v>64</v>
      </c>
      <c r="O63" s="163">
        <v>1000000</v>
      </c>
      <c r="P63" s="153" t="s">
        <v>73</v>
      </c>
      <c r="Q63" s="1"/>
      <c r="R63" s="105"/>
      <c r="S63" s="155" t="s">
        <v>131</v>
      </c>
      <c r="T63" s="156">
        <v>2000</v>
      </c>
      <c r="U63" s="105" t="s">
        <v>132</v>
      </c>
    </row>
    <row r="64" spans="1:21" ht="14.25" customHeight="1" x14ac:dyDescent="0.2">
      <c r="A64" s="105"/>
      <c r="B64" s="105"/>
      <c r="C64" s="105"/>
      <c r="D64" s="105"/>
      <c r="E64" s="105"/>
      <c r="F64" s="105"/>
      <c r="L64" s="105"/>
      <c r="M64" s="105"/>
      <c r="N64" s="105"/>
      <c r="O64" s="105"/>
      <c r="P64" s="105"/>
      <c r="Q64" s="105"/>
      <c r="R64" s="105"/>
      <c r="S64" s="105"/>
      <c r="T64" s="105"/>
      <c r="U64" s="105"/>
    </row>
    <row r="65" spans="1:21" ht="14.25" customHeight="1" x14ac:dyDescent="0.2">
      <c r="A65" s="143"/>
      <c r="B65" s="158">
        <f>(B62*E62*H62+M62*O62*R62/1000000)/2000</f>
        <v>1.8214656191673388</v>
      </c>
      <c r="C65" s="158"/>
      <c r="D65" s="105" t="s">
        <v>133</v>
      </c>
      <c r="E65" s="143" t="s">
        <v>90</v>
      </c>
      <c r="F65" s="113">
        <f>B65*(2000/8760)</f>
        <v>0.41585973040350199</v>
      </c>
      <c r="G65" s="105" t="s">
        <v>134</v>
      </c>
      <c r="L65" s="105" t="s">
        <v>134</v>
      </c>
      <c r="N65" s="105"/>
      <c r="O65" s="105"/>
      <c r="P65" s="105"/>
      <c r="Q65" s="105"/>
      <c r="R65" s="105"/>
      <c r="S65" s="105"/>
      <c r="T65" s="105"/>
      <c r="U65" s="105"/>
    </row>
    <row r="66" spans="1:21" ht="14.25" customHeight="1" x14ac:dyDescent="0.2">
      <c r="A66" s="105"/>
      <c r="B66" s="105"/>
      <c r="C66" s="105"/>
      <c r="D66" s="105"/>
      <c r="E66" s="105"/>
      <c r="F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</row>
    <row r="67" spans="1:21" ht="14.25" customHeight="1" x14ac:dyDescent="0.2">
      <c r="A67" s="105"/>
      <c r="B67" s="105"/>
      <c r="C67" s="105"/>
      <c r="D67" s="105"/>
      <c r="E67" s="105"/>
      <c r="F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</row>
    <row r="68" spans="1:21" ht="14.25" customHeight="1" x14ac:dyDescent="0.2">
      <c r="A68" s="143" t="s">
        <v>143</v>
      </c>
      <c r="B68" s="144">
        <f>B16</f>
        <v>1499665.8599999999</v>
      </c>
      <c r="C68" s="145"/>
      <c r="D68" s="146" t="s">
        <v>124</v>
      </c>
      <c r="E68" s="147">
        <v>0.13800000000000001</v>
      </c>
      <c r="F68" s="148" t="s">
        <v>125</v>
      </c>
      <c r="G68" s="593" t="s">
        <v>126</v>
      </c>
      <c r="H68" s="165">
        <f>C12</f>
        <v>9.0000000000000002E-6</v>
      </c>
      <c r="I68" s="150" t="s">
        <v>127</v>
      </c>
      <c r="J68" s="149">
        <v>1</v>
      </c>
      <c r="K68" s="149" t="s">
        <v>94</v>
      </c>
      <c r="L68" s="151" t="s">
        <v>128</v>
      </c>
      <c r="M68" s="152">
        <f>B17</f>
        <v>4672563373.2299995</v>
      </c>
      <c r="N68" s="146" t="s">
        <v>129</v>
      </c>
      <c r="O68" s="145">
        <v>1020</v>
      </c>
      <c r="P68" s="146" t="s">
        <v>130</v>
      </c>
      <c r="Q68" s="1" t="s">
        <v>126</v>
      </c>
      <c r="R68" s="149">
        <f>B12</f>
        <v>0</v>
      </c>
      <c r="S68" s="150" t="s">
        <v>127</v>
      </c>
      <c r="T68" s="149">
        <v>1</v>
      </c>
      <c r="U68" s="149" t="s">
        <v>94</v>
      </c>
    </row>
    <row r="69" spans="1:21" ht="14.25" customHeight="1" x14ac:dyDescent="0.2">
      <c r="A69" s="125"/>
      <c r="B69" s="1"/>
      <c r="C69" s="125"/>
      <c r="D69" s="153" t="s">
        <v>64</v>
      </c>
      <c r="E69" s="125"/>
      <c r="F69" s="154" t="s">
        <v>92</v>
      </c>
      <c r="G69" s="593"/>
      <c r="H69" s="105"/>
      <c r="I69" s="155" t="s">
        <v>131</v>
      </c>
      <c r="J69" s="156">
        <v>2000</v>
      </c>
      <c r="K69" s="105" t="s">
        <v>132</v>
      </c>
      <c r="L69" s="125"/>
      <c r="M69" s="125"/>
      <c r="N69" s="153" t="s">
        <v>64</v>
      </c>
      <c r="O69" s="163">
        <v>1000000</v>
      </c>
      <c r="P69" s="153" t="s">
        <v>73</v>
      </c>
      <c r="Q69" s="1"/>
      <c r="R69" s="105"/>
      <c r="S69" s="155" t="s">
        <v>131</v>
      </c>
      <c r="T69" s="156">
        <v>2000</v>
      </c>
      <c r="U69" s="105" t="s">
        <v>132</v>
      </c>
    </row>
    <row r="70" spans="1:21" ht="14.25" customHeight="1" x14ac:dyDescent="0.2">
      <c r="A70" s="105"/>
      <c r="B70" s="105"/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05"/>
      <c r="P70" s="105"/>
    </row>
    <row r="71" spans="1:21" ht="14.25" customHeight="1" x14ac:dyDescent="0.2">
      <c r="A71" s="143"/>
      <c r="B71" s="158">
        <f>(B68*E68*H68+M68*O68*R68/1000000)/2000</f>
        <v>9.3129249906000005E-4</v>
      </c>
      <c r="C71" s="158"/>
      <c r="D71" s="105" t="s">
        <v>133</v>
      </c>
      <c r="E71" s="143" t="s">
        <v>90</v>
      </c>
      <c r="F71" s="113">
        <f>B71*(2000/8760)</f>
        <v>2.1262385823287672E-4</v>
      </c>
      <c r="G71" s="105" t="s">
        <v>134</v>
      </c>
      <c r="I71" s="105"/>
      <c r="J71" s="105"/>
      <c r="K71" s="105"/>
      <c r="L71" s="105"/>
      <c r="M71" s="105"/>
      <c r="N71" s="105"/>
      <c r="O71" s="105"/>
      <c r="P71" s="105"/>
    </row>
    <row r="74" spans="1:21" ht="14.25" customHeight="1" x14ac:dyDescent="0.2">
      <c r="A74" s="143" t="s">
        <v>144</v>
      </c>
      <c r="B74" s="144">
        <f>B16</f>
        <v>1499665.8599999999</v>
      </c>
      <c r="C74" s="145"/>
      <c r="D74" s="146" t="s">
        <v>124</v>
      </c>
      <c r="E74" s="166">
        <f>W11</f>
        <v>22.578420600240001</v>
      </c>
      <c r="F74" s="148" t="s">
        <v>132</v>
      </c>
      <c r="G74" s="593" t="s">
        <v>126</v>
      </c>
      <c r="H74" s="149">
        <v>1</v>
      </c>
      <c r="I74" s="149" t="s">
        <v>94</v>
      </c>
      <c r="J74" s="151" t="s">
        <v>128</v>
      </c>
      <c r="M74" s="152">
        <f>B17</f>
        <v>4672563373.2299995</v>
      </c>
      <c r="N74" s="146" t="s">
        <v>129</v>
      </c>
      <c r="O74" s="167">
        <f>W12</f>
        <v>0.12049378638965323</v>
      </c>
      <c r="P74" s="146" t="s">
        <v>132</v>
      </c>
      <c r="Q74" s="1" t="s">
        <v>126</v>
      </c>
      <c r="R74" s="149">
        <v>1</v>
      </c>
      <c r="S74" s="149" t="s">
        <v>94</v>
      </c>
    </row>
    <row r="75" spans="1:21" ht="14.25" customHeight="1" x14ac:dyDescent="0.2">
      <c r="A75" s="125"/>
      <c r="B75" s="1"/>
      <c r="C75" s="125"/>
      <c r="D75" s="153" t="s">
        <v>64</v>
      </c>
      <c r="E75" s="125"/>
      <c r="F75" s="154" t="s">
        <v>92</v>
      </c>
      <c r="G75" s="593"/>
      <c r="H75" s="156">
        <v>2000</v>
      </c>
      <c r="I75" s="105" t="s">
        <v>132</v>
      </c>
      <c r="J75" s="125"/>
      <c r="M75" s="125"/>
      <c r="N75" s="153" t="s">
        <v>64</v>
      </c>
      <c r="O75" s="163"/>
      <c r="P75" s="153" t="s">
        <v>73</v>
      </c>
      <c r="Q75" s="1"/>
      <c r="R75" s="156">
        <v>2000</v>
      </c>
      <c r="S75" s="105" t="s">
        <v>132</v>
      </c>
    </row>
    <row r="76" spans="1:21" ht="14.25" customHeight="1" x14ac:dyDescent="0.2">
      <c r="A76" s="105"/>
      <c r="B76" s="105"/>
      <c r="C76" s="105"/>
      <c r="D76" s="105"/>
      <c r="E76" s="105"/>
      <c r="F76" s="105"/>
      <c r="L76" s="105"/>
      <c r="M76" s="105"/>
      <c r="N76" s="105"/>
      <c r="O76" s="105"/>
      <c r="P76" s="105"/>
      <c r="Q76" s="105"/>
      <c r="R76" s="105"/>
      <c r="S76" s="105"/>
      <c r="T76" s="105"/>
      <c r="U76" s="105"/>
    </row>
    <row r="77" spans="1:21" ht="14.25" customHeight="1" x14ac:dyDescent="0.2">
      <c r="A77" s="143"/>
      <c r="B77" s="158">
        <f>(B74*E74+M74*O74)/H75</f>
        <v>298437.46976649691</v>
      </c>
      <c r="C77" s="158"/>
      <c r="D77" s="105" t="s">
        <v>133</v>
      </c>
      <c r="E77" s="143" t="s">
        <v>90</v>
      </c>
      <c r="F77" s="113">
        <f>B77*(2000/8760)</f>
        <v>68136.40862248787</v>
      </c>
      <c r="G77" s="105" t="s">
        <v>134</v>
      </c>
      <c r="L77" s="105"/>
      <c r="N77" s="105"/>
      <c r="O77" s="105"/>
      <c r="P77" s="105"/>
      <c r="Q77" s="105"/>
      <c r="R77" s="105"/>
      <c r="S77" s="105"/>
      <c r="T77" s="105"/>
      <c r="U77" s="105"/>
    </row>
    <row r="78" spans="1:21" ht="14.25" customHeight="1" x14ac:dyDescent="0.2">
      <c r="A78" s="105"/>
      <c r="B78" s="105"/>
      <c r="C78" s="105"/>
      <c r="D78" s="105"/>
      <c r="E78" s="105"/>
      <c r="F78" s="105"/>
      <c r="L78" s="105"/>
      <c r="M78" s="105"/>
      <c r="N78" s="105"/>
      <c r="O78" s="105"/>
      <c r="P78" s="105"/>
      <c r="Q78" s="105"/>
      <c r="R78" s="105"/>
      <c r="S78" s="105"/>
      <c r="T78" s="105"/>
      <c r="U78" s="105"/>
    </row>
    <row r="79" spans="1:21" ht="14.25" customHeight="1" x14ac:dyDescent="0.2">
      <c r="A79" s="105"/>
      <c r="B79" s="105"/>
      <c r="C79" s="105"/>
      <c r="D79" s="105"/>
      <c r="E79" s="105"/>
      <c r="F79" s="105"/>
      <c r="L79" s="105"/>
      <c r="M79" s="105"/>
      <c r="N79" s="105"/>
      <c r="O79" s="105"/>
      <c r="P79" s="105"/>
      <c r="Q79" s="105"/>
      <c r="R79" s="105"/>
      <c r="S79" s="105"/>
      <c r="T79" s="105"/>
      <c r="U79" s="105"/>
    </row>
    <row r="80" spans="1:21" ht="14.25" customHeight="1" x14ac:dyDescent="0.2">
      <c r="A80" s="86"/>
      <c r="B80" s="82" t="s">
        <v>145</v>
      </c>
      <c r="C80" s="82"/>
      <c r="D80" s="82"/>
      <c r="E80" s="82"/>
      <c r="F80" s="82"/>
      <c r="G80" s="82"/>
      <c r="H80" s="82"/>
      <c r="I80" s="82"/>
      <c r="J80" s="82"/>
      <c r="K80" s="86"/>
      <c r="L80" s="86"/>
      <c r="M80" s="86"/>
      <c r="N80" s="86"/>
      <c r="O80" s="86"/>
      <c r="P80" s="86"/>
    </row>
    <row r="81" spans="2:10" ht="14.25" customHeight="1" x14ac:dyDescent="0.2">
      <c r="B81" s="82" t="s">
        <v>146</v>
      </c>
      <c r="C81" s="82"/>
      <c r="D81" s="82"/>
      <c r="E81" s="82"/>
      <c r="F81" s="82"/>
      <c r="G81" s="82"/>
      <c r="H81" s="82"/>
      <c r="I81" s="82"/>
      <c r="J81" s="82"/>
    </row>
    <row r="82" spans="2:10" ht="14.25" customHeight="1" x14ac:dyDescent="0.2">
      <c r="B82" s="82" t="s">
        <v>147</v>
      </c>
      <c r="C82" s="82"/>
      <c r="D82" s="82"/>
      <c r="E82" s="82"/>
      <c r="F82" s="82"/>
      <c r="G82" s="82"/>
      <c r="H82" s="82"/>
      <c r="I82" s="82"/>
      <c r="J82" s="82"/>
    </row>
    <row r="83" spans="2:10" ht="14.25" customHeight="1" x14ac:dyDescent="0.2">
      <c r="B83" s="82" t="s">
        <v>148</v>
      </c>
      <c r="C83" s="82"/>
      <c r="D83" s="86"/>
      <c r="E83" s="86"/>
      <c r="F83" s="86"/>
      <c r="G83" s="86"/>
      <c r="H83" s="86"/>
      <c r="I83" s="86"/>
      <c r="J83" s="86"/>
    </row>
  </sheetData>
  <mergeCells count="13">
    <mergeCell ref="A1:P1"/>
    <mergeCell ref="F6:N6"/>
    <mergeCell ref="G20:G21"/>
    <mergeCell ref="Q20:Q21"/>
    <mergeCell ref="G26:G27"/>
    <mergeCell ref="G62:G63"/>
    <mergeCell ref="G68:G69"/>
    <mergeCell ref="G74:G75"/>
    <mergeCell ref="G32:G33"/>
    <mergeCell ref="G38:G39"/>
    <mergeCell ref="G44:G45"/>
    <mergeCell ref="G50:G51"/>
    <mergeCell ref="G56:G57"/>
  </mergeCells>
  <pageMargins left="0.7" right="0.7" top="0.75" bottom="0.75" header="0.511811023622047" footer="0.511811023622047"/>
  <pageSetup paperSize="9" orientation="portrait" horizontalDpi="300" verticalDpi="300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AC56"/>
  <sheetViews>
    <sheetView zoomScaleNormal="100" workbookViewId="0">
      <selection sqref="A1:O1"/>
    </sheetView>
  </sheetViews>
  <sheetFormatPr defaultColWidth="8.85546875" defaultRowHeight="15" x14ac:dyDescent="0.25"/>
  <cols>
    <col min="1" max="1" width="10.5703125" style="29" customWidth="1"/>
    <col min="2" max="2" width="14.5703125" style="29" customWidth="1"/>
    <col min="3" max="3" width="14.42578125" style="29" customWidth="1"/>
    <col min="4" max="4" width="17.5703125" style="29" customWidth="1"/>
    <col min="5" max="5" width="16.28515625" style="29" customWidth="1"/>
    <col min="6" max="6" width="18.28515625" style="29" customWidth="1"/>
    <col min="7" max="7" width="9.42578125" style="29" customWidth="1"/>
    <col min="8" max="8" width="14.28515625" style="29" customWidth="1"/>
    <col min="9" max="9" width="13.140625" style="29" customWidth="1"/>
    <col min="10" max="10" width="12.85546875" style="29" customWidth="1"/>
    <col min="11" max="13" width="8.85546875" style="29"/>
    <col min="14" max="15" width="13.42578125" style="29" customWidth="1"/>
    <col min="16" max="16384" width="8.85546875" style="29"/>
  </cols>
  <sheetData>
    <row r="2" spans="1:21" ht="14.25" customHeight="1" x14ac:dyDescent="0.25">
      <c r="A2" s="584" t="s">
        <v>200</v>
      </c>
      <c r="B2" s="584"/>
      <c r="C2" s="584"/>
      <c r="D2" s="584"/>
      <c r="E2" s="584"/>
      <c r="F2" s="584"/>
      <c r="H2" s="596" t="s">
        <v>201</v>
      </c>
      <c r="I2" s="596"/>
    </row>
    <row r="3" spans="1:21" ht="14.25" customHeight="1" x14ac:dyDescent="0.25">
      <c r="A3" s="596" t="s">
        <v>64</v>
      </c>
      <c r="B3" s="602" t="s">
        <v>63</v>
      </c>
      <c r="C3" s="602"/>
      <c r="D3" s="603" t="s">
        <v>61</v>
      </c>
      <c r="E3" s="603"/>
      <c r="F3" s="604" t="s">
        <v>202</v>
      </c>
      <c r="H3" s="596"/>
      <c r="I3" s="596"/>
    </row>
    <row r="4" spans="1:21" ht="14.25" customHeight="1" x14ac:dyDescent="0.25">
      <c r="A4" s="596"/>
      <c r="B4" s="32" t="s">
        <v>203</v>
      </c>
      <c r="C4" s="218" t="s">
        <v>204</v>
      </c>
      <c r="D4" s="219" t="s">
        <v>203</v>
      </c>
      <c r="E4" s="218" t="s">
        <v>204</v>
      </c>
      <c r="F4" s="604"/>
      <c r="H4" s="5" t="s">
        <v>203</v>
      </c>
      <c r="I4" s="5" t="s">
        <v>204</v>
      </c>
      <c r="T4" s="169"/>
      <c r="U4" s="169"/>
    </row>
    <row r="5" spans="1:21" ht="14.25" customHeight="1" x14ac:dyDescent="0.25">
      <c r="A5" s="36">
        <v>45292</v>
      </c>
      <c r="B5" s="220">
        <v>0</v>
      </c>
      <c r="C5" s="221">
        <v>173636.61</v>
      </c>
      <c r="D5" s="222">
        <f t="shared" ref="D5:D16" si="0">SUM(B5*42)</f>
        <v>0</v>
      </c>
      <c r="E5" s="223">
        <f t="shared" ref="E5:E16" si="1">SUM(C5*42)</f>
        <v>7292737.6199999992</v>
      </c>
      <c r="F5" s="224">
        <f t="shared" ref="F5:F15" si="2">D5+E5</f>
        <v>7292737.6199999992</v>
      </c>
      <c r="H5" s="60">
        <v>0.5</v>
      </c>
      <c r="I5" s="225">
        <v>0.5</v>
      </c>
      <c r="T5" s="172"/>
      <c r="U5" s="172"/>
    </row>
    <row r="6" spans="1:21" ht="14.25" customHeight="1" x14ac:dyDescent="0.25">
      <c r="A6" s="42">
        <v>45323</v>
      </c>
      <c r="B6" s="226">
        <v>70456.36</v>
      </c>
      <c r="C6" s="227">
        <v>287763.69</v>
      </c>
      <c r="D6" s="228">
        <f t="shared" si="0"/>
        <v>2959167.12</v>
      </c>
      <c r="E6" s="229">
        <f t="shared" si="1"/>
        <v>12086074.98</v>
      </c>
      <c r="F6" s="230">
        <f t="shared" si="2"/>
        <v>15045242.100000001</v>
      </c>
      <c r="H6" s="64">
        <v>0.48</v>
      </c>
      <c r="I6" s="231">
        <v>0.48</v>
      </c>
      <c r="T6" s="172"/>
      <c r="U6" s="172"/>
    </row>
    <row r="7" spans="1:21" ht="14.25" customHeight="1" x14ac:dyDescent="0.25">
      <c r="A7" s="42">
        <v>45352</v>
      </c>
      <c r="B7" s="226">
        <v>28670.62</v>
      </c>
      <c r="C7" s="232">
        <v>286284.78000000003</v>
      </c>
      <c r="D7" s="233">
        <f t="shared" si="0"/>
        <v>1204166.04</v>
      </c>
      <c r="E7" s="234">
        <f t="shared" si="1"/>
        <v>12023960.760000002</v>
      </c>
      <c r="F7" s="230">
        <f t="shared" si="2"/>
        <v>13228126.800000001</v>
      </c>
      <c r="H7" s="64">
        <v>0.48</v>
      </c>
      <c r="I7" s="231">
        <v>0.49</v>
      </c>
      <c r="T7" s="172"/>
      <c r="U7" s="172"/>
    </row>
    <row r="8" spans="1:21" ht="14.25" customHeight="1" x14ac:dyDescent="0.25">
      <c r="A8" s="42">
        <v>45383</v>
      </c>
      <c r="B8" s="226">
        <v>4943.54</v>
      </c>
      <c r="C8" s="232">
        <v>270551.87</v>
      </c>
      <c r="D8" s="233">
        <f t="shared" si="0"/>
        <v>207628.68</v>
      </c>
      <c r="E8" s="234">
        <f t="shared" si="1"/>
        <v>11363178.539999999</v>
      </c>
      <c r="F8" s="230">
        <f t="shared" si="2"/>
        <v>11570807.219999999</v>
      </c>
      <c r="H8" s="64">
        <v>0.47</v>
      </c>
      <c r="I8" s="231">
        <v>0.47</v>
      </c>
      <c r="T8" s="172"/>
      <c r="U8" s="172"/>
    </row>
    <row r="9" spans="1:21" ht="14.25" customHeight="1" x14ac:dyDescent="0.25">
      <c r="A9" s="42">
        <v>45413</v>
      </c>
      <c r="B9" s="226">
        <v>262847.08</v>
      </c>
      <c r="C9" s="232">
        <v>284615.39</v>
      </c>
      <c r="D9" s="233">
        <f t="shared" si="0"/>
        <v>11039577.360000001</v>
      </c>
      <c r="E9" s="234">
        <f t="shared" si="1"/>
        <v>11953846.380000001</v>
      </c>
      <c r="F9" s="230">
        <f t="shared" si="2"/>
        <v>22993423.740000002</v>
      </c>
      <c r="H9" s="64">
        <v>0.48</v>
      </c>
      <c r="I9" s="231">
        <v>0.48</v>
      </c>
      <c r="T9" s="172"/>
      <c r="U9" s="172"/>
    </row>
    <row r="10" spans="1:21" ht="14.25" customHeight="1" x14ac:dyDescent="0.25">
      <c r="A10" s="42">
        <v>45444</v>
      </c>
      <c r="B10" s="226">
        <v>273570.78000000003</v>
      </c>
      <c r="C10" s="232">
        <v>307826.67</v>
      </c>
      <c r="D10" s="233">
        <f t="shared" si="0"/>
        <v>11489972.760000002</v>
      </c>
      <c r="E10" s="234">
        <f t="shared" si="1"/>
        <v>12928720.139999999</v>
      </c>
      <c r="F10" s="230">
        <f t="shared" si="2"/>
        <v>24418692.899999999</v>
      </c>
      <c r="H10" s="64">
        <v>0.49</v>
      </c>
      <c r="I10" s="231">
        <v>0.49</v>
      </c>
      <c r="T10" s="172"/>
      <c r="U10" s="172"/>
    </row>
    <row r="11" spans="1:21" ht="14.25" customHeight="1" x14ac:dyDescent="0.25">
      <c r="A11" s="42">
        <v>45474</v>
      </c>
      <c r="B11" s="226">
        <v>233430.72</v>
      </c>
      <c r="C11" s="232">
        <v>235801.43</v>
      </c>
      <c r="D11" s="233">
        <f t="shared" si="0"/>
        <v>9804090.2400000002</v>
      </c>
      <c r="E11" s="234">
        <f t="shared" si="1"/>
        <v>9903660.0600000005</v>
      </c>
      <c r="F11" s="230">
        <f t="shared" si="2"/>
        <v>19707750.300000001</v>
      </c>
      <c r="H11" s="43">
        <v>0.49</v>
      </c>
      <c r="I11" s="48">
        <v>0.49</v>
      </c>
      <c r="T11" s="172"/>
      <c r="U11" s="172"/>
    </row>
    <row r="12" spans="1:21" ht="14.25" customHeight="1" x14ac:dyDescent="0.25">
      <c r="A12" s="42">
        <v>45505</v>
      </c>
      <c r="B12" s="226">
        <v>198510.38</v>
      </c>
      <c r="C12" s="232">
        <v>116485.85</v>
      </c>
      <c r="D12" s="233">
        <f t="shared" si="0"/>
        <v>8337435.96</v>
      </c>
      <c r="E12" s="234">
        <f t="shared" si="1"/>
        <v>4892405.7</v>
      </c>
      <c r="F12" s="230">
        <f t="shared" si="2"/>
        <v>13229841.66</v>
      </c>
      <c r="H12" s="64">
        <v>0.49</v>
      </c>
      <c r="I12" s="231">
        <v>0.49</v>
      </c>
      <c r="L12" s="62"/>
      <c r="N12" s="58">
        <f>SUM(B17:E17)</f>
        <v>156416882.13</v>
      </c>
      <c r="T12" s="172"/>
      <c r="U12" s="172"/>
    </row>
    <row r="13" spans="1:21" ht="14.25" customHeight="1" x14ac:dyDescent="0.25">
      <c r="A13" s="42">
        <v>45536</v>
      </c>
      <c r="B13" s="226">
        <v>153911.23000000001</v>
      </c>
      <c r="C13" s="232">
        <v>9797.82</v>
      </c>
      <c r="D13" s="233">
        <f t="shared" si="0"/>
        <v>6464271.6600000001</v>
      </c>
      <c r="E13" s="234">
        <f t="shared" si="1"/>
        <v>411508.44</v>
      </c>
      <c r="F13" s="230">
        <f t="shared" si="2"/>
        <v>6875780.1000000006</v>
      </c>
      <c r="H13" s="64">
        <v>0.49</v>
      </c>
      <c r="I13" s="231">
        <v>0.49</v>
      </c>
      <c r="L13" s="62"/>
      <c r="T13" s="172"/>
      <c r="U13" s="172"/>
    </row>
    <row r="14" spans="1:21" ht="14.25" customHeight="1" x14ac:dyDescent="0.25">
      <c r="A14" s="42">
        <v>45566</v>
      </c>
      <c r="B14" s="226">
        <v>200009.14</v>
      </c>
      <c r="C14" s="232">
        <v>0</v>
      </c>
      <c r="D14" s="233">
        <f t="shared" si="0"/>
        <v>8400383.8800000008</v>
      </c>
      <c r="E14" s="234">
        <f t="shared" si="1"/>
        <v>0</v>
      </c>
      <c r="F14" s="230">
        <f t="shared" si="2"/>
        <v>8400383.8800000008</v>
      </c>
      <c r="H14" s="64">
        <v>0.49</v>
      </c>
      <c r="I14" s="231">
        <v>0.49</v>
      </c>
      <c r="L14" s="62"/>
      <c r="O14" s="58">
        <f>SUM(N12,N15)</f>
        <v>219522190.13</v>
      </c>
      <c r="T14" s="172"/>
      <c r="U14" s="172"/>
    </row>
    <row r="15" spans="1:21" ht="14.25" customHeight="1" x14ac:dyDescent="0.25">
      <c r="A15" s="42">
        <v>45597</v>
      </c>
      <c r="B15" s="226">
        <v>238487.95</v>
      </c>
      <c r="C15" s="232">
        <v>0</v>
      </c>
      <c r="D15" s="233">
        <f t="shared" si="0"/>
        <v>10016493.9</v>
      </c>
      <c r="E15" s="234">
        <f t="shared" si="1"/>
        <v>0</v>
      </c>
      <c r="F15" s="230">
        <f t="shared" si="2"/>
        <v>10016493.9</v>
      </c>
      <c r="H15" s="64">
        <v>0.5</v>
      </c>
      <c r="I15" s="231">
        <v>0.5</v>
      </c>
      <c r="L15" s="62"/>
      <c r="N15" s="58">
        <f>SUM(B35:J35)</f>
        <v>63105308</v>
      </c>
      <c r="T15" s="172"/>
      <c r="U15" s="71"/>
    </row>
    <row r="16" spans="1:21" ht="14.25" customHeight="1" x14ac:dyDescent="0.25">
      <c r="A16" s="49">
        <v>45627</v>
      </c>
      <c r="B16" s="235">
        <v>0</v>
      </c>
      <c r="C16" s="236">
        <v>0</v>
      </c>
      <c r="D16" s="237">
        <f t="shared" si="0"/>
        <v>0</v>
      </c>
      <c r="E16" s="238">
        <f t="shared" si="1"/>
        <v>0</v>
      </c>
      <c r="F16" s="239">
        <v>0</v>
      </c>
      <c r="H16" s="67">
        <v>0.5</v>
      </c>
      <c r="I16" s="240">
        <v>0.5</v>
      </c>
      <c r="L16" s="62"/>
      <c r="T16" s="71"/>
    </row>
    <row r="17" spans="1:29" ht="14.25" customHeight="1" x14ac:dyDescent="0.25">
      <c r="A17" s="5" t="s">
        <v>26</v>
      </c>
      <c r="B17" s="241">
        <f>SUM(B5:B16)</f>
        <v>1664837.8</v>
      </c>
      <c r="C17" s="241">
        <f>SUM(C5:C16)</f>
        <v>1972764.11</v>
      </c>
      <c r="D17" s="241">
        <f>SUM(D5:D16)</f>
        <v>69923187.600000009</v>
      </c>
      <c r="E17" s="241">
        <f>SUM(E5:E16)</f>
        <v>82856092.620000005</v>
      </c>
      <c r="F17" s="242">
        <f>D17+E17</f>
        <v>152779280.22000003</v>
      </c>
      <c r="H17" s="243">
        <f>AVERAGE(H5:H16)</f>
        <v>0.48833333333333345</v>
      </c>
      <c r="I17" s="243">
        <f>AVERAGE(I5:I16)</f>
        <v>0.48916666666666675</v>
      </c>
      <c r="J17" s="244" t="s">
        <v>205</v>
      </c>
      <c r="L17" s="58"/>
    </row>
    <row r="18" spans="1:29" ht="14.25" customHeight="1" x14ac:dyDescent="0.25">
      <c r="F18" s="181">
        <f>SUM(F5:F16)</f>
        <v>152779280.22</v>
      </c>
      <c r="H18" s="245"/>
      <c r="I18" s="246"/>
      <c r="J18" s="71"/>
    </row>
    <row r="20" spans="1:29" ht="14.25" customHeight="1" x14ac:dyDescent="0.25">
      <c r="A20" s="584" t="s">
        <v>206</v>
      </c>
      <c r="B20" s="584"/>
      <c r="C20" s="584"/>
      <c r="D20" s="584"/>
      <c r="E20" s="584"/>
      <c r="F20" s="584"/>
      <c r="G20" s="584"/>
      <c r="H20" s="584"/>
      <c r="I20" s="584"/>
      <c r="J20" s="584"/>
      <c r="K20" s="584"/>
      <c r="L20" s="584"/>
      <c r="M20" s="584"/>
      <c r="N20" s="584"/>
      <c r="O20" s="584"/>
      <c r="P20" s="584"/>
      <c r="Q20" s="584"/>
      <c r="R20" s="584"/>
    </row>
    <row r="21" spans="1:29" ht="14.25" customHeight="1" x14ac:dyDescent="0.25">
      <c r="A21" s="588" t="s">
        <v>61</v>
      </c>
      <c r="B21" s="588"/>
      <c r="C21" s="588"/>
      <c r="D21" s="588"/>
      <c r="E21" s="588"/>
      <c r="F21" s="588"/>
      <c r="G21" s="588"/>
      <c r="H21" s="588"/>
      <c r="I21" s="588"/>
      <c r="J21" s="588"/>
      <c r="K21" s="584" t="s">
        <v>62</v>
      </c>
      <c r="L21" s="584"/>
      <c r="M21" s="584"/>
      <c r="N21" s="584"/>
      <c r="O21" s="584"/>
      <c r="P21" s="584"/>
      <c r="Q21" s="584"/>
      <c r="R21" s="584"/>
      <c r="V21" s="584" t="s">
        <v>207</v>
      </c>
      <c r="W21" s="584"/>
      <c r="X21" s="584"/>
      <c r="Y21" s="584"/>
      <c r="Z21" s="584"/>
      <c r="AA21" s="584"/>
      <c r="AB21" s="584"/>
      <c r="AC21" s="584"/>
    </row>
    <row r="22" spans="1:29" ht="14.25" customHeight="1" x14ac:dyDescent="0.25">
      <c r="A22" s="247" t="s">
        <v>64</v>
      </c>
      <c r="B22" s="248" t="s">
        <v>208</v>
      </c>
      <c r="C22" s="249" t="s">
        <v>209</v>
      </c>
      <c r="D22" s="249" t="s">
        <v>210</v>
      </c>
      <c r="E22" s="249" t="s">
        <v>211</v>
      </c>
      <c r="F22" s="250" t="s">
        <v>212</v>
      </c>
      <c r="G22" s="31"/>
      <c r="H22" s="32" t="s">
        <v>213</v>
      </c>
      <c r="I22" s="251" t="s">
        <v>214</v>
      </c>
      <c r="J22" s="33" t="s">
        <v>215</v>
      </c>
      <c r="K22" s="217" t="s">
        <v>208</v>
      </c>
      <c r="L22" s="251" t="s">
        <v>209</v>
      </c>
      <c r="M22" s="251" t="s">
        <v>210</v>
      </c>
      <c r="N22" s="251" t="s">
        <v>211</v>
      </c>
      <c r="O22" s="251" t="s">
        <v>212</v>
      </c>
      <c r="P22" s="251" t="s">
        <v>213</v>
      </c>
      <c r="Q22" s="251" t="s">
        <v>214</v>
      </c>
      <c r="R22" s="35" t="s">
        <v>215</v>
      </c>
      <c r="V22" s="217" t="s">
        <v>208</v>
      </c>
      <c r="W22" s="251" t="s">
        <v>209</v>
      </c>
      <c r="X22" s="251" t="s">
        <v>210</v>
      </c>
      <c r="Y22" s="251" t="s">
        <v>211</v>
      </c>
      <c r="Z22" s="251" t="s">
        <v>212</v>
      </c>
      <c r="AA22" s="251" t="s">
        <v>213</v>
      </c>
      <c r="AB22" s="251" t="s">
        <v>214</v>
      </c>
      <c r="AC22" s="35" t="s">
        <v>215</v>
      </c>
    </row>
    <row r="23" spans="1:29" ht="14.25" customHeight="1" x14ac:dyDescent="0.25">
      <c r="A23" s="36">
        <v>45292</v>
      </c>
      <c r="B23" s="252">
        <v>1472494</v>
      </c>
      <c r="C23" s="253">
        <v>1330659</v>
      </c>
      <c r="D23" s="253">
        <v>0</v>
      </c>
      <c r="E23" s="253">
        <v>0</v>
      </c>
      <c r="F23" s="254">
        <v>0</v>
      </c>
      <c r="G23" s="36">
        <v>45292</v>
      </c>
      <c r="H23" s="255">
        <v>0</v>
      </c>
      <c r="I23" s="253">
        <v>0</v>
      </c>
      <c r="J23" s="256">
        <v>1090785</v>
      </c>
      <c r="K23" s="257">
        <v>1E-3</v>
      </c>
      <c r="L23" s="258">
        <v>1E-3</v>
      </c>
      <c r="M23" s="258">
        <v>1E-3</v>
      </c>
      <c r="N23" s="258">
        <v>1E-3</v>
      </c>
      <c r="O23" s="258">
        <v>1E-3</v>
      </c>
      <c r="P23" s="259">
        <v>1E-3</v>
      </c>
      <c r="Q23" s="258">
        <v>1E-3</v>
      </c>
      <c r="R23" s="260">
        <v>1E-3</v>
      </c>
      <c r="V23" s="261">
        <v>3.8999999999999998E-3</v>
      </c>
      <c r="W23" s="262">
        <v>3.8999999999999998E-3</v>
      </c>
      <c r="X23" s="262">
        <v>3.8999999999999998E-3</v>
      </c>
      <c r="Y23" s="262">
        <v>3.8999999999999998E-3</v>
      </c>
      <c r="Z23" s="262">
        <v>3.8999999999999998E-3</v>
      </c>
      <c r="AA23" s="262">
        <v>0</v>
      </c>
      <c r="AB23" s="262">
        <v>3.8999999999999998E-3</v>
      </c>
      <c r="AC23" s="263">
        <v>0</v>
      </c>
    </row>
    <row r="24" spans="1:29" ht="14.25" customHeight="1" x14ac:dyDescent="0.25">
      <c r="A24" s="42">
        <v>45323</v>
      </c>
      <c r="B24" s="264">
        <v>965131</v>
      </c>
      <c r="C24" s="265">
        <v>1091093</v>
      </c>
      <c r="D24" s="265">
        <v>0</v>
      </c>
      <c r="E24" s="265">
        <v>0</v>
      </c>
      <c r="F24" s="266">
        <v>0</v>
      </c>
      <c r="G24" s="42">
        <v>45323</v>
      </c>
      <c r="H24" s="267">
        <v>0</v>
      </c>
      <c r="I24" s="265">
        <v>0</v>
      </c>
      <c r="J24" s="268">
        <v>1042826</v>
      </c>
      <c r="K24" s="269">
        <v>1E-3</v>
      </c>
      <c r="L24" s="270">
        <v>1E-3</v>
      </c>
      <c r="M24" s="270">
        <v>1E-3</v>
      </c>
      <c r="N24" s="270">
        <v>1E-3</v>
      </c>
      <c r="O24" s="270">
        <v>1E-3</v>
      </c>
      <c r="P24" s="271">
        <v>1E-3</v>
      </c>
      <c r="Q24" s="270">
        <v>1E-3</v>
      </c>
      <c r="R24" s="272">
        <v>1E-3</v>
      </c>
      <c r="V24" s="273">
        <v>4.4803387457726601E-3</v>
      </c>
      <c r="W24" s="274">
        <v>4.4803387457726601E-3</v>
      </c>
      <c r="X24" s="274">
        <v>4.1487674298897898E-3</v>
      </c>
      <c r="Y24" s="274">
        <v>4.4988308912964703E-3</v>
      </c>
      <c r="Z24" s="274">
        <v>4.3206425724684099E-3</v>
      </c>
      <c r="AA24" s="274">
        <v>0</v>
      </c>
      <c r="AB24" s="274">
        <v>4.5345684973462598E-3</v>
      </c>
      <c r="AC24" s="275">
        <v>0</v>
      </c>
    </row>
    <row r="25" spans="1:29" ht="14.25" customHeight="1" x14ac:dyDescent="0.25">
      <c r="A25" s="42">
        <v>45352</v>
      </c>
      <c r="B25" s="264">
        <v>634192</v>
      </c>
      <c r="C25" s="265">
        <v>1087440</v>
      </c>
      <c r="D25" s="265">
        <v>0</v>
      </c>
      <c r="E25" s="265">
        <v>0</v>
      </c>
      <c r="F25" s="266">
        <v>0</v>
      </c>
      <c r="G25" s="42">
        <v>45352</v>
      </c>
      <c r="H25" s="267">
        <v>0</v>
      </c>
      <c r="I25" s="265">
        <v>0</v>
      </c>
      <c r="J25" s="268">
        <v>878895</v>
      </c>
      <c r="K25" s="269">
        <v>1E-3</v>
      </c>
      <c r="L25" s="270">
        <v>1E-3</v>
      </c>
      <c r="M25" s="270">
        <v>1E-3</v>
      </c>
      <c r="N25" s="270">
        <v>1E-3</v>
      </c>
      <c r="O25" s="270">
        <v>1E-3</v>
      </c>
      <c r="P25" s="271">
        <v>1E-3</v>
      </c>
      <c r="Q25" s="270">
        <v>1E-3</v>
      </c>
      <c r="R25" s="272">
        <v>1E-3</v>
      </c>
      <c r="V25" s="273">
        <v>4.4909213443380998E-3</v>
      </c>
      <c r="W25" s="274">
        <v>4.4822349298402602E-3</v>
      </c>
      <c r="X25" s="274">
        <v>0</v>
      </c>
      <c r="Y25" s="274">
        <v>4.6234638499112598E-3</v>
      </c>
      <c r="Z25" s="274">
        <v>4.4822349298402602E-3</v>
      </c>
      <c r="AA25" s="274">
        <v>0</v>
      </c>
      <c r="AB25" s="274">
        <v>4.4822349298402602E-3</v>
      </c>
      <c r="AC25" s="275">
        <v>4.2703915497337699E-3</v>
      </c>
    </row>
    <row r="26" spans="1:29" ht="14.25" customHeight="1" x14ac:dyDescent="0.25">
      <c r="A26" s="42">
        <v>45383</v>
      </c>
      <c r="B26" s="264">
        <v>1784121</v>
      </c>
      <c r="C26" s="265">
        <v>1858575</v>
      </c>
      <c r="D26" s="265">
        <v>0</v>
      </c>
      <c r="E26" s="265">
        <v>0</v>
      </c>
      <c r="F26" s="266">
        <v>0</v>
      </c>
      <c r="G26" s="42">
        <v>45383</v>
      </c>
      <c r="H26" s="267">
        <v>0</v>
      </c>
      <c r="I26" s="265">
        <v>0</v>
      </c>
      <c r="J26" s="268">
        <v>1286047</v>
      </c>
      <c r="K26" s="269">
        <v>1E-3</v>
      </c>
      <c r="L26" s="270">
        <v>1E-3</v>
      </c>
      <c r="M26" s="270">
        <v>1E-3</v>
      </c>
      <c r="N26" s="270">
        <v>1E-3</v>
      </c>
      <c r="O26" s="270">
        <v>1E-3</v>
      </c>
      <c r="P26" s="271">
        <v>1E-3</v>
      </c>
      <c r="Q26" s="270">
        <v>1E-3</v>
      </c>
      <c r="R26" s="272">
        <v>1E-3</v>
      </c>
      <c r="V26" s="273">
        <v>4.1843664307159101E-3</v>
      </c>
      <c r="W26" s="274">
        <v>4.1826293674621304E-3</v>
      </c>
      <c r="X26" s="274">
        <v>4.1895776204772797E-3</v>
      </c>
      <c r="Y26" s="274">
        <v>4.1843664307159101E-3</v>
      </c>
      <c r="Z26" s="274">
        <v>4.18213306367533E-3</v>
      </c>
      <c r="AA26" s="274">
        <v>0</v>
      </c>
      <c r="AB26" s="274">
        <v>4.1831638484632902E-3</v>
      </c>
      <c r="AC26" s="275">
        <v>4.16873286143183E-3</v>
      </c>
    </row>
    <row r="27" spans="1:29" ht="14.25" customHeight="1" x14ac:dyDescent="0.25">
      <c r="A27" s="42">
        <v>45413</v>
      </c>
      <c r="B27" s="264">
        <v>2103953</v>
      </c>
      <c r="C27" s="265">
        <v>2598753</v>
      </c>
      <c r="D27" s="265">
        <v>0</v>
      </c>
      <c r="E27" s="265">
        <v>0</v>
      </c>
      <c r="F27" s="266">
        <v>0</v>
      </c>
      <c r="G27" s="42">
        <v>45413</v>
      </c>
      <c r="H27" s="267">
        <v>0</v>
      </c>
      <c r="I27" s="265">
        <v>0</v>
      </c>
      <c r="J27" s="268">
        <v>1720161</v>
      </c>
      <c r="K27" s="269">
        <v>1E-3</v>
      </c>
      <c r="L27" s="270">
        <v>1E-3</v>
      </c>
      <c r="M27" s="270">
        <v>1E-3</v>
      </c>
      <c r="N27" s="270">
        <v>1E-3</v>
      </c>
      <c r="O27" s="270">
        <v>1E-3</v>
      </c>
      <c r="P27" s="271">
        <v>1E-3</v>
      </c>
      <c r="Q27" s="270">
        <v>1E-3</v>
      </c>
      <c r="R27" s="272">
        <v>1E-3</v>
      </c>
      <c r="V27" s="273">
        <v>4.1947855177659E-3</v>
      </c>
      <c r="W27" s="274">
        <v>4.1000000000000003E-3</v>
      </c>
      <c r="X27" s="274">
        <v>4.1924158798217499E-3</v>
      </c>
      <c r="Y27" s="274">
        <v>4.1896153986150297E-3</v>
      </c>
      <c r="Z27" s="274">
        <v>4.2129527420043597E-3</v>
      </c>
      <c r="AA27" s="274">
        <v>0</v>
      </c>
      <c r="AB27" s="274">
        <v>4.1770132331847903E-3</v>
      </c>
      <c r="AC27" s="275">
        <v>4.2232211730956698E-3</v>
      </c>
    </row>
    <row r="28" spans="1:29" ht="14.25" customHeight="1" x14ac:dyDescent="0.25">
      <c r="A28" s="42">
        <v>45444</v>
      </c>
      <c r="B28" s="264">
        <v>1434791</v>
      </c>
      <c r="C28" s="265">
        <v>1762103</v>
      </c>
      <c r="D28" s="265">
        <v>0</v>
      </c>
      <c r="E28" s="265">
        <v>623180</v>
      </c>
      <c r="F28" s="266">
        <v>0</v>
      </c>
      <c r="G28" s="42">
        <v>45444</v>
      </c>
      <c r="H28" s="267">
        <v>0</v>
      </c>
      <c r="I28" s="265">
        <v>0</v>
      </c>
      <c r="J28" s="268">
        <v>952606</v>
      </c>
      <c r="K28" s="269">
        <v>1E-3</v>
      </c>
      <c r="L28" s="270">
        <v>1E-3</v>
      </c>
      <c r="M28" s="270">
        <v>1E-3</v>
      </c>
      <c r="N28" s="270">
        <v>1E-3</v>
      </c>
      <c r="O28" s="270">
        <v>1E-3</v>
      </c>
      <c r="P28" s="271">
        <v>1E-3</v>
      </c>
      <c r="Q28" s="270">
        <v>1E-3</v>
      </c>
      <c r="R28" s="272">
        <v>1E-3</v>
      </c>
      <c r="V28" s="273">
        <v>4.2693321333421696E-3</v>
      </c>
      <c r="W28" s="274">
        <v>0</v>
      </c>
      <c r="X28" s="274">
        <v>4.2611519966562596E-3</v>
      </c>
      <c r="Y28" s="274">
        <v>4.2614306168124103E-3</v>
      </c>
      <c r="Z28" s="274">
        <v>4.2670622430060201E-3</v>
      </c>
      <c r="AA28" s="274">
        <v>0</v>
      </c>
      <c r="AB28" s="274">
        <v>4.2647448793420497E-3</v>
      </c>
      <c r="AC28" s="275">
        <v>4.2668294720514602E-3</v>
      </c>
    </row>
    <row r="29" spans="1:29" ht="14.25" customHeight="1" x14ac:dyDescent="0.25">
      <c r="A29" s="42">
        <v>45474</v>
      </c>
      <c r="B29" s="226">
        <v>640742</v>
      </c>
      <c r="C29" s="265">
        <v>1314872</v>
      </c>
      <c r="D29" s="265">
        <v>0</v>
      </c>
      <c r="E29" s="265">
        <v>704288</v>
      </c>
      <c r="F29" s="266">
        <v>0</v>
      </c>
      <c r="G29" s="42">
        <v>45474</v>
      </c>
      <c r="H29" s="267">
        <v>0</v>
      </c>
      <c r="I29" s="265">
        <v>0</v>
      </c>
      <c r="J29" s="268">
        <v>774953</v>
      </c>
      <c r="K29" s="269">
        <v>1E-3</v>
      </c>
      <c r="L29" s="270">
        <v>1E-3</v>
      </c>
      <c r="M29" s="270">
        <v>1E-3</v>
      </c>
      <c r="N29" s="270">
        <v>1E-3</v>
      </c>
      <c r="O29" s="270">
        <v>1E-3</v>
      </c>
      <c r="P29" s="271">
        <v>1E-3</v>
      </c>
      <c r="Q29" s="270">
        <v>1E-3</v>
      </c>
      <c r="R29" s="272">
        <v>1E-3</v>
      </c>
      <c r="V29" s="276">
        <v>4.1484189093157799E-3</v>
      </c>
      <c r="W29" s="277">
        <v>4.1203131811286004E-3</v>
      </c>
      <c r="X29" s="277">
        <v>4.1355044249988702E-3</v>
      </c>
      <c r="Y29" s="277">
        <v>4.1366181509335E-3</v>
      </c>
      <c r="Z29" s="277">
        <v>4.12454703187761E-3</v>
      </c>
      <c r="AA29" s="277">
        <v>0</v>
      </c>
      <c r="AB29" s="277">
        <v>4.1230984929385697E-3</v>
      </c>
      <c r="AC29" s="278">
        <v>4.1531994834231702E-3</v>
      </c>
    </row>
    <row r="30" spans="1:29" ht="14.25" customHeight="1" x14ac:dyDescent="0.25">
      <c r="A30" s="42">
        <v>45505</v>
      </c>
      <c r="B30" s="226">
        <v>1896499</v>
      </c>
      <c r="C30" s="265">
        <v>2641025</v>
      </c>
      <c r="D30" s="265">
        <v>0</v>
      </c>
      <c r="E30" s="265">
        <v>1449242</v>
      </c>
      <c r="F30" s="266">
        <v>0</v>
      </c>
      <c r="G30" s="42">
        <v>45505</v>
      </c>
      <c r="H30" s="267">
        <v>0</v>
      </c>
      <c r="I30" s="265">
        <v>0</v>
      </c>
      <c r="J30" s="268">
        <v>1339728</v>
      </c>
      <c r="K30" s="269">
        <v>1E-3</v>
      </c>
      <c r="L30" s="270">
        <v>1E-3</v>
      </c>
      <c r="M30" s="270">
        <v>1E-3</v>
      </c>
      <c r="N30" s="270">
        <v>1E-3</v>
      </c>
      <c r="O30" s="270">
        <v>1E-3</v>
      </c>
      <c r="P30" s="271">
        <v>1E-3</v>
      </c>
      <c r="Q30" s="270">
        <v>1E-3</v>
      </c>
      <c r="R30" s="272">
        <v>1E-3</v>
      </c>
      <c r="V30" s="276">
        <v>4.5350538467428198E-3</v>
      </c>
      <c r="W30" s="277">
        <v>4.59706347424457E-3</v>
      </c>
      <c r="X30" s="277">
        <v>4.63975442787261E-3</v>
      </c>
      <c r="Y30" s="277">
        <v>4.5832145498818999E-3</v>
      </c>
      <c r="Z30" s="277">
        <v>4.5440445276739398E-3</v>
      </c>
      <c r="AA30" s="277">
        <v>0</v>
      </c>
      <c r="AB30" s="277">
        <v>4.5505544937886697E-3</v>
      </c>
      <c r="AC30" s="278">
        <v>4.5737741264838599E-3</v>
      </c>
    </row>
    <row r="31" spans="1:29" ht="14.25" customHeight="1" x14ac:dyDescent="0.25">
      <c r="A31" s="42">
        <v>45536</v>
      </c>
      <c r="B31" s="226">
        <v>2376050</v>
      </c>
      <c r="C31" s="265">
        <v>2736834</v>
      </c>
      <c r="D31" s="265">
        <v>0</v>
      </c>
      <c r="E31" s="265">
        <v>1253908</v>
      </c>
      <c r="F31" s="266">
        <v>48334</v>
      </c>
      <c r="G31" s="42">
        <v>45536</v>
      </c>
      <c r="H31" s="267">
        <v>0</v>
      </c>
      <c r="I31" s="265">
        <v>0</v>
      </c>
      <c r="J31" s="268">
        <v>1340023</v>
      </c>
      <c r="K31" s="269">
        <v>1E-3</v>
      </c>
      <c r="L31" s="270">
        <v>1E-3</v>
      </c>
      <c r="M31" s="270">
        <v>1E-3</v>
      </c>
      <c r="N31" s="270">
        <v>1E-3</v>
      </c>
      <c r="O31" s="270">
        <v>1E-3</v>
      </c>
      <c r="P31" s="271">
        <v>1E-3</v>
      </c>
      <c r="Q31" s="270">
        <v>1E-3</v>
      </c>
      <c r="R31" s="272">
        <v>1E-3</v>
      </c>
      <c r="V31" s="276">
        <v>2.8938693495558498E-3</v>
      </c>
      <c r="W31" s="277">
        <v>3.2466574134667899E-3</v>
      </c>
      <c r="X31" s="277">
        <v>4.2429148470240598E-3</v>
      </c>
      <c r="Y31" s="277">
        <v>3.41126720530482E-3</v>
      </c>
      <c r="Z31" s="277">
        <v>3.04956406815658E-3</v>
      </c>
      <c r="AA31" s="277">
        <v>0</v>
      </c>
      <c r="AB31" s="277">
        <v>3.0131938495630102E-3</v>
      </c>
      <c r="AC31" s="278">
        <v>3.3391203843742201E-3</v>
      </c>
    </row>
    <row r="32" spans="1:29" ht="14.25" customHeight="1" x14ac:dyDescent="0.25">
      <c r="A32" s="42">
        <v>45566</v>
      </c>
      <c r="B32" s="226">
        <v>2319342</v>
      </c>
      <c r="C32" s="265">
        <v>3163537</v>
      </c>
      <c r="D32" s="265">
        <v>0</v>
      </c>
      <c r="E32" s="265">
        <v>1478434</v>
      </c>
      <c r="F32" s="266">
        <v>1010339</v>
      </c>
      <c r="G32" s="42">
        <v>45566</v>
      </c>
      <c r="H32" s="267">
        <v>0</v>
      </c>
      <c r="I32" s="265">
        <v>0</v>
      </c>
      <c r="J32" s="268">
        <v>1486023</v>
      </c>
      <c r="K32" s="269">
        <v>1E-3</v>
      </c>
      <c r="L32" s="270">
        <v>1E-3</v>
      </c>
      <c r="M32" s="270">
        <v>1E-3</v>
      </c>
      <c r="N32" s="270">
        <v>1E-3</v>
      </c>
      <c r="O32" s="270">
        <v>1E-3</v>
      </c>
      <c r="P32" s="271">
        <v>1E-3</v>
      </c>
      <c r="Q32" s="270">
        <v>1E-3</v>
      </c>
      <c r="R32" s="272">
        <v>1E-3</v>
      </c>
      <c r="V32" s="276">
        <v>7.1703284266576304E-3</v>
      </c>
      <c r="W32" s="277">
        <v>7.74179085095268E-3</v>
      </c>
      <c r="X32" s="277">
        <v>3.2399004748377203E-2</v>
      </c>
      <c r="Y32" s="279">
        <f>AVERAGE(Y29:Y31)</f>
        <v>4.0436999687067402E-3</v>
      </c>
      <c r="Z32" s="277">
        <v>9.5257774618888891E-3</v>
      </c>
      <c r="AA32" s="277">
        <v>0</v>
      </c>
      <c r="AB32" s="277">
        <v>1.0088016639479501E-2</v>
      </c>
      <c r="AC32" s="278">
        <v>1.1240171040355299E-2</v>
      </c>
    </row>
    <row r="33" spans="1:29" ht="14.25" customHeight="1" x14ac:dyDescent="0.25">
      <c r="A33" s="42">
        <v>45597</v>
      </c>
      <c r="B33" s="226">
        <v>1399416</v>
      </c>
      <c r="C33" s="280">
        <v>1092665</v>
      </c>
      <c r="D33" s="280">
        <v>0</v>
      </c>
      <c r="E33" s="280">
        <v>545619</v>
      </c>
      <c r="F33" s="281">
        <v>375319</v>
      </c>
      <c r="G33" s="42">
        <v>45597</v>
      </c>
      <c r="H33" s="282">
        <v>0</v>
      </c>
      <c r="I33" s="280">
        <v>0</v>
      </c>
      <c r="J33" s="283">
        <v>492319</v>
      </c>
      <c r="K33" s="269">
        <v>1E-3</v>
      </c>
      <c r="L33" s="270">
        <v>1E-3</v>
      </c>
      <c r="M33" s="270">
        <v>1E-3</v>
      </c>
      <c r="N33" s="270">
        <v>1E-3</v>
      </c>
      <c r="O33" s="270">
        <v>1E-3</v>
      </c>
      <c r="P33" s="271">
        <v>1E-3</v>
      </c>
      <c r="Q33" s="270">
        <v>1E-3</v>
      </c>
      <c r="R33" s="272">
        <v>1E-3</v>
      </c>
      <c r="V33" s="276">
        <v>2.5174251182953598E-2</v>
      </c>
      <c r="W33" s="277">
        <v>2.12394003121417E-2</v>
      </c>
      <c r="X33" s="277">
        <v>3.8856123495727E-2</v>
      </c>
      <c r="Z33" s="277">
        <v>2.3266001580031899E-2</v>
      </c>
      <c r="AA33" s="277">
        <v>0</v>
      </c>
      <c r="AB33" s="277">
        <v>2.46926009452587E-2</v>
      </c>
      <c r="AC33" s="278">
        <v>3.9594090227645103E-2</v>
      </c>
    </row>
    <row r="34" spans="1:29" ht="14.25" customHeight="1" x14ac:dyDescent="0.25">
      <c r="A34" s="49">
        <v>45627</v>
      </c>
      <c r="B34" s="226">
        <v>1832917</v>
      </c>
      <c r="C34" s="284">
        <v>1698269</v>
      </c>
      <c r="D34" s="284">
        <v>0</v>
      </c>
      <c r="E34" s="284">
        <v>726548</v>
      </c>
      <c r="F34" s="285">
        <v>491434</v>
      </c>
      <c r="G34" s="49">
        <v>45627</v>
      </c>
      <c r="H34" s="286">
        <v>0</v>
      </c>
      <c r="I34" s="284">
        <v>0</v>
      </c>
      <c r="J34" s="287">
        <v>758824</v>
      </c>
      <c r="K34" s="269">
        <v>1E-3</v>
      </c>
      <c r="L34" s="270">
        <v>1E-3</v>
      </c>
      <c r="M34" s="270">
        <v>1E-3</v>
      </c>
      <c r="N34" s="270">
        <v>1E-3</v>
      </c>
      <c r="O34" s="270">
        <v>1E-3</v>
      </c>
      <c r="P34" s="271">
        <v>1E-3</v>
      </c>
      <c r="Q34" s="270">
        <v>1E-3</v>
      </c>
      <c r="R34" s="272">
        <v>1E-3</v>
      </c>
      <c r="V34" s="276">
        <v>4.1562001512760197E-2</v>
      </c>
      <c r="W34" s="277">
        <v>4.1562001512760197E-2</v>
      </c>
      <c r="X34" s="288">
        <f>AVERAGE(X29:X33)</f>
        <v>1.6854660388799948E-2</v>
      </c>
      <c r="Z34" s="277">
        <v>3.9271501134570203E-2</v>
      </c>
      <c r="AA34" s="277">
        <v>0</v>
      </c>
      <c r="AB34" s="277">
        <v>3.8447683726883501E-2</v>
      </c>
      <c r="AC34" s="289">
        <f>AVERAGE(AC29:AC33)</f>
        <v>1.2580071052456333E-2</v>
      </c>
    </row>
    <row r="35" spans="1:29" ht="14.25" customHeight="1" x14ac:dyDescent="0.25">
      <c r="A35" s="290" t="s">
        <v>26</v>
      </c>
      <c r="B35" s="241">
        <f>SUM(B23:B34)</f>
        <v>18859648</v>
      </c>
      <c r="C35" s="291">
        <f>SUM(C23:C34)</f>
        <v>22375825</v>
      </c>
      <c r="D35" s="291">
        <f>SUM(D23:D34)</f>
        <v>0</v>
      </c>
      <c r="E35" s="291">
        <f>SUM(E23:E34)</f>
        <v>6781219</v>
      </c>
      <c r="F35" s="292">
        <f>SUM(F23:F34)</f>
        <v>1925426</v>
      </c>
      <c r="G35" s="293"/>
      <c r="H35" s="241">
        <f>SUM(H23:H34)</f>
        <v>0</v>
      </c>
      <c r="I35" s="241">
        <f>SUM(I23:I34)</f>
        <v>0</v>
      </c>
      <c r="J35" s="294">
        <f>SUM(J23:J34)</f>
        <v>13163190</v>
      </c>
      <c r="K35" s="295">
        <f>AVERAGE(K23:K34)</f>
        <v>1.0000000000000002E-3</v>
      </c>
      <c r="L35" s="296">
        <f>AVERAGE(L23:L34)</f>
        <v>1.0000000000000002E-3</v>
      </c>
      <c r="M35" s="296">
        <f>AVERAGE(M23:M34)</f>
        <v>1.0000000000000002E-3</v>
      </c>
      <c r="N35" s="296">
        <f>AVERAGE(N23:N34)</f>
        <v>1.0000000000000002E-3</v>
      </c>
      <c r="O35" s="296">
        <f>AVERAGE(O23:O34)</f>
        <v>1.0000000000000002E-3</v>
      </c>
      <c r="P35" s="297">
        <v>0</v>
      </c>
      <c r="Q35" s="296">
        <f>AVERAGE(Q23:Q34)</f>
        <v>1.0000000000000002E-3</v>
      </c>
      <c r="R35" s="296">
        <f>AVERAGE(R23:R34)</f>
        <v>1.0000000000000002E-3</v>
      </c>
      <c r="V35" s="288">
        <f>AVERAGE(V29:V34)</f>
        <v>1.4247320537997646E-2</v>
      </c>
      <c r="W35" s="288">
        <f>AVERAGE(W29:W34)</f>
        <v>1.375120445744909E-2</v>
      </c>
      <c r="Z35" s="279">
        <f>AVERAGE(Z29:Z34)</f>
        <v>1.3963572634033188E-2</v>
      </c>
      <c r="AA35" s="279">
        <f>AVERAGE(AA29:AA34)</f>
        <v>0</v>
      </c>
      <c r="AB35" s="279">
        <f>AVERAGE(AB29:AB34)</f>
        <v>1.415252469131866E-2</v>
      </c>
    </row>
    <row r="36" spans="1:29" ht="14.25" customHeight="1" x14ac:dyDescent="0.25">
      <c r="B36" s="58"/>
      <c r="C36" s="58"/>
      <c r="D36" s="58"/>
      <c r="E36" s="58"/>
      <c r="F36" s="58"/>
      <c r="G36" s="58"/>
      <c r="H36" s="58"/>
      <c r="I36" s="58"/>
      <c r="J36" s="58"/>
    </row>
    <row r="37" spans="1:29" ht="14.25" customHeight="1" x14ac:dyDescent="0.25">
      <c r="F37" s="58"/>
      <c r="H37" s="176">
        <f>B35+C35+D35+E35+F35+H35+I35+J35</f>
        <v>63105308</v>
      </c>
    </row>
    <row r="38" spans="1:29" ht="14.25" customHeight="1" x14ac:dyDescent="0.25">
      <c r="A38" s="584" t="s">
        <v>216</v>
      </c>
      <c r="B38" s="584"/>
      <c r="C38" s="584"/>
      <c r="D38" s="584"/>
      <c r="E38" s="584"/>
    </row>
    <row r="39" spans="1:29" ht="14.25" customHeight="1" x14ac:dyDescent="0.25">
      <c r="A39" s="584" t="s">
        <v>61</v>
      </c>
      <c r="B39" s="584"/>
      <c r="C39" s="584"/>
      <c r="D39" s="584" t="s">
        <v>62</v>
      </c>
      <c r="E39" s="584"/>
      <c r="H39" s="601"/>
      <c r="I39" s="601"/>
    </row>
    <row r="40" spans="1:29" ht="14.25" customHeight="1" x14ac:dyDescent="0.25">
      <c r="A40" s="5" t="s">
        <v>64</v>
      </c>
      <c r="B40" s="217" t="s">
        <v>217</v>
      </c>
      <c r="C40" s="35" t="s">
        <v>218</v>
      </c>
      <c r="D40" s="32" t="s">
        <v>217</v>
      </c>
      <c r="E40" s="35" t="s">
        <v>218</v>
      </c>
      <c r="H40" s="169"/>
      <c r="I40" s="169"/>
    </row>
    <row r="41" spans="1:29" ht="14.25" customHeight="1" x14ac:dyDescent="0.25">
      <c r="A41" s="36">
        <v>45292</v>
      </c>
      <c r="B41" s="220">
        <v>0</v>
      </c>
      <c r="C41" s="298">
        <v>0</v>
      </c>
      <c r="D41" s="299">
        <v>0</v>
      </c>
      <c r="E41" s="39">
        <v>0</v>
      </c>
      <c r="H41" s="172"/>
      <c r="I41" s="172"/>
    </row>
    <row r="42" spans="1:29" ht="14.25" customHeight="1" x14ac:dyDescent="0.25">
      <c r="A42" s="42">
        <v>45323</v>
      </c>
      <c r="B42" s="226">
        <v>0</v>
      </c>
      <c r="C42" s="283">
        <v>0</v>
      </c>
      <c r="D42" s="282">
        <v>0</v>
      </c>
      <c r="E42" s="47">
        <v>0</v>
      </c>
      <c r="H42" s="172"/>
      <c r="I42" s="300"/>
    </row>
    <row r="43" spans="1:29" ht="14.25" customHeight="1" x14ac:dyDescent="0.25">
      <c r="A43" s="42">
        <v>45352</v>
      </c>
      <c r="B43" s="226">
        <v>0</v>
      </c>
      <c r="C43" s="283">
        <v>0</v>
      </c>
      <c r="D43" s="282">
        <v>0</v>
      </c>
      <c r="E43" s="47">
        <v>0</v>
      </c>
      <c r="H43" s="172"/>
    </row>
    <row r="44" spans="1:29" ht="14.25" customHeight="1" x14ac:dyDescent="0.25">
      <c r="A44" s="42">
        <v>45383</v>
      </c>
      <c r="B44" s="226">
        <v>0</v>
      </c>
      <c r="C44" s="283">
        <v>0</v>
      </c>
      <c r="D44" s="282">
        <v>0</v>
      </c>
      <c r="E44" s="47">
        <v>0</v>
      </c>
      <c r="H44" s="172"/>
    </row>
    <row r="45" spans="1:29" ht="14.25" customHeight="1" x14ac:dyDescent="0.25">
      <c r="A45" s="42">
        <v>45413</v>
      </c>
      <c r="B45" s="226">
        <v>0</v>
      </c>
      <c r="C45" s="283">
        <v>0</v>
      </c>
      <c r="D45" s="282">
        <v>0</v>
      </c>
      <c r="E45" s="47">
        <v>0</v>
      </c>
      <c r="H45" s="172"/>
    </row>
    <row r="46" spans="1:29" ht="14.25" customHeight="1" x14ac:dyDescent="0.25">
      <c r="A46" s="42">
        <v>45444</v>
      </c>
      <c r="B46" s="226">
        <v>0</v>
      </c>
      <c r="C46" s="283">
        <v>0</v>
      </c>
      <c r="D46" s="282">
        <v>0</v>
      </c>
      <c r="E46" s="47">
        <v>0</v>
      </c>
      <c r="H46" s="172"/>
    </row>
    <row r="47" spans="1:29" ht="14.25" customHeight="1" x14ac:dyDescent="0.25">
      <c r="A47" s="42">
        <v>45474</v>
      </c>
      <c r="B47" s="226">
        <v>0</v>
      </c>
      <c r="C47" s="283">
        <v>0</v>
      </c>
      <c r="D47" s="282">
        <v>2.9999999999999997E-4</v>
      </c>
      <c r="E47" s="47">
        <v>2.9999999999999997E-4</v>
      </c>
      <c r="H47" s="172"/>
    </row>
    <row r="48" spans="1:29" ht="14.25" customHeight="1" x14ac:dyDescent="0.25">
      <c r="A48" s="42">
        <v>45505</v>
      </c>
      <c r="B48" s="226">
        <v>0</v>
      </c>
      <c r="C48" s="283">
        <v>0</v>
      </c>
      <c r="D48" s="282">
        <v>8.0000000000000004E-4</v>
      </c>
      <c r="E48" s="47">
        <v>8.0000000000000004E-4</v>
      </c>
      <c r="H48" s="172"/>
    </row>
    <row r="49" spans="1:11" ht="14.25" customHeight="1" x14ac:dyDescent="0.25">
      <c r="A49" s="42">
        <v>45536</v>
      </c>
      <c r="B49" s="226">
        <v>0</v>
      </c>
      <c r="C49" s="283">
        <v>0</v>
      </c>
      <c r="D49" s="282">
        <v>8.0000000000000004E-4</v>
      </c>
      <c r="E49" s="47">
        <v>8.0000000000000004E-4</v>
      </c>
      <c r="H49" s="300"/>
    </row>
    <row r="50" spans="1:11" ht="14.25" customHeight="1" x14ac:dyDescent="0.25">
      <c r="A50" s="42">
        <v>45566</v>
      </c>
      <c r="B50" s="226">
        <v>0</v>
      </c>
      <c r="C50" s="283">
        <v>0</v>
      </c>
      <c r="D50" s="282">
        <v>8.0000000000000004E-4</v>
      </c>
      <c r="E50" s="47">
        <v>8.0000000000000004E-4</v>
      </c>
    </row>
    <row r="51" spans="1:11" ht="14.25" customHeight="1" x14ac:dyDescent="0.25">
      <c r="A51" s="42">
        <v>45597</v>
      </c>
      <c r="B51" s="226">
        <v>0</v>
      </c>
      <c r="C51" s="283">
        <v>0</v>
      </c>
      <c r="D51" s="282">
        <v>0</v>
      </c>
      <c r="E51" s="47">
        <v>0</v>
      </c>
    </row>
    <row r="52" spans="1:11" ht="14.25" customHeight="1" x14ac:dyDescent="0.25">
      <c r="A52" s="49">
        <v>45627</v>
      </c>
      <c r="B52" s="235">
        <v>0</v>
      </c>
      <c r="C52" s="287">
        <v>0</v>
      </c>
      <c r="D52" s="286">
        <v>0</v>
      </c>
      <c r="E52" s="52">
        <v>0</v>
      </c>
    </row>
    <row r="53" spans="1:11" ht="14.25" customHeight="1" x14ac:dyDescent="0.25">
      <c r="A53" s="301" t="s">
        <v>26</v>
      </c>
      <c r="B53" s="241">
        <f>SUM(B41:B52)</f>
        <v>0</v>
      </c>
      <c r="C53" s="302">
        <f>SUM(C41:C52)</f>
        <v>0</v>
      </c>
      <c r="D53" s="303">
        <f>AVERAGE(D41:D52)</f>
        <v>2.2500000000000002E-4</v>
      </c>
      <c r="E53" s="303">
        <f>AVERAGE(E41:E52)</f>
        <v>2.2500000000000002E-4</v>
      </c>
    </row>
    <row r="55" spans="1:11" ht="14.25" customHeight="1" x14ac:dyDescent="0.25">
      <c r="B55" s="58">
        <f>B53+C53</f>
        <v>0</v>
      </c>
      <c r="H55" s="58">
        <f>H37+B55</f>
        <v>63105308</v>
      </c>
      <c r="J55" s="71">
        <f>SUM(K35:R35)</f>
        <v>7.000000000000001E-3</v>
      </c>
      <c r="K55" s="71">
        <f>SUM(D53:E53)</f>
        <v>4.5000000000000004E-4</v>
      </c>
    </row>
    <row r="56" spans="1:11" ht="14.25" customHeight="1" x14ac:dyDescent="0.25">
      <c r="K56" s="71">
        <f>SUM(J55:K55)/10</f>
        <v>7.4500000000000011E-4</v>
      </c>
    </row>
  </sheetData>
  <mergeCells count="14">
    <mergeCell ref="V21:AC21"/>
    <mergeCell ref="A38:E38"/>
    <mergeCell ref="A2:F2"/>
    <mergeCell ref="H2:I3"/>
    <mergeCell ref="A3:A4"/>
    <mergeCell ref="B3:C3"/>
    <mergeCell ref="D3:E3"/>
    <mergeCell ref="F3:F4"/>
    <mergeCell ref="A39:C39"/>
    <mergeCell ref="D39:E39"/>
    <mergeCell ref="H39:I39"/>
    <mergeCell ref="A20:R20"/>
    <mergeCell ref="A21:J21"/>
    <mergeCell ref="K21:R2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85"/>
  <sheetViews>
    <sheetView zoomScaleNormal="100" workbookViewId="0">
      <selection sqref="A1:O1"/>
    </sheetView>
  </sheetViews>
  <sheetFormatPr defaultColWidth="8.7109375" defaultRowHeight="12.75" x14ac:dyDescent="0.2"/>
  <cols>
    <col min="1" max="1" width="15.140625" customWidth="1"/>
    <col min="2" max="2" width="16" customWidth="1"/>
    <col min="3" max="3" width="6.5703125" customWidth="1"/>
    <col min="4" max="4" width="16.28515625" customWidth="1"/>
    <col min="5" max="5" width="4.28515625" customWidth="1"/>
    <col min="6" max="6" width="6.42578125" customWidth="1"/>
    <col min="7" max="7" width="3.5703125" customWidth="1"/>
    <col min="10" max="10" width="15.140625" customWidth="1"/>
    <col min="11" max="11" width="15.42578125" customWidth="1"/>
    <col min="12" max="12" width="10.28515625" customWidth="1"/>
    <col min="13" max="13" width="12.42578125" customWidth="1"/>
    <col min="17" max="17" width="5" customWidth="1"/>
  </cols>
  <sheetData>
    <row r="1" spans="1:23" ht="14.25" customHeight="1" x14ac:dyDescent="0.2">
      <c r="A1" s="605" t="s">
        <v>219</v>
      </c>
      <c r="B1" s="605"/>
      <c r="C1" s="605"/>
      <c r="D1" s="605"/>
      <c r="E1" s="605"/>
      <c r="F1" s="605"/>
      <c r="G1" s="605"/>
      <c r="H1" s="605"/>
      <c r="I1" s="605"/>
      <c r="J1" s="592" t="s">
        <v>220</v>
      </c>
      <c r="K1" s="592"/>
      <c r="L1" s="592"/>
      <c r="M1" s="592"/>
      <c r="N1" s="592"/>
      <c r="O1" s="592"/>
      <c r="P1" s="592"/>
      <c r="Q1" s="592"/>
      <c r="R1" s="592"/>
    </row>
    <row r="2" spans="1:23" ht="21.75" customHeight="1" x14ac:dyDescent="0.2"/>
    <row r="3" spans="1:23" ht="14.25" customHeight="1" x14ac:dyDescent="0.2">
      <c r="A3" s="606" t="s">
        <v>221</v>
      </c>
      <c r="B3" s="606"/>
      <c r="C3" s="606"/>
      <c r="D3" s="606"/>
      <c r="E3" s="86"/>
      <c r="F3" s="86"/>
      <c r="G3" s="86"/>
      <c r="J3" s="607" t="s">
        <v>77</v>
      </c>
      <c r="K3" s="607"/>
      <c r="L3" s="607"/>
      <c r="M3" s="86"/>
      <c r="N3" s="86"/>
      <c r="O3" s="86"/>
      <c r="P3" s="86"/>
      <c r="Q3" s="86"/>
      <c r="R3" s="86"/>
    </row>
    <row r="4" spans="1:23" ht="14.25" customHeight="1" x14ac:dyDescent="0.2">
      <c r="A4" s="305" t="s">
        <v>17</v>
      </c>
      <c r="B4" s="86" t="s">
        <v>222</v>
      </c>
      <c r="C4" s="86"/>
      <c r="D4" s="306"/>
      <c r="E4" s="86"/>
      <c r="F4" s="86"/>
      <c r="G4" s="86"/>
      <c r="J4" s="307" t="s">
        <v>17</v>
      </c>
      <c r="K4" s="308" t="s">
        <v>223</v>
      </c>
      <c r="L4" s="309"/>
    </row>
    <row r="5" spans="1:23" ht="14.25" customHeight="1" x14ac:dyDescent="0.2">
      <c r="A5" s="310" t="s">
        <v>41</v>
      </c>
      <c r="B5" s="86" t="s">
        <v>224</v>
      </c>
      <c r="C5" s="86"/>
      <c r="D5" s="306"/>
      <c r="E5" s="86"/>
      <c r="F5" s="86"/>
      <c r="G5" s="86"/>
      <c r="J5" s="311" t="s">
        <v>41</v>
      </c>
      <c r="K5" s="312" t="s">
        <v>225</v>
      </c>
      <c r="L5" s="313"/>
      <c r="M5" s="86"/>
      <c r="N5" s="86"/>
      <c r="O5" s="86"/>
      <c r="P5" s="86"/>
      <c r="Q5" s="86"/>
      <c r="R5" s="86"/>
    </row>
    <row r="6" spans="1:23" ht="14.25" customHeight="1" x14ac:dyDescent="0.2">
      <c r="A6" s="310" t="s">
        <v>20</v>
      </c>
      <c r="B6" s="86" t="s">
        <v>226</v>
      </c>
      <c r="C6" s="86"/>
      <c r="D6" s="306"/>
      <c r="E6" s="86"/>
      <c r="F6" s="86"/>
      <c r="G6" s="86"/>
      <c r="J6" s="311" t="s">
        <v>20</v>
      </c>
      <c r="K6" s="312" t="s">
        <v>227</v>
      </c>
      <c r="L6" s="313"/>
      <c r="M6" s="86"/>
      <c r="N6" s="86"/>
      <c r="O6" s="86"/>
      <c r="P6" s="86"/>
      <c r="Q6" s="86"/>
      <c r="R6" s="86"/>
    </row>
    <row r="7" spans="1:23" ht="14.25" customHeight="1" x14ac:dyDescent="0.2">
      <c r="A7" s="310" t="s">
        <v>22</v>
      </c>
      <c r="B7" s="86" t="s">
        <v>228</v>
      </c>
      <c r="C7" s="86"/>
      <c r="D7" s="306"/>
      <c r="E7" s="86"/>
      <c r="F7" s="86"/>
      <c r="G7" s="86"/>
      <c r="J7" s="311" t="s">
        <v>22</v>
      </c>
      <c r="K7" s="312" t="s">
        <v>229</v>
      </c>
      <c r="L7" s="313"/>
      <c r="M7" s="86"/>
      <c r="N7" s="86"/>
      <c r="O7" s="86"/>
      <c r="P7" s="86"/>
      <c r="Q7" s="86"/>
      <c r="R7" s="86"/>
    </row>
    <row r="8" spans="1:23" ht="14.25" customHeight="1" x14ac:dyDescent="0.2">
      <c r="A8" s="310" t="s">
        <v>21</v>
      </c>
      <c r="B8" s="86" t="s">
        <v>230</v>
      </c>
      <c r="C8" s="86"/>
      <c r="D8" s="306"/>
      <c r="E8" s="86"/>
      <c r="F8" s="86"/>
      <c r="G8" s="86"/>
      <c r="J8" s="311" t="s">
        <v>21</v>
      </c>
      <c r="K8" s="312" t="s">
        <v>231</v>
      </c>
      <c r="L8" s="313"/>
      <c r="M8" s="86"/>
      <c r="N8" s="86"/>
      <c r="O8" s="86"/>
      <c r="P8" s="86"/>
      <c r="Q8" s="86"/>
      <c r="R8" s="86"/>
    </row>
    <row r="9" spans="1:23" ht="14.25" customHeight="1" x14ac:dyDescent="0.2">
      <c r="A9" s="314" t="s">
        <v>23</v>
      </c>
      <c r="B9" s="315" t="s">
        <v>232</v>
      </c>
      <c r="C9" s="315"/>
      <c r="D9" s="316"/>
      <c r="E9" s="86"/>
      <c r="F9" s="86"/>
      <c r="G9" s="86"/>
      <c r="J9" s="317" t="s">
        <v>23</v>
      </c>
      <c r="K9" s="318" t="s">
        <v>233</v>
      </c>
      <c r="L9" s="319"/>
      <c r="M9" s="86"/>
      <c r="N9" s="86"/>
      <c r="O9" s="86"/>
      <c r="P9" s="86"/>
      <c r="Q9" s="86"/>
      <c r="R9" s="86"/>
    </row>
    <row r="10" spans="1:23" ht="14.25" customHeight="1" x14ac:dyDescent="0.2">
      <c r="A10" s="314" t="s">
        <v>24</v>
      </c>
      <c r="B10" s="315" t="s">
        <v>234</v>
      </c>
      <c r="C10" s="315" t="s">
        <v>235</v>
      </c>
      <c r="D10" s="316"/>
      <c r="E10" s="86"/>
      <c r="F10" s="86"/>
      <c r="G10" s="86"/>
      <c r="J10" s="314" t="s">
        <v>24</v>
      </c>
      <c r="K10" s="318" t="s">
        <v>236</v>
      </c>
      <c r="L10" s="319" t="s">
        <v>235</v>
      </c>
      <c r="M10" s="86"/>
      <c r="N10" s="86"/>
      <c r="O10" s="86"/>
      <c r="P10" s="86"/>
      <c r="Q10" s="86"/>
    </row>
    <row r="11" spans="1:23" ht="24.75" customHeight="1" x14ac:dyDescent="0.2">
      <c r="M11" s="86"/>
      <c r="N11" s="86"/>
      <c r="O11" s="86"/>
      <c r="P11" s="86"/>
      <c r="Q11" s="86"/>
      <c r="R11" s="86"/>
    </row>
    <row r="12" spans="1:23" ht="14.25" customHeight="1" x14ac:dyDescent="0.2">
      <c r="A12" s="320" t="s">
        <v>181</v>
      </c>
      <c r="B12" s="321">
        <f>SUM(Aguirre!F17)</f>
        <v>152779280.22000003</v>
      </c>
      <c r="C12" s="309" t="s">
        <v>87</v>
      </c>
      <c r="D12" s="86"/>
      <c r="E12" s="86"/>
      <c r="F12" s="86"/>
      <c r="G12" s="86"/>
      <c r="J12" s="322" t="s">
        <v>86</v>
      </c>
      <c r="K12" s="323">
        <f>SUM(Aguirre!H55)</f>
        <v>63105308</v>
      </c>
      <c r="L12" s="309" t="s">
        <v>87</v>
      </c>
      <c r="V12">
        <f>323412*2204.6/28478821</f>
        <v>25.035941452772921</v>
      </c>
      <c r="W12" t="s">
        <v>116</v>
      </c>
    </row>
    <row r="13" spans="1:23" ht="14.25" customHeight="1" x14ac:dyDescent="0.2">
      <c r="A13" s="318" t="s">
        <v>88</v>
      </c>
      <c r="B13" s="324">
        <f>SUM(Aguirre!I17)</f>
        <v>0.48916666666666675</v>
      </c>
      <c r="C13" s="319"/>
      <c r="D13" s="86"/>
      <c r="E13" s="86"/>
      <c r="F13" s="86"/>
      <c r="G13" s="86"/>
      <c r="J13" s="325" t="s">
        <v>88</v>
      </c>
      <c r="K13" s="326">
        <f>AVERAGE(Aguirre!K34:R34,Aguirre!D52:E52)</f>
        <v>8.0000000000000004E-4</v>
      </c>
      <c r="L13" s="319"/>
      <c r="M13" s="86"/>
      <c r="N13" s="86"/>
      <c r="O13" s="86"/>
      <c r="P13" s="86"/>
      <c r="Q13" s="86"/>
      <c r="R13" s="86"/>
      <c r="V13">
        <f>(73.96+0.003*26+0.0006*298)*2.2046*0.138</f>
        <v>22.579333304640002</v>
      </c>
      <c r="W13" t="s">
        <v>116</v>
      </c>
    </row>
    <row r="14" spans="1:23" ht="14.25" customHeight="1" x14ac:dyDescent="0.2">
      <c r="M14" s="86"/>
      <c r="N14" s="86"/>
      <c r="O14" s="86"/>
      <c r="P14" s="86"/>
      <c r="Q14" s="86"/>
      <c r="R14" s="86"/>
    </row>
    <row r="15" spans="1:23" ht="20.25" customHeight="1" x14ac:dyDescent="0.2"/>
    <row r="16" spans="1:23" ht="14.25" customHeight="1" x14ac:dyDescent="0.2">
      <c r="A16" s="86" t="s">
        <v>89</v>
      </c>
      <c r="B16" s="86"/>
      <c r="C16" s="86"/>
      <c r="D16" s="86"/>
      <c r="E16" s="86"/>
      <c r="F16" s="86"/>
      <c r="G16" s="86"/>
      <c r="J16" s="86" t="s">
        <v>89</v>
      </c>
      <c r="K16" s="86"/>
      <c r="L16" s="86"/>
      <c r="M16" s="86"/>
      <c r="N16" s="86"/>
      <c r="O16" s="86"/>
      <c r="P16" s="86"/>
      <c r="Q16" s="86"/>
      <c r="R16" s="86"/>
    </row>
    <row r="18" spans="1:18" ht="14.25" customHeight="1" x14ac:dyDescent="0.2">
      <c r="A18" s="202" t="s">
        <v>90</v>
      </c>
      <c r="B18" s="209">
        <f>(9.19*B13)+3.22</f>
        <v>7.715441666666667</v>
      </c>
      <c r="C18" s="204" t="s">
        <v>91</v>
      </c>
      <c r="D18" s="111">
        <f>B12</f>
        <v>152779280.22000003</v>
      </c>
      <c r="E18" s="204" t="s">
        <v>92</v>
      </c>
      <c r="F18" s="599" t="s">
        <v>94</v>
      </c>
      <c r="G18" s="599"/>
      <c r="J18" s="202" t="s">
        <v>90</v>
      </c>
      <c r="K18" s="203">
        <v>1.2E-2</v>
      </c>
      <c r="L18" s="204" t="s">
        <v>91</v>
      </c>
      <c r="M18" s="111">
        <f>K12</f>
        <v>63105308</v>
      </c>
      <c r="N18" s="204" t="s">
        <v>92</v>
      </c>
      <c r="O18" s="203">
        <v>0.13800000000000001</v>
      </c>
      <c r="P18" s="204" t="s">
        <v>93</v>
      </c>
      <c r="Q18" s="203" t="s">
        <v>94</v>
      </c>
      <c r="R18" s="205"/>
    </row>
    <row r="19" spans="1:18" ht="14.25" customHeight="1" x14ac:dyDescent="0.2">
      <c r="A19" s="86"/>
      <c r="B19" s="1">
        <v>1000</v>
      </c>
      <c r="C19" s="125" t="s">
        <v>92</v>
      </c>
      <c r="D19" s="593" t="s">
        <v>64</v>
      </c>
      <c r="E19" s="593"/>
      <c r="F19" s="1">
        <v>2000</v>
      </c>
      <c r="G19" s="125" t="s">
        <v>91</v>
      </c>
      <c r="J19" s="86"/>
      <c r="K19" s="1" t="s">
        <v>93</v>
      </c>
      <c r="L19" s="125"/>
      <c r="M19" s="1" t="s">
        <v>64</v>
      </c>
      <c r="N19" s="125"/>
      <c r="O19" s="1" t="s">
        <v>92</v>
      </c>
      <c r="P19" s="125"/>
      <c r="Q19" s="1">
        <v>2000</v>
      </c>
      <c r="R19" s="327" t="s">
        <v>91</v>
      </c>
    </row>
    <row r="22" spans="1:18" ht="14.25" customHeight="1" x14ac:dyDescent="0.2">
      <c r="A22" s="202" t="s">
        <v>90</v>
      </c>
      <c r="B22" s="200">
        <f>((B18/B19)*D18)/F19</f>
        <v>589.37981220636539</v>
      </c>
      <c r="C22" s="206" t="s">
        <v>94</v>
      </c>
      <c r="D22" s="86"/>
      <c r="E22" s="86"/>
      <c r="F22" s="86"/>
      <c r="G22" s="86"/>
      <c r="J22" s="202" t="s">
        <v>90</v>
      </c>
      <c r="K22" s="200">
        <f>((K18*M18*O18)/Q19)</f>
        <v>52.251195023999998</v>
      </c>
      <c r="L22" s="206" t="s">
        <v>94</v>
      </c>
      <c r="M22" s="86"/>
      <c r="N22" s="86"/>
      <c r="O22" s="199"/>
      <c r="P22" s="86"/>
      <c r="Q22" s="86"/>
      <c r="R22" s="86"/>
    </row>
    <row r="23" spans="1:18" ht="14.25" customHeight="1" x14ac:dyDescent="0.2">
      <c r="A23" s="86"/>
      <c r="B23" s="86"/>
      <c r="C23" s="198" t="s">
        <v>64</v>
      </c>
      <c r="D23" s="86"/>
      <c r="E23" s="86"/>
      <c r="F23" s="86"/>
      <c r="G23" s="86"/>
      <c r="J23" s="86"/>
      <c r="K23" s="86"/>
      <c r="L23" s="198" t="s">
        <v>64</v>
      </c>
      <c r="M23" s="86"/>
      <c r="N23" s="86"/>
      <c r="O23" s="86"/>
      <c r="P23" s="86"/>
      <c r="Q23" s="86"/>
      <c r="R23" s="86"/>
    </row>
    <row r="26" spans="1:18" ht="14.25" customHeight="1" x14ac:dyDescent="0.2">
      <c r="A26" s="86" t="s">
        <v>96</v>
      </c>
      <c r="B26" s="86"/>
      <c r="C26" s="86"/>
      <c r="D26" s="86"/>
      <c r="E26" s="86"/>
      <c r="F26" s="86"/>
      <c r="G26" s="86"/>
      <c r="J26" s="86" t="s">
        <v>96</v>
      </c>
      <c r="K26" s="86"/>
      <c r="L26" s="86"/>
      <c r="M26" s="86"/>
      <c r="N26" s="86"/>
      <c r="O26" s="86"/>
      <c r="P26" s="86"/>
      <c r="Q26" s="86"/>
      <c r="R26" s="86"/>
    </row>
    <row r="27" spans="1:18" ht="14.25" customHeight="1" x14ac:dyDescent="0.25">
      <c r="B27" s="328"/>
    </row>
    <row r="28" spans="1:18" ht="14.25" customHeight="1" x14ac:dyDescent="0.2">
      <c r="A28" s="202" t="s">
        <v>90</v>
      </c>
      <c r="B28" s="329">
        <f>157*B13</f>
        <v>76.799166666666679</v>
      </c>
      <c r="C28" s="204" t="s">
        <v>91</v>
      </c>
      <c r="D28" s="111">
        <f>B12</f>
        <v>152779280.22000003</v>
      </c>
      <c r="E28" s="204" t="s">
        <v>92</v>
      </c>
      <c r="F28" s="599" t="s">
        <v>94</v>
      </c>
      <c r="G28" s="599"/>
      <c r="J28" s="202" t="s">
        <v>90</v>
      </c>
      <c r="K28" s="209">
        <f>1.01*K13</f>
        <v>8.0800000000000002E-4</v>
      </c>
      <c r="L28" s="204" t="s">
        <v>91</v>
      </c>
      <c r="M28" s="111">
        <f>K12</f>
        <v>63105308</v>
      </c>
      <c r="N28" s="204" t="s">
        <v>92</v>
      </c>
      <c r="O28" s="203">
        <v>0.13800000000000001</v>
      </c>
      <c r="P28" s="204" t="s">
        <v>93</v>
      </c>
      <c r="Q28" s="203" t="s">
        <v>94</v>
      </c>
      <c r="R28" s="205"/>
    </row>
    <row r="29" spans="1:18" ht="14.25" customHeight="1" x14ac:dyDescent="0.2">
      <c r="A29" s="86"/>
      <c r="B29" s="1">
        <v>1000</v>
      </c>
      <c r="C29" s="125" t="s">
        <v>92</v>
      </c>
      <c r="D29" s="593" t="s">
        <v>64</v>
      </c>
      <c r="E29" s="593"/>
      <c r="F29" s="1">
        <v>2000</v>
      </c>
      <c r="G29" s="125" t="s">
        <v>91</v>
      </c>
      <c r="J29" s="86"/>
      <c r="K29" s="1" t="s">
        <v>93</v>
      </c>
      <c r="L29" s="125"/>
      <c r="M29" s="1" t="s">
        <v>64</v>
      </c>
      <c r="N29" s="125"/>
      <c r="O29" s="1" t="s">
        <v>92</v>
      </c>
      <c r="P29" s="125"/>
      <c r="Q29" s="1">
        <v>2000</v>
      </c>
      <c r="R29" s="327" t="s">
        <v>91</v>
      </c>
    </row>
    <row r="32" spans="1:18" ht="14.25" customHeight="1" x14ac:dyDescent="0.2">
      <c r="A32" s="202" t="s">
        <v>90</v>
      </c>
      <c r="B32" s="200">
        <f>((B28/B29)*D28)/F29</f>
        <v>5866.6607024145769</v>
      </c>
      <c r="C32" s="206" t="s">
        <v>94</v>
      </c>
      <c r="D32" s="86"/>
      <c r="E32" s="86"/>
      <c r="F32" s="86"/>
      <c r="G32" s="86"/>
      <c r="J32" s="202" t="s">
        <v>90</v>
      </c>
      <c r="K32" s="200">
        <f>((K28*M28*O28)/Q29)</f>
        <v>3.518247131616</v>
      </c>
      <c r="L32" s="206" t="s">
        <v>94</v>
      </c>
      <c r="M32" s="86"/>
      <c r="N32" s="86"/>
      <c r="O32" s="86"/>
      <c r="P32" s="86"/>
      <c r="Q32" s="86"/>
      <c r="R32" s="86"/>
    </row>
    <row r="33" spans="1:18" ht="14.25" customHeight="1" x14ac:dyDescent="0.2">
      <c r="A33" s="86"/>
      <c r="B33" s="86"/>
      <c r="C33" s="198" t="s">
        <v>64</v>
      </c>
      <c r="D33" s="86"/>
      <c r="E33" s="86"/>
      <c r="F33" s="86"/>
      <c r="G33" s="86"/>
      <c r="J33" s="86"/>
      <c r="K33" s="86"/>
      <c r="L33" s="198" t="s">
        <v>64</v>
      </c>
      <c r="M33" s="86"/>
      <c r="N33" s="86"/>
      <c r="O33" s="86"/>
      <c r="P33" s="86"/>
      <c r="Q33" s="86"/>
      <c r="R33" s="86"/>
    </row>
    <row r="36" spans="1:18" ht="14.25" customHeight="1" x14ac:dyDescent="0.2">
      <c r="A36" s="86" t="s">
        <v>97</v>
      </c>
      <c r="B36" s="86"/>
      <c r="C36" s="86"/>
      <c r="D36" s="86"/>
      <c r="E36" s="86"/>
      <c r="F36" s="86"/>
      <c r="G36" s="86"/>
      <c r="J36" s="86" t="s">
        <v>97</v>
      </c>
      <c r="K36" s="86"/>
      <c r="L36" s="86"/>
      <c r="M36" s="86"/>
      <c r="N36" s="86"/>
      <c r="O36" s="86"/>
      <c r="P36" s="86"/>
      <c r="Q36" s="86"/>
      <c r="R36" s="86"/>
    </row>
    <row r="38" spans="1:18" ht="14.25" customHeight="1" x14ac:dyDescent="0.2">
      <c r="A38" s="202" t="s">
        <v>90</v>
      </c>
      <c r="B38" s="212">
        <v>0.33</v>
      </c>
      <c r="C38" s="204" t="s">
        <v>91</v>
      </c>
      <c r="D38" s="111">
        <f>B12</f>
        <v>152779280.22000003</v>
      </c>
      <c r="E38" s="204" t="s">
        <v>92</v>
      </c>
      <c r="F38" s="599" t="s">
        <v>237</v>
      </c>
      <c r="G38" s="599"/>
      <c r="H38" s="599" t="s">
        <v>94</v>
      </c>
      <c r="I38" s="599"/>
      <c r="J38" s="202" t="s">
        <v>90</v>
      </c>
      <c r="K38" s="203">
        <v>0.88</v>
      </c>
      <c r="L38" s="204" t="s">
        <v>91</v>
      </c>
      <c r="M38" s="111">
        <f>K12</f>
        <v>63105308</v>
      </c>
      <c r="N38" s="204" t="s">
        <v>92</v>
      </c>
      <c r="O38" s="203">
        <v>0.13800000000000001</v>
      </c>
      <c r="P38" s="204" t="s">
        <v>93</v>
      </c>
      <c r="Q38" s="203" t="s">
        <v>94</v>
      </c>
      <c r="R38" s="205"/>
    </row>
    <row r="39" spans="1:18" ht="14.25" customHeight="1" x14ac:dyDescent="0.2">
      <c r="A39" s="86"/>
      <c r="B39" s="1"/>
      <c r="C39" s="125" t="s">
        <v>131</v>
      </c>
      <c r="D39" s="593" t="s">
        <v>64</v>
      </c>
      <c r="E39" s="593"/>
      <c r="F39" s="1" t="s">
        <v>92</v>
      </c>
      <c r="G39" s="125"/>
      <c r="H39" s="1">
        <v>2000</v>
      </c>
      <c r="I39" s="125" t="s">
        <v>91</v>
      </c>
      <c r="J39" s="86"/>
      <c r="K39" s="1" t="s">
        <v>93</v>
      </c>
      <c r="L39" s="125"/>
      <c r="M39" s="1" t="s">
        <v>64</v>
      </c>
      <c r="N39" s="125"/>
      <c r="O39" s="1" t="s">
        <v>92</v>
      </c>
      <c r="P39" s="125"/>
      <c r="Q39" s="1">
        <v>2000</v>
      </c>
      <c r="R39" s="327" t="s">
        <v>91</v>
      </c>
    </row>
    <row r="42" spans="1:18" ht="14.25" customHeight="1" x14ac:dyDescent="0.2">
      <c r="A42" s="202" t="s">
        <v>90</v>
      </c>
      <c r="B42" s="200">
        <f>B38*D38*0.15/2000</f>
        <v>3781.2871854450009</v>
      </c>
      <c r="C42" s="206" t="s">
        <v>94</v>
      </c>
      <c r="D42" s="86"/>
      <c r="E42" s="86"/>
      <c r="F42" s="86"/>
      <c r="G42" s="86"/>
      <c r="J42" s="202" t="s">
        <v>90</v>
      </c>
      <c r="K42" s="200">
        <f>((K38*M38*O38)/Q39)</f>
        <v>3831.7543017600001</v>
      </c>
      <c r="L42" s="206" t="s">
        <v>94</v>
      </c>
      <c r="M42" s="86"/>
      <c r="N42" s="86"/>
      <c r="O42" s="86"/>
      <c r="P42" s="86"/>
      <c r="Q42" s="86"/>
      <c r="R42" s="86"/>
    </row>
    <row r="43" spans="1:18" ht="14.25" customHeight="1" x14ac:dyDescent="0.2">
      <c r="A43" s="86"/>
      <c r="B43" s="86"/>
      <c r="C43" s="198" t="s">
        <v>64</v>
      </c>
      <c r="D43" s="86"/>
      <c r="E43" s="86"/>
      <c r="F43" s="86"/>
      <c r="G43" s="86"/>
      <c r="J43" s="86"/>
      <c r="K43" s="86"/>
      <c r="L43" s="198" t="s">
        <v>64</v>
      </c>
      <c r="M43" s="86"/>
      <c r="N43" s="86"/>
      <c r="O43" s="86"/>
      <c r="P43" s="86"/>
      <c r="Q43" s="86"/>
      <c r="R43" s="86"/>
    </row>
    <row r="44" spans="1:18" ht="14.25" customHeight="1" x14ac:dyDescent="0.2">
      <c r="A44" s="86"/>
      <c r="B44" s="86"/>
      <c r="C44" s="198"/>
      <c r="D44" s="86"/>
      <c r="E44" s="86"/>
      <c r="F44" s="86"/>
      <c r="G44" s="86"/>
      <c r="J44" s="86"/>
      <c r="K44" s="86"/>
      <c r="L44" s="198"/>
      <c r="M44" s="86"/>
      <c r="N44" s="86"/>
      <c r="O44" s="86"/>
      <c r="P44" s="86"/>
      <c r="Q44" s="86"/>
      <c r="R44" s="86"/>
    </row>
    <row r="45" spans="1:18" ht="14.25" customHeight="1" x14ac:dyDescent="0.2">
      <c r="A45" s="86"/>
      <c r="B45" s="86"/>
      <c r="C45" s="198"/>
      <c r="D45" s="86"/>
      <c r="E45" s="86"/>
      <c r="F45" s="86"/>
      <c r="G45" s="86"/>
      <c r="J45" s="86"/>
      <c r="K45" s="86"/>
      <c r="L45" s="198"/>
      <c r="M45" s="86"/>
      <c r="N45" s="86"/>
      <c r="O45" s="86"/>
      <c r="P45" s="86"/>
      <c r="Q45" s="86"/>
      <c r="R45" s="86"/>
    </row>
    <row r="46" spans="1:18" ht="14.25" customHeight="1" x14ac:dyDescent="0.2">
      <c r="A46" s="86"/>
      <c r="B46" s="86"/>
      <c r="C46" s="198"/>
      <c r="D46" s="86"/>
      <c r="E46" s="86"/>
      <c r="F46" s="86"/>
      <c r="G46" s="86"/>
      <c r="J46" s="86"/>
      <c r="K46" s="86"/>
      <c r="L46" s="198"/>
      <c r="M46" s="86"/>
      <c r="N46" s="86"/>
      <c r="O46" s="86"/>
      <c r="P46" s="86"/>
      <c r="Q46" s="86"/>
      <c r="R46" s="86"/>
    </row>
    <row r="47" spans="1:18" ht="14.25" customHeight="1" x14ac:dyDescent="0.2">
      <c r="A47" s="86"/>
      <c r="B47" s="86"/>
      <c r="C47" s="198"/>
      <c r="D47" s="86"/>
      <c r="E47" s="86"/>
      <c r="F47" s="86"/>
      <c r="G47" s="86"/>
      <c r="J47" s="86"/>
      <c r="K47" s="86"/>
      <c r="L47" s="198"/>
      <c r="M47" s="86"/>
      <c r="N47" s="86"/>
      <c r="O47" s="86"/>
      <c r="P47" s="86"/>
      <c r="Q47" s="86"/>
      <c r="R47" s="86"/>
    </row>
    <row r="48" spans="1:18" ht="14.25" customHeight="1" x14ac:dyDescent="0.2">
      <c r="A48" s="86" t="s">
        <v>98</v>
      </c>
      <c r="B48" s="86"/>
      <c r="C48" s="86"/>
      <c r="D48" s="86"/>
      <c r="E48" s="86"/>
      <c r="F48" s="86"/>
      <c r="G48" s="86"/>
      <c r="J48" s="86" t="s">
        <v>98</v>
      </c>
      <c r="K48" s="86"/>
      <c r="L48" s="86"/>
      <c r="M48" s="86"/>
      <c r="N48" s="86"/>
      <c r="O48" s="86"/>
      <c r="P48" s="86"/>
      <c r="Q48" s="86"/>
      <c r="R48" s="86"/>
    </row>
    <row r="50" spans="1:18" ht="14.25" customHeight="1" x14ac:dyDescent="0.2">
      <c r="A50" s="202" t="s">
        <v>90</v>
      </c>
      <c r="B50" s="203">
        <v>0.76</v>
      </c>
      <c r="C50" s="204" t="s">
        <v>91</v>
      </c>
      <c r="D50" s="111">
        <f>B12</f>
        <v>152779280.22000003</v>
      </c>
      <c r="E50" s="204" t="s">
        <v>92</v>
      </c>
      <c r="F50" s="599" t="s">
        <v>94</v>
      </c>
      <c r="G50" s="599"/>
      <c r="J50" s="202" t="s">
        <v>90</v>
      </c>
      <c r="K50" s="203">
        <v>4.0999999999999999E-4</v>
      </c>
      <c r="L50" s="204" t="s">
        <v>91</v>
      </c>
      <c r="M50" s="111">
        <f>K12</f>
        <v>63105308</v>
      </c>
      <c r="N50" s="204" t="s">
        <v>92</v>
      </c>
      <c r="O50" s="203">
        <v>0.13800000000000001</v>
      </c>
      <c r="P50" s="204" t="s">
        <v>93</v>
      </c>
      <c r="Q50" s="203" t="s">
        <v>94</v>
      </c>
      <c r="R50" s="205"/>
    </row>
    <row r="51" spans="1:18" ht="14.25" customHeight="1" x14ac:dyDescent="0.2">
      <c r="A51" s="86"/>
      <c r="B51" s="1">
        <v>1000</v>
      </c>
      <c r="C51" s="125" t="s">
        <v>92</v>
      </c>
      <c r="D51" s="593" t="s">
        <v>64</v>
      </c>
      <c r="E51" s="593"/>
      <c r="F51" s="1">
        <v>2000</v>
      </c>
      <c r="G51" s="125" t="s">
        <v>91</v>
      </c>
      <c r="J51" s="86"/>
      <c r="K51" s="1" t="s">
        <v>93</v>
      </c>
      <c r="L51" s="125"/>
      <c r="M51" s="1" t="s">
        <v>64</v>
      </c>
      <c r="N51" s="125"/>
      <c r="O51" s="1" t="s">
        <v>92</v>
      </c>
      <c r="P51" s="125"/>
      <c r="Q51" s="1">
        <v>2000</v>
      </c>
      <c r="R51" s="327" t="s">
        <v>91</v>
      </c>
    </row>
    <row r="54" spans="1:18" ht="14.25" customHeight="1" x14ac:dyDescent="0.2">
      <c r="A54" s="202" t="s">
        <v>90</v>
      </c>
      <c r="B54" s="200">
        <f>((B50/B51)*D50)/F51</f>
        <v>58.056126483600011</v>
      </c>
      <c r="C54" s="206" t="s">
        <v>94</v>
      </c>
      <c r="D54" s="86"/>
      <c r="E54" s="86"/>
      <c r="F54" s="86"/>
      <c r="G54" s="86"/>
      <c r="J54" s="202" t="s">
        <v>90</v>
      </c>
      <c r="K54" s="200">
        <f>((K50*M50*O50)/Q51)</f>
        <v>1.7852491633200003</v>
      </c>
      <c r="L54" s="206" t="s">
        <v>94</v>
      </c>
      <c r="M54" s="86"/>
      <c r="N54" s="86"/>
      <c r="O54" s="86"/>
      <c r="P54" s="86"/>
      <c r="Q54" s="86"/>
      <c r="R54" s="86"/>
    </row>
    <row r="55" spans="1:18" ht="14.25" customHeight="1" x14ac:dyDescent="0.2">
      <c r="A55" s="86"/>
      <c r="B55" s="86"/>
      <c r="C55" s="198" t="s">
        <v>64</v>
      </c>
      <c r="D55" s="86"/>
      <c r="E55" s="86"/>
      <c r="F55" s="86"/>
      <c r="G55" s="86"/>
      <c r="J55" s="86"/>
      <c r="K55" s="86"/>
      <c r="L55" s="198" t="s">
        <v>64</v>
      </c>
      <c r="M55" s="86"/>
      <c r="N55" s="86"/>
      <c r="O55" s="86"/>
      <c r="P55" s="86"/>
      <c r="Q55" s="86"/>
      <c r="R55" s="86"/>
    </row>
    <row r="58" spans="1:18" ht="14.25" customHeight="1" x14ac:dyDescent="0.2">
      <c r="A58" s="86" t="s">
        <v>99</v>
      </c>
      <c r="B58" s="86"/>
      <c r="C58" s="86"/>
      <c r="D58" s="86"/>
      <c r="E58" s="86"/>
      <c r="F58" s="86"/>
      <c r="G58" s="86"/>
      <c r="J58" s="86" t="s">
        <v>99</v>
      </c>
      <c r="K58" s="86"/>
      <c r="L58" s="86"/>
      <c r="M58" s="86"/>
      <c r="N58" s="86"/>
      <c r="O58" s="86"/>
      <c r="P58" s="86"/>
      <c r="Q58" s="86"/>
      <c r="R58" s="86"/>
    </row>
    <row r="60" spans="1:18" ht="14.25" customHeight="1" x14ac:dyDescent="0.2">
      <c r="A60" s="202" t="s">
        <v>90</v>
      </c>
      <c r="B60" s="203">
        <v>5</v>
      </c>
      <c r="C60" s="204" t="s">
        <v>91</v>
      </c>
      <c r="D60" s="111">
        <f>B12</f>
        <v>152779280.22000003</v>
      </c>
      <c r="E60" s="204" t="s">
        <v>92</v>
      </c>
      <c r="F60" s="599" t="s">
        <v>94</v>
      </c>
      <c r="G60" s="599"/>
      <c r="J60" s="202" t="s">
        <v>90</v>
      </c>
      <c r="K60" s="203">
        <v>3.3E-3</v>
      </c>
      <c r="L60" s="204" t="s">
        <v>91</v>
      </c>
      <c r="M60" s="111">
        <f>K12</f>
        <v>63105308</v>
      </c>
      <c r="N60" s="204" t="s">
        <v>92</v>
      </c>
      <c r="O60" s="203">
        <v>0.13800000000000001</v>
      </c>
      <c r="P60" s="204" t="s">
        <v>93</v>
      </c>
      <c r="Q60" s="203" t="s">
        <v>94</v>
      </c>
      <c r="R60" s="205"/>
    </row>
    <row r="61" spans="1:18" ht="14.25" customHeight="1" x14ac:dyDescent="0.2">
      <c r="A61" s="86"/>
      <c r="B61" s="1">
        <v>1000</v>
      </c>
      <c r="C61" s="125" t="s">
        <v>92</v>
      </c>
      <c r="D61" s="593" t="s">
        <v>64</v>
      </c>
      <c r="E61" s="593"/>
      <c r="F61" s="1">
        <v>2000</v>
      </c>
      <c r="G61" s="125" t="s">
        <v>91</v>
      </c>
      <c r="J61" s="86"/>
      <c r="K61" s="1" t="s">
        <v>93</v>
      </c>
      <c r="L61" s="125"/>
      <c r="M61" s="1" t="s">
        <v>64</v>
      </c>
      <c r="N61" s="125"/>
      <c r="O61" s="1" t="s">
        <v>92</v>
      </c>
      <c r="P61" s="125"/>
      <c r="Q61" s="1">
        <v>2000</v>
      </c>
      <c r="R61" s="327" t="s">
        <v>91</v>
      </c>
    </row>
    <row r="64" spans="1:18" ht="14.25" customHeight="1" x14ac:dyDescent="0.2">
      <c r="A64" s="202" t="s">
        <v>90</v>
      </c>
      <c r="B64" s="200">
        <f>((B60/B61)*D60)/F61</f>
        <v>381.94820055000008</v>
      </c>
      <c r="C64" s="206" t="s">
        <v>94</v>
      </c>
      <c r="D64" s="86"/>
      <c r="E64" s="86"/>
      <c r="F64" s="86"/>
      <c r="G64" s="86"/>
      <c r="J64" s="202" t="s">
        <v>90</v>
      </c>
      <c r="K64" s="200">
        <f>((K60*M60*O60)/Q61)</f>
        <v>14.369078631600001</v>
      </c>
      <c r="L64" s="206" t="s">
        <v>94</v>
      </c>
      <c r="M64" s="86"/>
      <c r="N64" s="86"/>
      <c r="O64" s="86"/>
      <c r="P64" s="86"/>
      <c r="Q64" s="86"/>
      <c r="R64" s="86"/>
    </row>
    <row r="65" spans="1:18" ht="14.25" customHeight="1" x14ac:dyDescent="0.2">
      <c r="A65" s="86"/>
      <c r="B65" s="86"/>
      <c r="C65" s="198" t="s">
        <v>64</v>
      </c>
      <c r="D65" s="86"/>
      <c r="E65" s="86"/>
      <c r="F65" s="86"/>
      <c r="G65" s="86"/>
      <c r="J65" s="86"/>
      <c r="K65" s="86"/>
      <c r="L65" s="198" t="s">
        <v>64</v>
      </c>
      <c r="M65" s="86"/>
      <c r="N65" s="86"/>
      <c r="O65" s="86"/>
      <c r="P65" s="86"/>
      <c r="Q65" s="86"/>
      <c r="R65" s="86"/>
    </row>
    <row r="68" spans="1:18" ht="14.25" customHeight="1" x14ac:dyDescent="0.2">
      <c r="A68" s="86" t="s">
        <v>100</v>
      </c>
      <c r="B68" s="86"/>
      <c r="C68" s="86"/>
      <c r="D68" s="86"/>
      <c r="E68" s="86"/>
      <c r="F68" s="86"/>
      <c r="G68" s="86"/>
      <c r="J68" s="86" t="s">
        <v>100</v>
      </c>
      <c r="K68" s="86"/>
      <c r="L68" s="86"/>
      <c r="M68" s="86"/>
      <c r="N68" s="86"/>
      <c r="O68" s="86"/>
      <c r="P68" s="86"/>
      <c r="Q68" s="86"/>
      <c r="R68" s="86"/>
    </row>
    <row r="70" spans="1:18" ht="14.25" customHeight="1" x14ac:dyDescent="0.2">
      <c r="A70" s="202" t="s">
        <v>90</v>
      </c>
      <c r="B70" s="203">
        <v>1.5100000000000001E-3</v>
      </c>
      <c r="C70" s="204" t="s">
        <v>91</v>
      </c>
      <c r="D70" s="111">
        <f>B12</f>
        <v>152779280.22000003</v>
      </c>
      <c r="E70" s="204" t="s">
        <v>92</v>
      </c>
      <c r="F70" s="599" t="s">
        <v>94</v>
      </c>
      <c r="G70" s="599"/>
      <c r="J70" s="202" t="s">
        <v>90</v>
      </c>
      <c r="K70" s="203">
        <v>1.4E-5</v>
      </c>
      <c r="L70" s="204" t="s">
        <v>91</v>
      </c>
      <c r="M70" s="111">
        <f>K12</f>
        <v>63105308</v>
      </c>
      <c r="N70" s="204" t="s">
        <v>92</v>
      </c>
      <c r="O70" s="203">
        <v>0.13800000000000001</v>
      </c>
      <c r="P70" s="204" t="s">
        <v>93</v>
      </c>
      <c r="Q70" s="203" t="s">
        <v>94</v>
      </c>
      <c r="R70" s="205"/>
    </row>
    <row r="71" spans="1:18" ht="14.25" customHeight="1" x14ac:dyDescent="0.2">
      <c r="A71" s="86"/>
      <c r="B71" s="1">
        <v>1000</v>
      </c>
      <c r="C71" s="125" t="s">
        <v>92</v>
      </c>
      <c r="D71" s="593" t="s">
        <v>64</v>
      </c>
      <c r="E71" s="593"/>
      <c r="F71" s="1">
        <v>2000</v>
      </c>
      <c r="G71" s="125" t="s">
        <v>91</v>
      </c>
      <c r="J71" s="86"/>
      <c r="K71" s="1" t="s">
        <v>93</v>
      </c>
      <c r="L71" s="125"/>
      <c r="M71" s="1" t="s">
        <v>64</v>
      </c>
      <c r="N71" s="125"/>
      <c r="O71" s="1" t="s">
        <v>92</v>
      </c>
      <c r="P71" s="125"/>
      <c r="Q71" s="1">
        <v>2000</v>
      </c>
      <c r="R71" s="327" t="s">
        <v>91</v>
      </c>
    </row>
    <row r="74" spans="1:18" ht="14.25" customHeight="1" x14ac:dyDescent="0.2">
      <c r="A74" s="202" t="s">
        <v>90</v>
      </c>
      <c r="B74" s="200">
        <f>((B70/B71)*D70)/F71</f>
        <v>0.11534835656610004</v>
      </c>
      <c r="C74" s="206" t="s">
        <v>94</v>
      </c>
      <c r="D74" s="86"/>
      <c r="E74" s="86"/>
      <c r="F74" s="86"/>
      <c r="G74" s="86"/>
      <c r="J74" s="202" t="s">
        <v>90</v>
      </c>
      <c r="K74" s="200">
        <f>((K70*M70*O70)/Q71)</f>
        <v>6.0959727528000003E-2</v>
      </c>
      <c r="L74" s="206" t="s">
        <v>94</v>
      </c>
      <c r="M74" s="86"/>
      <c r="N74" s="86"/>
      <c r="O74" s="86"/>
      <c r="P74" s="86"/>
      <c r="Q74" s="86"/>
      <c r="R74" s="86"/>
    </row>
    <row r="75" spans="1:18" ht="14.25" customHeight="1" x14ac:dyDescent="0.2">
      <c r="A75" s="86"/>
      <c r="B75" s="86"/>
      <c r="C75" s="198" t="s">
        <v>64</v>
      </c>
      <c r="D75" s="86"/>
      <c r="E75" s="86"/>
      <c r="F75" s="86"/>
      <c r="G75" s="86"/>
      <c r="J75" s="86"/>
      <c r="K75" s="86"/>
      <c r="L75" s="198" t="s">
        <v>64</v>
      </c>
      <c r="M75" s="86"/>
      <c r="N75" s="86"/>
      <c r="O75" s="86"/>
      <c r="P75" s="86"/>
      <c r="Q75" s="86"/>
      <c r="R75" s="86"/>
    </row>
    <row r="78" spans="1:18" ht="14.25" customHeight="1" x14ac:dyDescent="0.2">
      <c r="A78" s="86" t="s">
        <v>101</v>
      </c>
      <c r="B78" s="86"/>
      <c r="C78" s="86"/>
      <c r="D78" s="86"/>
      <c r="E78" s="86"/>
      <c r="F78" s="86"/>
      <c r="G78" s="86"/>
      <c r="J78" s="86" t="s">
        <v>101</v>
      </c>
      <c r="K78" s="86"/>
      <c r="L78" s="86"/>
      <c r="M78" s="86"/>
      <c r="N78" s="86"/>
      <c r="O78" s="86"/>
      <c r="P78" s="86"/>
      <c r="Q78" s="86"/>
      <c r="R78" s="86"/>
    </row>
    <row r="80" spans="1:18" ht="14.25" customHeight="1" x14ac:dyDescent="0.2">
      <c r="A80" s="202" t="s">
        <v>90</v>
      </c>
      <c r="B80" s="209">
        <f>V12</f>
        <v>25.035941452772921</v>
      </c>
      <c r="C80" s="204" t="s">
        <v>91</v>
      </c>
      <c r="D80" s="111">
        <f>B12</f>
        <v>152779280.22000003</v>
      </c>
      <c r="E80" s="204" t="s">
        <v>92</v>
      </c>
      <c r="F80" s="599" t="s">
        <v>94</v>
      </c>
      <c r="G80" s="599"/>
      <c r="J80" s="202" t="s">
        <v>90</v>
      </c>
      <c r="K80" s="209">
        <f>V13</f>
        <v>22.579333304640002</v>
      </c>
      <c r="L80" s="204" t="s">
        <v>91</v>
      </c>
      <c r="M80" s="111">
        <f>K12</f>
        <v>63105308</v>
      </c>
      <c r="N80" s="204" t="s">
        <v>92</v>
      </c>
      <c r="O80" s="599" t="s">
        <v>94</v>
      </c>
      <c r="P80" s="599"/>
    </row>
    <row r="81" spans="1:16" ht="14.25" customHeight="1" x14ac:dyDescent="0.2">
      <c r="A81" s="86"/>
      <c r="B81" s="1"/>
      <c r="C81" s="125" t="s">
        <v>92</v>
      </c>
      <c r="D81" s="593" t="s">
        <v>64</v>
      </c>
      <c r="E81" s="593"/>
      <c r="F81" s="1">
        <v>2000</v>
      </c>
      <c r="G81" s="125" t="s">
        <v>91</v>
      </c>
      <c r="J81" s="86"/>
      <c r="K81" s="1"/>
      <c r="L81" s="125" t="s">
        <v>92</v>
      </c>
      <c r="M81" s="593" t="s">
        <v>64</v>
      </c>
      <c r="N81" s="593"/>
      <c r="O81" s="1">
        <v>2000</v>
      </c>
      <c r="P81" s="125" t="s">
        <v>91</v>
      </c>
    </row>
    <row r="84" spans="1:16" ht="14.25" customHeight="1" x14ac:dyDescent="0.2">
      <c r="A84" s="202" t="s">
        <v>90</v>
      </c>
      <c r="B84" s="200">
        <f>B80*D80/F81</f>
        <v>1912486.5573923544</v>
      </c>
      <c r="C84" s="206" t="s">
        <v>94</v>
      </c>
      <c r="D84" s="86"/>
      <c r="E84" s="86"/>
      <c r="F84" s="86"/>
      <c r="G84" s="86"/>
      <c r="J84" s="202" t="s">
        <v>90</v>
      </c>
      <c r="K84" s="200">
        <f>K80*M80/O81</f>
        <v>712437.89131198265</v>
      </c>
      <c r="L84" s="206" t="s">
        <v>94</v>
      </c>
      <c r="M84" s="86"/>
      <c r="N84" s="86"/>
      <c r="O84" s="86"/>
      <c r="P84" s="86"/>
    </row>
    <row r="85" spans="1:16" ht="14.25" customHeight="1" x14ac:dyDescent="0.2">
      <c r="A85" s="86"/>
      <c r="B85" s="86"/>
      <c r="C85" s="198" t="s">
        <v>64</v>
      </c>
      <c r="D85" s="86"/>
      <c r="E85" s="86"/>
      <c r="F85" s="86"/>
      <c r="G85" s="86"/>
      <c r="J85" s="86"/>
      <c r="K85" s="86"/>
      <c r="L85" s="198" t="s">
        <v>64</v>
      </c>
      <c r="M85" s="86"/>
      <c r="N85" s="86"/>
      <c r="O85" s="86"/>
      <c r="P85" s="86"/>
    </row>
  </sheetData>
  <mergeCells count="21">
    <mergeCell ref="A1:I1"/>
    <mergeCell ref="J1:R1"/>
    <mergeCell ref="A3:D3"/>
    <mergeCell ref="J3:L3"/>
    <mergeCell ref="F18:G18"/>
    <mergeCell ref="D19:E19"/>
    <mergeCell ref="F28:G28"/>
    <mergeCell ref="D29:E29"/>
    <mergeCell ref="F38:G38"/>
    <mergeCell ref="H38:I38"/>
    <mergeCell ref="D39:E39"/>
    <mergeCell ref="F50:G50"/>
    <mergeCell ref="D51:E51"/>
    <mergeCell ref="F60:G60"/>
    <mergeCell ref="D61:E61"/>
    <mergeCell ref="F70:G70"/>
    <mergeCell ref="D71:E71"/>
    <mergeCell ref="F80:G80"/>
    <mergeCell ref="O80:P80"/>
    <mergeCell ref="D81:E81"/>
    <mergeCell ref="M81:N8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P56"/>
  <sheetViews>
    <sheetView zoomScaleNormal="100" workbookViewId="0">
      <selection sqref="A1:O1"/>
    </sheetView>
  </sheetViews>
  <sheetFormatPr defaultColWidth="8.85546875" defaultRowHeight="15" x14ac:dyDescent="0.25"/>
  <cols>
    <col min="1" max="1" width="12.140625" style="29" customWidth="1"/>
    <col min="2" max="2" width="17.5703125" style="29" customWidth="1"/>
    <col min="3" max="3" width="14.42578125" style="29" customWidth="1"/>
    <col min="4" max="4" width="16.5703125" style="29" customWidth="1"/>
    <col min="5" max="5" width="14.140625" style="29" customWidth="1"/>
    <col min="6" max="6" width="9.5703125" style="29" customWidth="1"/>
    <col min="7" max="7" width="8.85546875" style="29"/>
    <col min="8" max="8" width="14.42578125" style="29" customWidth="1"/>
    <col min="9" max="9" width="8.85546875" style="29"/>
    <col min="10" max="10" width="10" style="29" customWidth="1"/>
    <col min="11" max="11" width="17.28515625" style="29" customWidth="1"/>
    <col min="12" max="12" width="13.42578125" style="29" customWidth="1"/>
    <col min="13" max="16384" width="8.85546875" style="29"/>
  </cols>
  <sheetData>
    <row r="2" spans="1:16" ht="14.25" customHeight="1" x14ac:dyDescent="0.25">
      <c r="A2" s="584" t="s">
        <v>238</v>
      </c>
      <c r="B2" s="584"/>
      <c r="C2" s="584"/>
      <c r="D2" s="584"/>
      <c r="E2" s="584"/>
      <c r="F2" s="584"/>
      <c r="G2" s="584"/>
      <c r="H2" s="584"/>
      <c r="I2" s="584"/>
    </row>
    <row r="3" spans="1:16" ht="14.25" customHeight="1" x14ac:dyDescent="0.25">
      <c r="A3" s="598" t="s">
        <v>239</v>
      </c>
      <c r="B3" s="598"/>
      <c r="C3" s="598"/>
      <c r="D3" s="598"/>
      <c r="E3" s="598"/>
      <c r="F3" s="598" t="s">
        <v>62</v>
      </c>
      <c r="G3" s="598"/>
      <c r="H3" s="598"/>
      <c r="I3" s="598"/>
      <c r="M3" s="601"/>
      <c r="N3" s="601"/>
      <c r="O3" s="601"/>
      <c r="P3" s="601"/>
    </row>
    <row r="4" spans="1:16" ht="14.25" customHeight="1" x14ac:dyDescent="0.25">
      <c r="A4" s="4" t="s">
        <v>64</v>
      </c>
      <c r="B4" s="34" t="s">
        <v>240</v>
      </c>
      <c r="C4" s="251" t="s">
        <v>241</v>
      </c>
      <c r="D4" s="251" t="s">
        <v>242</v>
      </c>
      <c r="E4" s="33" t="s">
        <v>243</v>
      </c>
      <c r="F4" s="217" t="s">
        <v>240</v>
      </c>
      <c r="G4" s="251" t="s">
        <v>241</v>
      </c>
      <c r="H4" s="251" t="s">
        <v>242</v>
      </c>
      <c r="I4" s="35" t="s">
        <v>243</v>
      </c>
      <c r="M4" s="169"/>
      <c r="N4" s="169"/>
      <c r="O4" s="169"/>
      <c r="P4" s="169"/>
    </row>
    <row r="5" spans="1:16" ht="14.25" customHeight="1" x14ac:dyDescent="0.25">
      <c r="A5" s="330">
        <v>45292</v>
      </c>
      <c r="B5" s="221">
        <v>0</v>
      </c>
      <c r="C5" s="221">
        <v>0</v>
      </c>
      <c r="D5" s="221">
        <v>0</v>
      </c>
      <c r="E5" s="221">
        <v>0</v>
      </c>
      <c r="F5" s="221" t="s">
        <v>126</v>
      </c>
      <c r="G5" s="38" t="s">
        <v>126</v>
      </c>
      <c r="H5" s="221">
        <v>0.49</v>
      </c>
      <c r="I5" s="331">
        <v>0.49</v>
      </c>
      <c r="M5" s="172"/>
      <c r="N5" s="172"/>
      <c r="O5" s="172"/>
      <c r="P5" s="172"/>
    </row>
    <row r="6" spans="1:16" ht="14.25" customHeight="1" x14ac:dyDescent="0.25">
      <c r="A6" s="332">
        <v>45323</v>
      </c>
      <c r="B6" s="232">
        <v>0</v>
      </c>
      <c r="C6" s="232">
        <v>0</v>
      </c>
      <c r="D6" s="232">
        <v>0</v>
      </c>
      <c r="E6" s="232">
        <v>0</v>
      </c>
      <c r="F6" s="232" t="s">
        <v>126</v>
      </c>
      <c r="G6" s="44" t="s">
        <v>126</v>
      </c>
      <c r="H6" s="232">
        <v>0.49</v>
      </c>
      <c r="I6" s="333">
        <v>0.49</v>
      </c>
      <c r="M6" s="172"/>
      <c r="N6" s="172"/>
      <c r="O6" s="172"/>
      <c r="P6" s="172"/>
    </row>
    <row r="7" spans="1:16" ht="14.25" customHeight="1" x14ac:dyDescent="0.25">
      <c r="A7" s="332">
        <v>45352</v>
      </c>
      <c r="B7" s="232">
        <v>0</v>
      </c>
      <c r="C7" s="232">
        <v>0</v>
      </c>
      <c r="D7" s="232">
        <v>0</v>
      </c>
      <c r="E7" s="232">
        <v>0</v>
      </c>
      <c r="F7" s="232" t="s">
        <v>126</v>
      </c>
      <c r="G7" s="44" t="s">
        <v>126</v>
      </c>
      <c r="H7" s="232">
        <v>0.49</v>
      </c>
      <c r="I7" s="333">
        <v>0.49</v>
      </c>
      <c r="M7" s="172"/>
      <c r="N7" s="172"/>
      <c r="O7" s="172"/>
      <c r="P7" s="172"/>
    </row>
    <row r="8" spans="1:16" ht="14.25" customHeight="1" x14ac:dyDescent="0.25">
      <c r="A8" s="332">
        <v>45383</v>
      </c>
      <c r="B8" s="232">
        <v>0</v>
      </c>
      <c r="C8" s="232">
        <v>0</v>
      </c>
      <c r="D8" s="232">
        <v>0</v>
      </c>
      <c r="E8" s="232">
        <v>0</v>
      </c>
      <c r="F8" s="232" t="s">
        <v>126</v>
      </c>
      <c r="G8" s="44" t="s">
        <v>126</v>
      </c>
      <c r="H8" s="232">
        <v>0.49</v>
      </c>
      <c r="I8" s="333">
        <v>0.49</v>
      </c>
      <c r="M8" s="172"/>
      <c r="N8" s="172"/>
      <c r="O8" s="172"/>
      <c r="P8" s="172"/>
    </row>
    <row r="9" spans="1:16" ht="14.25" customHeight="1" x14ac:dyDescent="0.25">
      <c r="A9" s="332">
        <v>45413</v>
      </c>
      <c r="B9" s="232">
        <v>0</v>
      </c>
      <c r="C9" s="232">
        <v>0</v>
      </c>
      <c r="D9" s="232">
        <v>0</v>
      </c>
      <c r="E9" s="232">
        <v>0</v>
      </c>
      <c r="F9" s="232" t="s">
        <v>126</v>
      </c>
      <c r="G9" s="44" t="s">
        <v>126</v>
      </c>
      <c r="H9" s="232">
        <v>0.49</v>
      </c>
      <c r="I9" s="333">
        <v>0.49</v>
      </c>
      <c r="M9" s="172"/>
      <c r="N9" s="172"/>
      <c r="O9" s="172"/>
      <c r="P9" s="172"/>
    </row>
    <row r="10" spans="1:16" ht="14.25" customHeight="1" x14ac:dyDescent="0.25">
      <c r="A10" s="332">
        <v>45444</v>
      </c>
      <c r="B10" s="232">
        <v>0</v>
      </c>
      <c r="C10" s="232">
        <v>0</v>
      </c>
      <c r="D10" s="232">
        <v>0</v>
      </c>
      <c r="E10" s="232">
        <v>0</v>
      </c>
      <c r="F10" s="232" t="s">
        <v>126</v>
      </c>
      <c r="G10" s="44" t="s">
        <v>126</v>
      </c>
      <c r="H10" s="232">
        <v>0.49</v>
      </c>
      <c r="I10" s="333">
        <v>0.49</v>
      </c>
      <c r="M10" s="172"/>
      <c r="N10" s="172"/>
      <c r="O10" s="172"/>
      <c r="P10" s="172"/>
    </row>
    <row r="11" spans="1:16" ht="14.25" customHeight="1" x14ac:dyDescent="0.25">
      <c r="A11" s="332">
        <v>45474</v>
      </c>
      <c r="B11" s="232">
        <v>0</v>
      </c>
      <c r="C11" s="44">
        <v>0</v>
      </c>
      <c r="D11" s="232">
        <v>1337070</v>
      </c>
      <c r="E11" s="44">
        <v>0</v>
      </c>
      <c r="F11" s="232" t="s">
        <v>126</v>
      </c>
      <c r="G11" s="44" t="s">
        <v>126</v>
      </c>
      <c r="H11" s="232">
        <v>0.48</v>
      </c>
      <c r="I11" s="333">
        <v>0.48</v>
      </c>
      <c r="M11" s="172"/>
      <c r="N11" s="172"/>
      <c r="O11" s="172"/>
      <c r="P11" s="172"/>
    </row>
    <row r="12" spans="1:16" ht="14.25" customHeight="1" x14ac:dyDescent="0.25">
      <c r="A12" s="332">
        <v>45505</v>
      </c>
      <c r="B12" s="232">
        <v>0</v>
      </c>
      <c r="C12" s="44">
        <v>0</v>
      </c>
      <c r="D12" s="232">
        <v>6684846</v>
      </c>
      <c r="E12" s="44">
        <v>0</v>
      </c>
      <c r="F12" s="232" t="s">
        <v>126</v>
      </c>
      <c r="G12" s="44" t="s">
        <v>126</v>
      </c>
      <c r="H12" s="232">
        <v>0.49</v>
      </c>
      <c r="I12" s="333">
        <v>0.49</v>
      </c>
      <c r="M12" s="172"/>
      <c r="N12" s="172"/>
      <c r="O12" s="172"/>
      <c r="P12" s="172"/>
    </row>
    <row r="13" spans="1:16" ht="14.25" customHeight="1" x14ac:dyDescent="0.25">
      <c r="A13" s="332">
        <v>45536</v>
      </c>
      <c r="B13" s="232">
        <v>0</v>
      </c>
      <c r="C13" s="44">
        <v>0</v>
      </c>
      <c r="D13" s="232">
        <v>6941340</v>
      </c>
      <c r="E13" s="44">
        <v>0</v>
      </c>
      <c r="F13" s="232" t="s">
        <v>126</v>
      </c>
      <c r="G13" s="44" t="s">
        <v>126</v>
      </c>
      <c r="H13" s="232">
        <v>0.49</v>
      </c>
      <c r="I13" s="333">
        <v>0.49</v>
      </c>
      <c r="K13" s="334" t="s">
        <v>244</v>
      </c>
      <c r="M13" s="172"/>
      <c r="N13" s="172"/>
      <c r="O13" s="172"/>
      <c r="P13" s="172"/>
    </row>
    <row r="14" spans="1:16" ht="14.25" customHeight="1" x14ac:dyDescent="0.25">
      <c r="A14" s="332">
        <v>45566</v>
      </c>
      <c r="B14" s="232">
        <v>0</v>
      </c>
      <c r="C14" s="44">
        <v>0</v>
      </c>
      <c r="D14" s="232">
        <v>6730626</v>
      </c>
      <c r="E14" s="44">
        <v>0</v>
      </c>
      <c r="F14" s="232" t="s">
        <v>126</v>
      </c>
      <c r="G14" s="44" t="s">
        <v>126</v>
      </c>
      <c r="H14" s="232">
        <v>0.49</v>
      </c>
      <c r="I14" s="333">
        <v>0.49</v>
      </c>
      <c r="K14" s="335">
        <f>SUM(D17)</f>
        <v>33124350</v>
      </c>
      <c r="M14" s="172"/>
      <c r="N14" s="172"/>
      <c r="O14" s="172"/>
      <c r="P14" s="172"/>
    </row>
    <row r="15" spans="1:16" ht="14.25" customHeight="1" x14ac:dyDescent="0.25">
      <c r="A15" s="332">
        <v>45597</v>
      </c>
      <c r="B15" s="232">
        <v>0</v>
      </c>
      <c r="C15" s="44">
        <v>0</v>
      </c>
      <c r="D15" s="232">
        <v>5664204</v>
      </c>
      <c r="E15" s="44">
        <v>0</v>
      </c>
      <c r="F15" s="232" t="s">
        <v>126</v>
      </c>
      <c r="G15" s="44" t="s">
        <v>126</v>
      </c>
      <c r="H15" s="232">
        <v>0.5</v>
      </c>
      <c r="I15" s="333">
        <v>0.5</v>
      </c>
      <c r="M15" s="172"/>
      <c r="N15" s="172"/>
      <c r="O15" s="172"/>
      <c r="P15" s="172"/>
    </row>
    <row r="16" spans="1:16" ht="14.25" customHeight="1" x14ac:dyDescent="0.25">
      <c r="A16" s="336">
        <v>45627</v>
      </c>
      <c r="B16" s="236">
        <v>0</v>
      </c>
      <c r="C16" s="51">
        <v>0</v>
      </c>
      <c r="D16" s="236">
        <v>5766264</v>
      </c>
      <c r="E16" s="51">
        <v>0</v>
      </c>
      <c r="F16" s="236" t="s">
        <v>126</v>
      </c>
      <c r="G16" s="51" t="s">
        <v>126</v>
      </c>
      <c r="H16" s="337">
        <v>0.5</v>
      </c>
      <c r="I16" s="338">
        <v>0.5</v>
      </c>
      <c r="M16" s="172"/>
      <c r="N16" s="172"/>
      <c r="O16" s="172"/>
      <c r="P16" s="172"/>
    </row>
    <row r="17" spans="1:16" ht="14.25" customHeight="1" x14ac:dyDescent="0.25">
      <c r="A17" s="339" t="s">
        <v>26</v>
      </c>
      <c r="B17" s="340">
        <f>SUM(B5:B16)</f>
        <v>0</v>
      </c>
      <c r="C17" s="291">
        <f>SUM(C11:C16)</f>
        <v>0</v>
      </c>
      <c r="D17" s="291">
        <f>SUM(D5:D16)</f>
        <v>33124350</v>
      </c>
      <c r="E17" s="292">
        <f>SUM(E5:E16)</f>
        <v>0</v>
      </c>
      <c r="F17" s="341" t="s">
        <v>126</v>
      </c>
      <c r="G17" s="342" t="s">
        <v>126</v>
      </c>
      <c r="H17" s="342">
        <f>AVERAGE(H5:H16)</f>
        <v>0.4908333333333334</v>
      </c>
      <c r="I17" s="343">
        <f>AVERAGE(I5:I16)</f>
        <v>0.4908333333333334</v>
      </c>
      <c r="M17" s="300"/>
      <c r="N17" s="300"/>
      <c r="O17" s="300"/>
      <c r="P17" s="300"/>
    </row>
    <row r="18" spans="1:16" ht="28.5" customHeight="1" x14ac:dyDescent="0.25">
      <c r="A18" s="344" t="s">
        <v>245</v>
      </c>
      <c r="B18" s="345">
        <f>B17*42</f>
        <v>0</v>
      </c>
      <c r="C18" s="346">
        <f>C17*42</f>
        <v>0</v>
      </c>
      <c r="D18" s="347">
        <f>SUM(D17/42)</f>
        <v>788675</v>
      </c>
      <c r="E18" s="346">
        <f>E17*42</f>
        <v>0</v>
      </c>
      <c r="F18" s="348" t="s">
        <v>126</v>
      </c>
      <c r="G18" s="279" t="s">
        <v>126</v>
      </c>
      <c r="H18" s="279">
        <f>AVERAGE(H5:H16)</f>
        <v>0.4908333333333334</v>
      </c>
      <c r="I18" s="289">
        <f>AVERAGE(I5:I16)</f>
        <v>0.4908333333333334</v>
      </c>
    </row>
    <row r="21" spans="1:16" ht="14.25" customHeight="1" x14ac:dyDescent="0.25">
      <c r="A21" s="608" t="s">
        <v>246</v>
      </c>
      <c r="B21" s="608"/>
      <c r="C21" s="608"/>
      <c r="D21" s="608"/>
      <c r="E21" s="608"/>
      <c r="F21" s="608"/>
      <c r="G21" s="608"/>
      <c r="H21" s="608"/>
      <c r="I21" s="608"/>
      <c r="J21" s="608"/>
      <c r="K21" s="608"/>
      <c r="L21" s="608"/>
    </row>
    <row r="22" spans="1:16" ht="14.25" customHeight="1" x14ac:dyDescent="0.25">
      <c r="A22" s="585" t="s">
        <v>64</v>
      </c>
      <c r="B22" s="584" t="s">
        <v>63</v>
      </c>
      <c r="C22" s="584"/>
      <c r="D22" s="584"/>
      <c r="E22" s="584"/>
      <c r="F22" s="602" t="s">
        <v>62</v>
      </c>
      <c r="G22" s="602"/>
      <c r="H22" s="602"/>
      <c r="I22" s="602"/>
      <c r="J22" s="585" t="s">
        <v>64</v>
      </c>
      <c r="K22" s="584" t="s">
        <v>63</v>
      </c>
      <c r="L22" s="584"/>
      <c r="M22" s="584" t="s">
        <v>62</v>
      </c>
      <c r="N22" s="584"/>
    </row>
    <row r="23" spans="1:16" ht="14.25" customHeight="1" x14ac:dyDescent="0.25">
      <c r="A23" s="585"/>
      <c r="B23" s="217" t="s">
        <v>247</v>
      </c>
      <c r="C23" s="251" t="s">
        <v>248</v>
      </c>
      <c r="D23" s="251" t="s">
        <v>249</v>
      </c>
      <c r="E23" s="35" t="s">
        <v>250</v>
      </c>
      <c r="F23" s="32" t="s">
        <v>247</v>
      </c>
      <c r="G23" s="251" t="s">
        <v>248</v>
      </c>
      <c r="H23" s="251" t="s">
        <v>249</v>
      </c>
      <c r="I23" s="35" t="s">
        <v>250</v>
      </c>
      <c r="J23" s="585"/>
      <c r="K23" s="4" t="s">
        <v>251</v>
      </c>
      <c r="L23" s="35" t="s">
        <v>252</v>
      </c>
      <c r="M23" s="247" t="s">
        <v>251</v>
      </c>
      <c r="N23" s="349" t="s">
        <v>252</v>
      </c>
    </row>
    <row r="24" spans="1:16" ht="14.25" customHeight="1" x14ac:dyDescent="0.25">
      <c r="A24" s="330">
        <v>45292</v>
      </c>
      <c r="B24" s="221">
        <v>6309.79</v>
      </c>
      <c r="C24" s="221">
        <v>0</v>
      </c>
      <c r="D24" s="221">
        <v>10350.790000000001</v>
      </c>
      <c r="E24" s="221">
        <v>0</v>
      </c>
      <c r="F24" s="350">
        <v>4.0000000000000001E-3</v>
      </c>
      <c r="G24" s="350">
        <v>4.0000000000000001E-3</v>
      </c>
      <c r="H24" s="350">
        <v>4.0000000000000001E-3</v>
      </c>
      <c r="I24" s="221">
        <v>4.0000000000000001E-3</v>
      </c>
      <c r="J24" s="330">
        <v>45292</v>
      </c>
      <c r="K24" s="220">
        <v>0</v>
      </c>
      <c r="L24" s="221">
        <v>0</v>
      </c>
      <c r="M24" s="221">
        <v>0</v>
      </c>
      <c r="N24" s="331">
        <v>0</v>
      </c>
    </row>
    <row r="25" spans="1:16" ht="14.25" customHeight="1" x14ac:dyDescent="0.25">
      <c r="A25" s="332">
        <v>45323</v>
      </c>
      <c r="B25" s="232">
        <v>11406.48</v>
      </c>
      <c r="C25" s="232">
        <v>9069.1200000000008</v>
      </c>
      <c r="D25" s="232">
        <v>4190.38</v>
      </c>
      <c r="E25" s="232">
        <v>0</v>
      </c>
      <c r="F25" s="351">
        <v>4.0000000000000001E-3</v>
      </c>
      <c r="G25" s="351">
        <v>4.0000000000000001E-3</v>
      </c>
      <c r="H25" s="351">
        <v>4.0000000000000001E-3</v>
      </c>
      <c r="I25" s="232">
        <v>0</v>
      </c>
      <c r="J25" s="332">
        <v>45323</v>
      </c>
      <c r="K25" s="226">
        <v>0</v>
      </c>
      <c r="L25" s="232">
        <v>0</v>
      </c>
      <c r="M25" s="232">
        <v>0</v>
      </c>
      <c r="N25" s="333">
        <v>0</v>
      </c>
    </row>
    <row r="26" spans="1:16" ht="14.25" customHeight="1" x14ac:dyDescent="0.25">
      <c r="A26" s="332">
        <v>45352</v>
      </c>
      <c r="B26" s="232">
        <v>11088.74</v>
      </c>
      <c r="C26" s="232">
        <v>11964.55</v>
      </c>
      <c r="D26" s="232">
        <v>8000.1</v>
      </c>
      <c r="E26" s="232">
        <v>1E-3</v>
      </c>
      <c r="F26" s="351">
        <v>1E-3</v>
      </c>
      <c r="G26" s="351">
        <v>1E-3</v>
      </c>
      <c r="H26" s="351">
        <v>1E-3</v>
      </c>
      <c r="I26" s="232">
        <v>0</v>
      </c>
      <c r="J26" s="332">
        <v>45352</v>
      </c>
      <c r="K26" s="226">
        <v>0</v>
      </c>
      <c r="L26" s="232">
        <v>0</v>
      </c>
      <c r="M26" s="232">
        <v>0</v>
      </c>
      <c r="N26" s="333">
        <v>0</v>
      </c>
    </row>
    <row r="27" spans="1:16" ht="14.25" customHeight="1" x14ac:dyDescent="0.25">
      <c r="A27" s="332">
        <v>45383</v>
      </c>
      <c r="B27" s="232">
        <v>10096.1</v>
      </c>
      <c r="C27" s="232">
        <v>5371.99</v>
      </c>
      <c r="D27" s="232">
        <v>7876.15</v>
      </c>
      <c r="E27" s="232">
        <v>0</v>
      </c>
      <c r="F27" s="351">
        <v>1E-3</v>
      </c>
      <c r="G27" s="351">
        <v>1E-3</v>
      </c>
      <c r="H27" s="351">
        <v>1E-3</v>
      </c>
      <c r="I27" s="232">
        <v>0</v>
      </c>
      <c r="J27" s="332">
        <v>45383</v>
      </c>
      <c r="K27" s="226">
        <v>0</v>
      </c>
      <c r="L27" s="232">
        <v>0</v>
      </c>
      <c r="M27" s="232">
        <v>0</v>
      </c>
      <c r="N27" s="333">
        <v>0</v>
      </c>
    </row>
    <row r="28" spans="1:16" ht="14.25" customHeight="1" x14ac:dyDescent="0.25">
      <c r="A28" s="332">
        <v>45413</v>
      </c>
      <c r="B28" s="232">
        <v>10383.5</v>
      </c>
      <c r="C28" s="232">
        <v>15887.97</v>
      </c>
      <c r="D28" s="232">
        <v>14335.89</v>
      </c>
      <c r="E28" s="232">
        <v>0</v>
      </c>
      <c r="F28" s="351">
        <v>1.2999999999999999E-3</v>
      </c>
      <c r="G28" s="351">
        <v>1.2999999999999999E-3</v>
      </c>
      <c r="H28" s="351">
        <v>1.2999999999999999E-3</v>
      </c>
      <c r="I28" s="232">
        <v>0</v>
      </c>
      <c r="J28" s="332">
        <v>45413</v>
      </c>
      <c r="K28" s="226">
        <v>0</v>
      </c>
      <c r="L28" s="232">
        <v>0</v>
      </c>
      <c r="M28" s="232">
        <v>0</v>
      </c>
      <c r="N28" s="333">
        <v>0</v>
      </c>
    </row>
    <row r="29" spans="1:16" ht="14.25" customHeight="1" x14ac:dyDescent="0.25">
      <c r="A29" s="332">
        <v>45444</v>
      </c>
      <c r="B29" s="232">
        <v>6803.17</v>
      </c>
      <c r="C29" s="232">
        <v>7723.4</v>
      </c>
      <c r="D29" s="232">
        <v>7724.07</v>
      </c>
      <c r="E29" s="232">
        <v>0</v>
      </c>
      <c r="F29" s="351">
        <v>1.2999999999999999E-3</v>
      </c>
      <c r="G29" s="351">
        <v>1.2999999999999999E-3</v>
      </c>
      <c r="H29" s="351">
        <v>1.2999999999999999E-3</v>
      </c>
      <c r="I29" s="232">
        <v>0</v>
      </c>
      <c r="J29" s="332">
        <v>45444</v>
      </c>
      <c r="K29" s="226">
        <v>0</v>
      </c>
      <c r="L29" s="44">
        <v>0</v>
      </c>
      <c r="M29" s="232">
        <v>0</v>
      </c>
      <c r="N29" s="333">
        <v>0</v>
      </c>
    </row>
    <row r="30" spans="1:16" ht="14.25" customHeight="1" x14ac:dyDescent="0.25">
      <c r="A30" s="332">
        <v>45474</v>
      </c>
      <c r="B30" s="232">
        <v>4669</v>
      </c>
      <c r="C30" s="232">
        <v>4204</v>
      </c>
      <c r="D30" s="232">
        <v>4360</v>
      </c>
      <c r="E30" s="232">
        <v>0</v>
      </c>
      <c r="F30" s="351">
        <v>1.2999999999999999E-3</v>
      </c>
      <c r="G30" s="351">
        <v>1.2999999999999999E-3</v>
      </c>
      <c r="H30" s="351">
        <v>1.2999999999999999E-3</v>
      </c>
      <c r="I30" s="232">
        <v>0</v>
      </c>
      <c r="J30" s="332">
        <v>45474</v>
      </c>
      <c r="K30" s="226">
        <v>0</v>
      </c>
      <c r="L30" s="44">
        <v>0</v>
      </c>
      <c r="M30" s="232">
        <v>0</v>
      </c>
      <c r="N30" s="333">
        <v>0</v>
      </c>
    </row>
    <row r="31" spans="1:16" ht="14.25" customHeight="1" x14ac:dyDescent="0.25">
      <c r="A31" s="332">
        <v>45505</v>
      </c>
      <c r="B31" s="232">
        <v>10165.129999999999</v>
      </c>
      <c r="C31" s="232">
        <v>9938.32</v>
      </c>
      <c r="D31" s="232">
        <v>9274.0499999999993</v>
      </c>
      <c r="E31" s="232">
        <v>0</v>
      </c>
      <c r="F31" s="351">
        <v>1.2999999999999999E-3</v>
      </c>
      <c r="G31" s="351">
        <v>1.2999999999999999E-3</v>
      </c>
      <c r="H31" s="351">
        <v>1.2999999999999999E-3</v>
      </c>
      <c r="I31" s="232">
        <v>0</v>
      </c>
      <c r="J31" s="332">
        <v>45505</v>
      </c>
      <c r="K31" s="226">
        <v>0</v>
      </c>
      <c r="L31" s="44">
        <v>0</v>
      </c>
      <c r="M31" s="232">
        <v>0</v>
      </c>
      <c r="N31" s="333">
        <v>0</v>
      </c>
    </row>
    <row r="32" spans="1:16" ht="14.25" customHeight="1" x14ac:dyDescent="0.25">
      <c r="A32" s="332">
        <v>45536</v>
      </c>
      <c r="B32" s="232">
        <v>11165.44</v>
      </c>
      <c r="C32" s="232">
        <v>11274.15</v>
      </c>
      <c r="D32" s="232">
        <v>11653.31</v>
      </c>
      <c r="E32" s="232">
        <v>0</v>
      </c>
      <c r="F32" s="351">
        <v>5.0000000000000001E-4</v>
      </c>
      <c r="G32" s="351">
        <v>5.0000000000000001E-4</v>
      </c>
      <c r="H32" s="351">
        <v>5.0000000000000001E-4</v>
      </c>
      <c r="I32" s="232">
        <v>0</v>
      </c>
      <c r="J32" s="332">
        <v>45536</v>
      </c>
      <c r="K32" s="226">
        <v>0</v>
      </c>
      <c r="L32" s="44">
        <v>0</v>
      </c>
      <c r="M32" s="232">
        <v>0</v>
      </c>
      <c r="N32" s="333">
        <v>0</v>
      </c>
    </row>
    <row r="33" spans="1:14" ht="14.25" customHeight="1" x14ac:dyDescent="0.25">
      <c r="A33" s="332">
        <v>45566</v>
      </c>
      <c r="B33" s="232">
        <v>11927.44</v>
      </c>
      <c r="C33" s="232">
        <v>11361.49</v>
      </c>
      <c r="D33" s="232">
        <v>11681.28</v>
      </c>
      <c r="E33" s="232">
        <v>0</v>
      </c>
      <c r="F33" s="351">
        <v>6.9999999999999999E-4</v>
      </c>
      <c r="G33" s="351">
        <v>6.9999999999999999E-4</v>
      </c>
      <c r="H33" s="351">
        <v>6.9999999999999999E-4</v>
      </c>
      <c r="I33" s="232">
        <v>0</v>
      </c>
      <c r="J33" s="332">
        <v>45566</v>
      </c>
      <c r="K33" s="226">
        <v>0</v>
      </c>
      <c r="L33" s="44">
        <v>0</v>
      </c>
      <c r="M33" s="232">
        <v>0</v>
      </c>
      <c r="N33" s="333">
        <v>0</v>
      </c>
    </row>
    <row r="34" spans="1:14" ht="14.25" customHeight="1" x14ac:dyDescent="0.25">
      <c r="A34" s="332">
        <v>45597</v>
      </c>
      <c r="B34" s="232">
        <v>3351.41</v>
      </c>
      <c r="C34" s="232">
        <v>3367.71</v>
      </c>
      <c r="D34" s="232">
        <v>3219.94</v>
      </c>
      <c r="E34" s="232">
        <v>0</v>
      </c>
      <c r="F34" s="351">
        <v>6.9999999999999999E-4</v>
      </c>
      <c r="G34" s="351">
        <v>6.9999999999999999E-4</v>
      </c>
      <c r="H34" s="351">
        <v>6.9999999999999999E-4</v>
      </c>
      <c r="I34" s="232">
        <v>0</v>
      </c>
      <c r="J34" s="332">
        <v>45597</v>
      </c>
      <c r="K34" s="226">
        <v>0</v>
      </c>
      <c r="L34" s="44">
        <v>0</v>
      </c>
      <c r="M34" s="232">
        <v>0</v>
      </c>
      <c r="N34" s="333">
        <v>0</v>
      </c>
    </row>
    <row r="35" spans="1:14" ht="14.25" customHeight="1" x14ac:dyDescent="0.25">
      <c r="A35" s="336">
        <v>45627</v>
      </c>
      <c r="B35" s="236">
        <v>5140.33</v>
      </c>
      <c r="C35" s="236">
        <v>5071.55</v>
      </c>
      <c r="D35" s="236">
        <v>5228.68</v>
      </c>
      <c r="E35" s="236">
        <v>0</v>
      </c>
      <c r="F35" s="352">
        <v>1E-3</v>
      </c>
      <c r="G35" s="352">
        <v>1E-3</v>
      </c>
      <c r="H35" s="352">
        <v>1E-3</v>
      </c>
      <c r="I35" s="236">
        <v>0</v>
      </c>
      <c r="J35" s="336">
        <v>45627</v>
      </c>
      <c r="K35" s="235">
        <v>0</v>
      </c>
      <c r="L35" s="51">
        <v>0</v>
      </c>
      <c r="M35" s="236">
        <v>0</v>
      </c>
      <c r="N35" s="353">
        <v>0</v>
      </c>
    </row>
    <row r="36" spans="1:14" ht="14.25" customHeight="1" x14ac:dyDescent="0.25">
      <c r="A36" s="339" t="s">
        <v>26</v>
      </c>
      <c r="B36" s="302">
        <f>SUM(B24:B35)</f>
        <v>102506.53000000001</v>
      </c>
      <c r="C36" s="302">
        <f>SUM(C24:C35)</f>
        <v>95234.250000000015</v>
      </c>
      <c r="D36" s="302">
        <f>SUM(D24:D35)</f>
        <v>97894.640000000014</v>
      </c>
      <c r="E36" s="302">
        <f>SUM(E24:E35)</f>
        <v>1E-3</v>
      </c>
      <c r="F36" s="354">
        <f>AVERAGE(F24:F35)</f>
        <v>1.5083333333333331E-3</v>
      </c>
      <c r="G36" s="355">
        <f>AVERAGE(G24:G35)</f>
        <v>1.5083333333333331E-3</v>
      </c>
      <c r="H36" s="355">
        <f>AVERAGE(H24:H35)</f>
        <v>1.5083333333333331E-3</v>
      </c>
      <c r="I36" s="340" t="s">
        <v>126</v>
      </c>
      <c r="J36" s="301" t="s">
        <v>26</v>
      </c>
      <c r="K36" s="356">
        <f>SUM(K24:K35)</f>
        <v>0</v>
      </c>
      <c r="L36" s="357">
        <f>SUM(L24:L35)</f>
        <v>0</v>
      </c>
      <c r="M36" s="358">
        <f>AVERAGE(M24)</f>
        <v>0</v>
      </c>
      <c r="N36" s="69" t="s">
        <v>126</v>
      </c>
    </row>
    <row r="37" spans="1:14" ht="28.5" customHeight="1" x14ac:dyDescent="0.25">
      <c r="A37" s="344" t="s">
        <v>253</v>
      </c>
      <c r="B37" s="359">
        <f>B36*42</f>
        <v>4305274.2600000007</v>
      </c>
      <c r="C37" s="360">
        <f>C36*42</f>
        <v>3999838.5000000005</v>
      </c>
      <c r="D37" s="360">
        <f>D36*42</f>
        <v>4111574.8800000008</v>
      </c>
      <c r="E37" s="361">
        <f>E36*42</f>
        <v>4.2000000000000003E-2</v>
      </c>
      <c r="J37" s="362" t="s">
        <v>253</v>
      </c>
      <c r="K37" s="363">
        <f>K36*42</f>
        <v>0</v>
      </c>
      <c r="L37" s="364">
        <f>L36*42</f>
        <v>0</v>
      </c>
    </row>
    <row r="38" spans="1:14" ht="14.25" customHeight="1" x14ac:dyDescent="0.25">
      <c r="B38" s="58">
        <f>SUM(B30:B35)*42</f>
        <v>1949587.5</v>
      </c>
      <c r="C38" s="58">
        <f>SUM(C30:C35)*42</f>
        <v>1899123.24</v>
      </c>
      <c r="D38" s="58">
        <f>SUM(D30:D35)*42</f>
        <v>1907524.9200000002</v>
      </c>
      <c r="E38" s="58">
        <f>SUM(E30:E35)*42</f>
        <v>0</v>
      </c>
      <c r="F38" s="58"/>
      <c r="G38" s="58"/>
      <c r="H38" s="58"/>
      <c r="I38" s="58"/>
      <c r="J38" s="58"/>
      <c r="K38" s="58">
        <f>SUM(K30:K35)*42</f>
        <v>0</v>
      </c>
      <c r="L38" s="58">
        <f>SUM(L30:L35)*42</f>
        <v>0</v>
      </c>
    </row>
    <row r="39" spans="1:14" ht="14.25" customHeight="1" x14ac:dyDescent="0.25">
      <c r="H39" s="365">
        <f>SUM(B37+C37+D37+E37+K37+L37)</f>
        <v>12416687.682000002</v>
      </c>
    </row>
    <row r="40" spans="1:14" ht="14.25" customHeight="1" x14ac:dyDescent="0.25">
      <c r="A40" s="177" t="s">
        <v>254</v>
      </c>
      <c r="K40" s="58">
        <f>AVERAGE(M36,I36,G36,F36)</f>
        <v>1.0055555555555553E-3</v>
      </c>
    </row>
    <row r="41" spans="1:14" ht="14.25" customHeight="1" x14ac:dyDescent="0.25">
      <c r="A41" s="585" t="s">
        <v>64</v>
      </c>
      <c r="B41" s="584" t="s">
        <v>255</v>
      </c>
      <c r="C41" s="584"/>
      <c r="D41" s="584"/>
      <c r="E41" s="584"/>
      <c r="F41" s="584" t="s">
        <v>256</v>
      </c>
      <c r="G41" s="584"/>
      <c r="H41" s="584"/>
      <c r="I41" s="584"/>
    </row>
    <row r="42" spans="1:14" ht="14.25" customHeight="1" x14ac:dyDescent="0.25">
      <c r="A42" s="585"/>
      <c r="B42" s="217" t="s">
        <v>257</v>
      </c>
      <c r="C42" s="251" t="s">
        <v>258</v>
      </c>
      <c r="D42" s="33" t="s">
        <v>259</v>
      </c>
      <c r="E42" s="5" t="s">
        <v>76</v>
      </c>
      <c r="F42" s="32" t="s">
        <v>260</v>
      </c>
      <c r="G42" s="251" t="s">
        <v>261</v>
      </c>
      <c r="H42" s="251" t="s">
        <v>262</v>
      </c>
      <c r="I42" s="35" t="s">
        <v>76</v>
      </c>
    </row>
    <row r="43" spans="1:14" ht="14.25" customHeight="1" x14ac:dyDescent="0.25">
      <c r="A43" s="330">
        <v>45292</v>
      </c>
      <c r="B43" s="221">
        <v>4478</v>
      </c>
      <c r="C43" s="221">
        <v>11170</v>
      </c>
      <c r="D43" s="366">
        <v>13554</v>
      </c>
      <c r="E43" s="367">
        <f t="shared" ref="E43:E54" si="0">SUM(B43:D43)</f>
        <v>29202</v>
      </c>
      <c r="F43" s="368">
        <v>0</v>
      </c>
      <c r="G43" s="350">
        <v>0</v>
      </c>
      <c r="H43" s="350">
        <v>0</v>
      </c>
      <c r="I43" s="369"/>
    </row>
    <row r="44" spans="1:14" ht="14.25" customHeight="1" x14ac:dyDescent="0.25">
      <c r="A44" s="332">
        <v>45323</v>
      </c>
      <c r="B44" s="232">
        <v>0</v>
      </c>
      <c r="C44" s="232">
        <v>0</v>
      </c>
      <c r="D44" s="370">
        <v>0</v>
      </c>
      <c r="E44" s="371">
        <f t="shared" si="0"/>
        <v>0</v>
      </c>
      <c r="F44" s="372">
        <v>0</v>
      </c>
      <c r="G44" s="351">
        <v>0</v>
      </c>
      <c r="H44" s="351">
        <v>0</v>
      </c>
      <c r="I44" s="373"/>
    </row>
    <row r="45" spans="1:14" ht="14.25" customHeight="1" x14ac:dyDescent="0.25">
      <c r="A45" s="332">
        <v>45352</v>
      </c>
      <c r="B45" s="232">
        <v>22225</v>
      </c>
      <c r="C45" s="232">
        <v>9001</v>
      </c>
      <c r="D45" s="370">
        <v>21200</v>
      </c>
      <c r="E45" s="371">
        <f t="shared" si="0"/>
        <v>52426</v>
      </c>
      <c r="F45" s="372">
        <v>0</v>
      </c>
      <c r="G45" s="351">
        <v>0</v>
      </c>
      <c r="H45" s="351">
        <v>0</v>
      </c>
      <c r="I45" s="373"/>
    </row>
    <row r="46" spans="1:14" ht="14.25" customHeight="1" x14ac:dyDescent="0.25">
      <c r="A46" s="332">
        <v>45383</v>
      </c>
      <c r="B46" s="232">
        <v>88439</v>
      </c>
      <c r="C46" s="232">
        <v>78443</v>
      </c>
      <c r="D46" s="370">
        <v>69108</v>
      </c>
      <c r="E46" s="371">
        <f t="shared" si="0"/>
        <v>235990</v>
      </c>
      <c r="F46" s="372">
        <v>0</v>
      </c>
      <c r="G46" s="351">
        <v>0</v>
      </c>
      <c r="H46" s="351">
        <v>0</v>
      </c>
      <c r="I46" s="373"/>
    </row>
    <row r="47" spans="1:14" ht="14.25" customHeight="1" x14ac:dyDescent="0.25">
      <c r="A47" s="332">
        <v>45413</v>
      </c>
      <c r="B47" s="232">
        <v>221475</v>
      </c>
      <c r="C47" s="232">
        <v>230542</v>
      </c>
      <c r="D47" s="370">
        <v>199484</v>
      </c>
      <c r="E47" s="371">
        <f t="shared" si="0"/>
        <v>651501</v>
      </c>
      <c r="F47" s="372">
        <v>0</v>
      </c>
      <c r="G47" s="351">
        <v>0</v>
      </c>
      <c r="H47" s="351">
        <v>0</v>
      </c>
      <c r="I47" s="373"/>
    </row>
    <row r="48" spans="1:14" ht="14.25" customHeight="1" x14ac:dyDescent="0.25">
      <c r="A48" s="332">
        <v>45444</v>
      </c>
      <c r="B48" s="232">
        <v>187323</v>
      </c>
      <c r="C48" s="232">
        <v>146180</v>
      </c>
      <c r="D48" s="370">
        <v>165351</v>
      </c>
      <c r="E48" s="371">
        <f t="shared" si="0"/>
        <v>498854</v>
      </c>
      <c r="F48" s="372">
        <v>0</v>
      </c>
      <c r="G48" s="351">
        <v>0</v>
      </c>
      <c r="H48" s="351">
        <v>0</v>
      </c>
      <c r="I48" s="373"/>
    </row>
    <row r="49" spans="1:11" ht="14.25" customHeight="1" x14ac:dyDescent="0.25">
      <c r="A49" s="332">
        <v>45474</v>
      </c>
      <c r="B49" s="232">
        <v>33543</v>
      </c>
      <c r="C49" s="232">
        <v>53479</v>
      </c>
      <c r="D49" s="370">
        <v>31081</v>
      </c>
      <c r="E49" s="371">
        <f t="shared" si="0"/>
        <v>118103</v>
      </c>
      <c r="F49" s="372">
        <v>0</v>
      </c>
      <c r="G49" s="351">
        <v>0</v>
      </c>
      <c r="H49" s="351">
        <v>0</v>
      </c>
      <c r="I49" s="373"/>
    </row>
    <row r="50" spans="1:11" ht="14.25" customHeight="1" x14ac:dyDescent="0.25">
      <c r="A50" s="332">
        <v>45505</v>
      </c>
      <c r="B50" s="232">
        <v>418163</v>
      </c>
      <c r="C50" s="232">
        <v>418299</v>
      </c>
      <c r="D50" s="370">
        <v>343653</v>
      </c>
      <c r="E50" s="371">
        <f t="shared" si="0"/>
        <v>1180115</v>
      </c>
      <c r="F50" s="372">
        <v>0</v>
      </c>
      <c r="G50" s="351">
        <v>0</v>
      </c>
      <c r="H50" s="351">
        <v>0</v>
      </c>
      <c r="I50" s="373"/>
    </row>
    <row r="51" spans="1:11" ht="14.25" customHeight="1" x14ac:dyDescent="0.25">
      <c r="A51" s="332">
        <v>45536</v>
      </c>
      <c r="B51" s="232">
        <v>371099</v>
      </c>
      <c r="C51" s="232">
        <v>361369</v>
      </c>
      <c r="D51" s="370">
        <v>240554</v>
      </c>
      <c r="E51" s="371">
        <f t="shared" si="0"/>
        <v>973022</v>
      </c>
      <c r="F51" s="372">
        <v>0</v>
      </c>
      <c r="G51" s="351">
        <v>0</v>
      </c>
      <c r="H51" s="351">
        <v>0</v>
      </c>
      <c r="I51" s="373"/>
    </row>
    <row r="52" spans="1:11" ht="14.25" customHeight="1" x14ac:dyDescent="0.25">
      <c r="A52" s="332">
        <v>45566</v>
      </c>
      <c r="B52" s="232">
        <v>347576</v>
      </c>
      <c r="C52" s="232">
        <v>343706</v>
      </c>
      <c r="D52" s="370">
        <v>350994</v>
      </c>
      <c r="E52" s="371">
        <f t="shared" si="0"/>
        <v>1042276</v>
      </c>
      <c r="F52" s="372">
        <v>0</v>
      </c>
      <c r="G52" s="351">
        <v>0</v>
      </c>
      <c r="H52" s="351">
        <v>0</v>
      </c>
      <c r="I52" s="373"/>
    </row>
    <row r="53" spans="1:11" ht="14.25" customHeight="1" x14ac:dyDescent="0.25">
      <c r="A53" s="332">
        <v>45597</v>
      </c>
      <c r="B53" s="232">
        <v>123566</v>
      </c>
      <c r="C53" s="232">
        <v>124328</v>
      </c>
      <c r="D53" s="370">
        <v>122396</v>
      </c>
      <c r="E53" s="371">
        <f t="shared" si="0"/>
        <v>370290</v>
      </c>
      <c r="F53" s="372">
        <v>0</v>
      </c>
      <c r="G53" s="351">
        <v>0</v>
      </c>
      <c r="H53" s="351">
        <v>0</v>
      </c>
      <c r="I53" s="373"/>
    </row>
    <row r="54" spans="1:11" ht="14.25" customHeight="1" x14ac:dyDescent="0.25">
      <c r="A54" s="336">
        <v>45627</v>
      </c>
      <c r="B54" s="236">
        <v>4432.6000000000004</v>
      </c>
      <c r="C54" s="236">
        <v>4623.49</v>
      </c>
      <c r="D54" s="374">
        <v>4621.75</v>
      </c>
      <c r="E54" s="375">
        <f t="shared" si="0"/>
        <v>13677.84</v>
      </c>
      <c r="F54" s="376">
        <v>0</v>
      </c>
      <c r="G54" s="352">
        <v>0</v>
      </c>
      <c r="H54" s="352">
        <v>0</v>
      </c>
      <c r="I54" s="377"/>
    </row>
    <row r="55" spans="1:11" ht="14.25" customHeight="1" x14ac:dyDescent="0.25">
      <c r="A55" s="378" t="s">
        <v>26</v>
      </c>
      <c r="B55" s="379">
        <f>SUM(B43:B54)</f>
        <v>1822319.6</v>
      </c>
      <c r="C55" s="379">
        <f>SUM(C43:C54)</f>
        <v>1781140.49</v>
      </c>
      <c r="D55" s="380">
        <f>SUM(D43:D54)</f>
        <v>1561996.75</v>
      </c>
      <c r="E55" s="381"/>
      <c r="F55" s="382">
        <f>AVERAGE(F43:F54)</f>
        <v>0</v>
      </c>
      <c r="G55" s="383">
        <f>AVERAGE(G43:G54)</f>
        <v>0</v>
      </c>
      <c r="H55" s="383">
        <f>AVERAGE(H43:H54)</f>
        <v>0</v>
      </c>
      <c r="I55" s="384"/>
    </row>
    <row r="56" spans="1:11" ht="28.5" customHeight="1" x14ac:dyDescent="0.25">
      <c r="A56" s="362" t="s">
        <v>253</v>
      </c>
      <c r="B56" s="385">
        <f>SUM(B55)</f>
        <v>1822319.6</v>
      </c>
      <c r="C56" s="386">
        <f>SUM(C55)</f>
        <v>1781140.49</v>
      </c>
      <c r="D56" s="386">
        <f>SUM(D55)</f>
        <v>1561996.75</v>
      </c>
      <c r="E56" s="159">
        <f>D56+C56+B56</f>
        <v>5165456.84</v>
      </c>
      <c r="K56" s="183">
        <f>SUM(E56,H39,K14)</f>
        <v>50706494.522</v>
      </c>
    </row>
  </sheetData>
  <mergeCells count="14">
    <mergeCell ref="A2:I2"/>
    <mergeCell ref="A3:E3"/>
    <mergeCell ref="F3:I3"/>
    <mergeCell ref="M3:P3"/>
    <mergeCell ref="A21:L21"/>
    <mergeCell ref="M22:N22"/>
    <mergeCell ref="A41:A42"/>
    <mergeCell ref="B41:E41"/>
    <mergeCell ref="F41:I41"/>
    <mergeCell ref="A22:A23"/>
    <mergeCell ref="B22:E22"/>
    <mergeCell ref="F22:I22"/>
    <mergeCell ref="J22:J23"/>
    <mergeCell ref="K22:L22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W83"/>
  <sheetViews>
    <sheetView zoomScaleNormal="100" workbookViewId="0">
      <selection sqref="A1:O1"/>
    </sheetView>
  </sheetViews>
  <sheetFormatPr defaultColWidth="8.7109375" defaultRowHeight="12.75" x14ac:dyDescent="0.2"/>
  <cols>
    <col min="1" max="1" width="13.85546875" customWidth="1"/>
    <col min="2" max="2" width="21.28515625" customWidth="1"/>
    <col min="4" max="4" width="15.42578125" customWidth="1"/>
    <col min="5" max="6" width="9.28515625" customWidth="1"/>
    <col min="9" max="9" width="14.85546875" customWidth="1"/>
    <col min="10" max="10" width="17.7109375" customWidth="1"/>
    <col min="11" max="11" width="10.5703125" customWidth="1"/>
    <col min="12" max="12" width="10" customWidth="1"/>
    <col min="13" max="13" width="12.7109375" customWidth="1"/>
    <col min="14" max="16" width="9.28515625" customWidth="1"/>
  </cols>
  <sheetData>
    <row r="1" spans="1:23" ht="14.25" customHeight="1" x14ac:dyDescent="0.2">
      <c r="A1" s="592" t="s">
        <v>263</v>
      </c>
      <c r="B1" s="592"/>
      <c r="C1" s="592"/>
      <c r="D1" s="592"/>
      <c r="E1" s="592"/>
      <c r="F1" s="592"/>
      <c r="G1" s="592"/>
      <c r="H1" s="592"/>
      <c r="I1" s="592" t="s">
        <v>264</v>
      </c>
      <c r="J1" s="592"/>
      <c r="K1" s="592"/>
      <c r="L1" s="592"/>
      <c r="M1" s="592"/>
      <c r="N1" s="592"/>
      <c r="O1" s="592"/>
      <c r="P1" s="592"/>
      <c r="Q1" s="592"/>
    </row>
    <row r="3" spans="1:23" ht="14.25" customHeight="1" x14ac:dyDescent="0.2">
      <c r="A3" s="611" t="s">
        <v>221</v>
      </c>
      <c r="B3" s="611"/>
      <c r="C3" s="611"/>
      <c r="D3" s="86"/>
      <c r="E3" s="86"/>
      <c r="F3" s="86"/>
      <c r="G3" s="86"/>
      <c r="H3" s="86"/>
      <c r="I3" s="611" t="s">
        <v>77</v>
      </c>
      <c r="J3" s="611"/>
      <c r="K3" s="611"/>
      <c r="L3" s="86"/>
      <c r="M3" s="86"/>
      <c r="N3" s="86"/>
      <c r="O3" s="86"/>
      <c r="P3" s="86"/>
      <c r="Q3" s="86"/>
    </row>
    <row r="4" spans="1:23" ht="14.25" customHeight="1" x14ac:dyDescent="0.2">
      <c r="A4" s="322" t="s">
        <v>17</v>
      </c>
      <c r="B4" s="387" t="s">
        <v>222</v>
      </c>
      <c r="C4" s="388"/>
      <c r="D4" s="86"/>
      <c r="E4" s="86"/>
      <c r="F4" s="86"/>
      <c r="G4" s="86"/>
      <c r="H4" s="86"/>
      <c r="I4" s="311" t="s">
        <v>17</v>
      </c>
      <c r="J4" s="389" t="s">
        <v>78</v>
      </c>
      <c r="K4" s="313"/>
    </row>
    <row r="5" spans="1:23" ht="14.25" customHeight="1" x14ac:dyDescent="0.2">
      <c r="A5" s="311" t="s">
        <v>41</v>
      </c>
      <c r="B5" s="389" t="s">
        <v>224</v>
      </c>
      <c r="C5" s="313"/>
      <c r="D5" s="86"/>
      <c r="E5" s="86"/>
      <c r="F5" s="86"/>
      <c r="G5" s="86"/>
      <c r="H5" s="86"/>
      <c r="I5" s="311" t="s">
        <v>41</v>
      </c>
      <c r="J5" s="389" t="s">
        <v>79</v>
      </c>
      <c r="K5" s="313"/>
      <c r="L5" s="86"/>
      <c r="M5" s="86"/>
      <c r="N5" s="86"/>
      <c r="O5" s="86"/>
      <c r="P5" s="86"/>
      <c r="Q5" s="86"/>
    </row>
    <row r="6" spans="1:23" ht="14.25" customHeight="1" x14ac:dyDescent="0.2">
      <c r="A6" s="311" t="s">
        <v>20</v>
      </c>
      <c r="B6" s="86" t="s">
        <v>265</v>
      </c>
      <c r="C6" s="313"/>
      <c r="D6" s="86"/>
      <c r="E6" s="86"/>
      <c r="F6" s="86"/>
      <c r="G6" s="86"/>
      <c r="H6" s="86"/>
      <c r="I6" s="311" t="s">
        <v>20</v>
      </c>
      <c r="J6" s="389" t="s">
        <v>266</v>
      </c>
      <c r="K6" s="313"/>
      <c r="L6" s="86"/>
      <c r="M6" s="86"/>
      <c r="N6" s="86"/>
      <c r="O6" s="86"/>
      <c r="P6" s="86"/>
      <c r="Q6" s="86"/>
    </row>
    <row r="7" spans="1:23" ht="14.25" customHeight="1" x14ac:dyDescent="0.2">
      <c r="A7" s="311" t="s">
        <v>22</v>
      </c>
      <c r="B7" s="389" t="s">
        <v>228</v>
      </c>
      <c r="C7" s="313"/>
      <c r="D7" s="86"/>
      <c r="E7" s="86"/>
      <c r="F7" s="86"/>
      <c r="G7" s="86"/>
      <c r="H7" s="86"/>
      <c r="I7" s="311" t="s">
        <v>22</v>
      </c>
      <c r="J7" s="389" t="s">
        <v>267</v>
      </c>
      <c r="K7" s="313"/>
      <c r="L7" s="86"/>
      <c r="M7" s="86"/>
      <c r="N7" s="86"/>
      <c r="O7" s="86"/>
      <c r="P7" s="86"/>
      <c r="Q7" s="86"/>
    </row>
    <row r="8" spans="1:23" ht="14.25" customHeight="1" x14ac:dyDescent="0.2">
      <c r="A8" s="311" t="s">
        <v>21</v>
      </c>
      <c r="B8" s="389" t="s">
        <v>230</v>
      </c>
      <c r="C8" s="313"/>
      <c r="D8" s="86"/>
      <c r="E8" s="86"/>
      <c r="F8" s="86"/>
      <c r="G8" s="86"/>
      <c r="H8" s="86"/>
      <c r="I8" s="311" t="s">
        <v>21</v>
      </c>
      <c r="J8" s="389" t="s">
        <v>83</v>
      </c>
      <c r="K8" s="313"/>
      <c r="L8" s="86"/>
      <c r="M8" s="86"/>
      <c r="N8" s="86"/>
      <c r="O8" s="86"/>
      <c r="P8" s="86"/>
      <c r="Q8" s="86"/>
    </row>
    <row r="9" spans="1:23" ht="14.25" customHeight="1" x14ac:dyDescent="0.2">
      <c r="A9" s="317" t="s">
        <v>268</v>
      </c>
      <c r="B9" s="390" t="s">
        <v>232</v>
      </c>
      <c r="C9" s="319"/>
      <c r="D9" s="86"/>
      <c r="E9" s="86"/>
      <c r="F9" s="86"/>
      <c r="G9" s="86"/>
      <c r="H9" s="86"/>
      <c r="I9" s="317" t="s">
        <v>268</v>
      </c>
      <c r="J9" s="390" t="s">
        <v>269</v>
      </c>
      <c r="K9" s="319"/>
      <c r="L9" s="86"/>
      <c r="M9" s="86"/>
      <c r="N9" s="86"/>
      <c r="O9" s="86"/>
      <c r="P9" s="86"/>
      <c r="Q9" s="86"/>
    </row>
    <row r="10" spans="1:23" ht="14.25" customHeight="1" x14ac:dyDescent="0.2">
      <c r="A10" s="314" t="s">
        <v>24</v>
      </c>
      <c r="B10" s="315" t="s">
        <v>270</v>
      </c>
      <c r="C10" s="315" t="s">
        <v>235</v>
      </c>
      <c r="D10" s="316"/>
      <c r="E10" s="86"/>
      <c r="F10" s="86"/>
      <c r="G10" s="86"/>
      <c r="I10" s="314" t="s">
        <v>24</v>
      </c>
      <c r="J10" s="318" t="s">
        <v>236</v>
      </c>
      <c r="K10" s="319" t="s">
        <v>235</v>
      </c>
      <c r="M10" s="86"/>
      <c r="N10" s="86"/>
      <c r="O10" s="86"/>
      <c r="P10" s="86"/>
      <c r="Q10" s="86"/>
    </row>
    <row r="11" spans="1:23" ht="14.25" customHeight="1" x14ac:dyDescent="0.2">
      <c r="L11" s="86"/>
      <c r="M11" s="86"/>
      <c r="N11" s="86"/>
      <c r="O11" s="86"/>
      <c r="P11" s="86"/>
      <c r="Q11" s="86"/>
    </row>
    <row r="12" spans="1:23" ht="14.25" customHeight="1" x14ac:dyDescent="0.2">
      <c r="A12" s="391" t="s">
        <v>181</v>
      </c>
      <c r="B12" s="392">
        <f>SUM('Palo Seco'!K14)</f>
        <v>33124350</v>
      </c>
      <c r="C12" s="393" t="s">
        <v>87</v>
      </c>
      <c r="D12" s="86"/>
      <c r="E12" s="86"/>
      <c r="F12" s="86"/>
      <c r="G12" s="86"/>
      <c r="H12" s="86"/>
      <c r="I12" s="391" t="s">
        <v>86</v>
      </c>
      <c r="J12" s="392">
        <f>SUM('Palo Seco'!H39)</f>
        <v>12416687.682000002</v>
      </c>
      <c r="K12" s="393" t="s">
        <v>87</v>
      </c>
      <c r="L12" s="86"/>
      <c r="M12" s="86"/>
      <c r="N12" s="86"/>
      <c r="O12" s="86"/>
      <c r="P12" s="86"/>
      <c r="Q12" s="86"/>
    </row>
    <row r="13" spans="1:23" ht="14.25" customHeight="1" x14ac:dyDescent="0.2">
      <c r="A13" s="391" t="s">
        <v>88</v>
      </c>
      <c r="B13" s="392">
        <f>SUM('Palo Seco'!I18)</f>
        <v>0.4908333333333334</v>
      </c>
      <c r="C13" s="393"/>
      <c r="D13" s="394"/>
      <c r="E13" s="86"/>
      <c r="F13" s="86"/>
      <c r="G13" s="86"/>
      <c r="H13" s="86"/>
      <c r="I13" s="391" t="s">
        <v>88</v>
      </c>
      <c r="J13" s="395">
        <f>SUM('Palo Seco'!H36)</f>
        <v>1.5083333333333331E-3</v>
      </c>
      <c r="K13" s="393"/>
      <c r="L13" s="86"/>
      <c r="M13" s="86"/>
      <c r="N13" s="86"/>
      <c r="O13" s="86"/>
      <c r="P13" s="86"/>
      <c r="Q13" s="86"/>
      <c r="V13">
        <f>(867406.4)*2204.6/77635189</f>
        <v>24.631667341468056</v>
      </c>
      <c r="W13" t="s">
        <v>116</v>
      </c>
    </row>
    <row r="14" spans="1:23" ht="14.25" customHeight="1" x14ac:dyDescent="0.2">
      <c r="V14">
        <f>(73.96+0.003*25+0.0006*298)*2.2046*0.138</f>
        <v>22.578420600240001</v>
      </c>
      <c r="W14" t="s">
        <v>116</v>
      </c>
    </row>
    <row r="16" spans="1:23" ht="14.25" customHeight="1" x14ac:dyDescent="0.2">
      <c r="A16" s="86" t="s">
        <v>89</v>
      </c>
      <c r="B16" s="86"/>
      <c r="C16" s="86"/>
      <c r="D16" s="86"/>
      <c r="E16" s="86"/>
      <c r="F16" s="86"/>
      <c r="G16" s="86"/>
      <c r="H16" s="86"/>
      <c r="I16" s="86" t="s">
        <v>89</v>
      </c>
      <c r="J16" s="86"/>
      <c r="K16" s="86"/>
      <c r="L16" s="86"/>
      <c r="M16" s="86"/>
      <c r="N16" s="86"/>
      <c r="O16" s="86"/>
      <c r="P16" s="86"/>
      <c r="Q16" s="86"/>
    </row>
    <row r="18" spans="1:17" ht="14.25" customHeight="1" x14ac:dyDescent="0.2">
      <c r="A18" s="202" t="s">
        <v>90</v>
      </c>
      <c r="B18" s="396">
        <f>(9.19*B13)+3.22</f>
        <v>7.7307583333333341</v>
      </c>
      <c r="C18" s="387" t="s">
        <v>91</v>
      </c>
      <c r="D18" s="397">
        <f>B12</f>
        <v>33124350</v>
      </c>
      <c r="E18" s="387" t="s">
        <v>92</v>
      </c>
      <c r="F18" s="609" t="s">
        <v>94</v>
      </c>
      <c r="G18" s="609"/>
      <c r="H18" s="213"/>
      <c r="I18" s="202" t="s">
        <v>90</v>
      </c>
      <c r="J18" s="399">
        <v>1.2E-2</v>
      </c>
      <c r="K18" s="387" t="s">
        <v>91</v>
      </c>
      <c r="L18" s="400">
        <f>J12</f>
        <v>12416687.682000002</v>
      </c>
      <c r="M18" s="387" t="s">
        <v>92</v>
      </c>
      <c r="N18" s="399">
        <v>0.13800000000000001</v>
      </c>
      <c r="O18" s="387" t="s">
        <v>93</v>
      </c>
      <c r="P18" s="398"/>
      <c r="Q18" s="401" t="s">
        <v>94</v>
      </c>
    </row>
    <row r="19" spans="1:17" ht="14.25" customHeight="1" x14ac:dyDescent="0.25">
      <c r="A19" s="86"/>
      <c r="B19" s="402">
        <v>1000</v>
      </c>
      <c r="C19" s="197" t="s">
        <v>92</v>
      </c>
      <c r="D19" s="610" t="s">
        <v>64</v>
      </c>
      <c r="E19" s="610"/>
      <c r="F19" s="213">
        <v>2000</v>
      </c>
      <c r="G19" s="86" t="s">
        <v>91</v>
      </c>
      <c r="H19" s="213"/>
      <c r="I19" s="86"/>
      <c r="J19" s="403"/>
      <c r="K19" s="404" t="s">
        <v>93</v>
      </c>
      <c r="L19" s="402"/>
      <c r="M19" s="197" t="s">
        <v>64</v>
      </c>
      <c r="N19" s="402"/>
      <c r="O19" s="197" t="s">
        <v>92</v>
      </c>
      <c r="P19" s="213">
        <v>2000</v>
      </c>
      <c r="Q19" s="405" t="s">
        <v>91</v>
      </c>
    </row>
    <row r="22" spans="1:17" ht="14.25" customHeight="1" x14ac:dyDescent="0.2">
      <c r="A22" s="202" t="s">
        <v>90</v>
      </c>
      <c r="B22" s="200">
        <f>((B18/B19)*D18)/F19</f>
        <v>128.03817239937501</v>
      </c>
      <c r="C22" s="206" t="s">
        <v>94</v>
      </c>
      <c r="D22" s="202" t="s">
        <v>90</v>
      </c>
      <c r="E22" s="200">
        <f>B22*2000/8760</f>
        <v>29.232459451912106</v>
      </c>
      <c r="F22" s="206" t="s">
        <v>91</v>
      </c>
      <c r="G22" s="86"/>
      <c r="H22" s="86"/>
      <c r="I22" s="202" t="s">
        <v>90</v>
      </c>
      <c r="J22" s="406">
        <f>(J18*L18*N18)/P19</f>
        <v>10.281017400696003</v>
      </c>
      <c r="K22" s="206" t="s">
        <v>94</v>
      </c>
      <c r="L22" s="202" t="s">
        <v>90</v>
      </c>
      <c r="M22" s="406">
        <f>J22*(2000/8760)</f>
        <v>2.3472642467342473</v>
      </c>
      <c r="N22" s="206" t="s">
        <v>91</v>
      </c>
      <c r="O22" s="86"/>
      <c r="P22" s="86"/>
      <c r="Q22" s="86"/>
    </row>
    <row r="23" spans="1:17" ht="14.25" customHeight="1" x14ac:dyDescent="0.2">
      <c r="A23" s="86"/>
      <c r="B23" s="86"/>
      <c r="C23" s="198" t="s">
        <v>64</v>
      </c>
      <c r="D23" s="86"/>
      <c r="E23" s="86"/>
      <c r="F23" s="198" t="s">
        <v>95</v>
      </c>
      <c r="G23" s="86"/>
      <c r="H23" s="86"/>
      <c r="I23" s="86"/>
      <c r="J23" s="86"/>
      <c r="K23" s="198" t="s">
        <v>64</v>
      </c>
      <c r="L23" s="86"/>
      <c r="M23" s="86"/>
      <c r="N23" s="198" t="s">
        <v>95</v>
      </c>
      <c r="O23" s="86"/>
      <c r="P23" s="86"/>
      <c r="Q23" s="86"/>
    </row>
    <row r="26" spans="1:17" ht="14.25" customHeight="1" x14ac:dyDescent="0.2">
      <c r="A26" s="86" t="s">
        <v>96</v>
      </c>
      <c r="B26" s="86"/>
      <c r="C26" s="86"/>
      <c r="D26" s="86"/>
      <c r="E26" s="86"/>
      <c r="F26" s="86"/>
      <c r="G26" s="86"/>
      <c r="H26" s="86"/>
      <c r="I26" s="86" t="s">
        <v>96</v>
      </c>
      <c r="J26" s="86"/>
      <c r="K26" s="86"/>
      <c r="L26" s="86"/>
      <c r="M26" s="86"/>
      <c r="N26" s="86"/>
      <c r="O26" s="86"/>
      <c r="P26" s="86"/>
      <c r="Q26" s="86"/>
    </row>
    <row r="27" spans="1:17" ht="14.25" customHeight="1" x14ac:dyDescent="0.25">
      <c r="B27" s="407"/>
    </row>
    <row r="28" spans="1:17" ht="14.25" customHeight="1" x14ac:dyDescent="0.2">
      <c r="A28" s="202" t="s">
        <v>90</v>
      </c>
      <c r="B28" s="408">
        <f>157*B13</f>
        <v>77.060833333333349</v>
      </c>
      <c r="C28" s="387" t="s">
        <v>91</v>
      </c>
      <c r="D28" s="397">
        <f>B12</f>
        <v>33124350</v>
      </c>
      <c r="E28" s="387" t="s">
        <v>92</v>
      </c>
      <c r="F28" s="609" t="s">
        <v>94</v>
      </c>
      <c r="G28" s="609"/>
      <c r="H28" s="213"/>
      <c r="I28" s="202" t="s">
        <v>90</v>
      </c>
      <c r="J28" s="409">
        <f>1.01*J13</f>
        <v>1.5234166666666664E-3</v>
      </c>
      <c r="K28" s="387" t="s">
        <v>91</v>
      </c>
      <c r="L28" s="400">
        <f>J12</f>
        <v>12416687.682000002</v>
      </c>
      <c r="M28" s="387" t="s">
        <v>92</v>
      </c>
      <c r="N28" s="399">
        <v>0.13800000000000001</v>
      </c>
      <c r="O28" s="387" t="s">
        <v>93</v>
      </c>
      <c r="P28" s="398"/>
      <c r="Q28" s="401" t="s">
        <v>94</v>
      </c>
    </row>
    <row r="29" spans="1:17" ht="14.25" customHeight="1" x14ac:dyDescent="0.25">
      <c r="A29" s="86"/>
      <c r="B29" s="402">
        <v>1000</v>
      </c>
      <c r="C29" s="197" t="s">
        <v>92</v>
      </c>
      <c r="D29" s="610" t="s">
        <v>64</v>
      </c>
      <c r="E29" s="610"/>
      <c r="F29" s="213">
        <v>2000</v>
      </c>
      <c r="G29" s="86" t="s">
        <v>91</v>
      </c>
      <c r="H29" s="213"/>
      <c r="I29" s="86"/>
      <c r="J29" s="403"/>
      <c r="K29" s="404" t="s">
        <v>93</v>
      </c>
      <c r="L29" s="402"/>
      <c r="M29" s="197" t="s">
        <v>64</v>
      </c>
      <c r="N29" s="402"/>
      <c r="O29" s="197" t="s">
        <v>92</v>
      </c>
      <c r="P29" s="213">
        <v>2000</v>
      </c>
      <c r="Q29" s="405" t="s">
        <v>91</v>
      </c>
    </row>
    <row r="32" spans="1:17" ht="14.25" customHeight="1" x14ac:dyDescent="0.2">
      <c r="A32" s="202" t="s">
        <v>90</v>
      </c>
      <c r="B32" s="200">
        <f>((B28/B29)*D28)/F29</f>
        <v>1276.2950073125</v>
      </c>
      <c r="C32" s="206" t="s">
        <v>94</v>
      </c>
      <c r="D32" s="202" t="s">
        <v>90</v>
      </c>
      <c r="E32" s="200">
        <f>B32*(2000/8760)</f>
        <v>291.39155418093605</v>
      </c>
      <c r="F32" s="206" t="s">
        <v>91</v>
      </c>
      <c r="G32" s="86"/>
      <c r="H32" s="86"/>
      <c r="I32" s="202" t="s">
        <v>90</v>
      </c>
      <c r="J32" s="200">
        <f>(J28*L28*N28)/P29</f>
        <v>1.3051894382091913</v>
      </c>
      <c r="K32" s="206" t="s">
        <v>94</v>
      </c>
      <c r="L32" s="202" t="s">
        <v>90</v>
      </c>
      <c r="M32" s="200">
        <f>J32*(2000/8760)</f>
        <v>0.29798845621214409</v>
      </c>
      <c r="N32" s="206" t="s">
        <v>91</v>
      </c>
      <c r="O32" s="86"/>
      <c r="P32" s="86"/>
      <c r="Q32" s="86"/>
    </row>
    <row r="33" spans="1:17" ht="14.25" customHeight="1" x14ac:dyDescent="0.2">
      <c r="A33" s="86"/>
      <c r="B33" s="86"/>
      <c r="C33" s="198" t="s">
        <v>64</v>
      </c>
      <c r="D33" s="86"/>
      <c r="E33" s="86"/>
      <c r="F33" s="198" t="s">
        <v>95</v>
      </c>
      <c r="G33" s="86"/>
      <c r="H33" s="86"/>
      <c r="I33" s="86"/>
      <c r="J33" s="86"/>
      <c r="K33" s="198" t="s">
        <v>64</v>
      </c>
      <c r="L33" s="86"/>
      <c r="M33" s="86"/>
      <c r="N33" s="198" t="s">
        <v>95</v>
      </c>
      <c r="O33" s="86"/>
      <c r="P33" s="86"/>
      <c r="Q33" s="86"/>
    </row>
    <row r="36" spans="1:17" ht="14.25" customHeight="1" x14ac:dyDescent="0.2">
      <c r="A36" s="86" t="s">
        <v>97</v>
      </c>
      <c r="B36" s="86"/>
      <c r="C36" s="86"/>
      <c r="D36" s="86"/>
      <c r="E36" s="86"/>
      <c r="F36" s="86"/>
      <c r="G36" s="86"/>
      <c r="H36" s="86"/>
      <c r="I36" s="86" t="s">
        <v>97</v>
      </c>
      <c r="J36" s="86"/>
      <c r="K36" s="86"/>
      <c r="L36" s="86"/>
      <c r="M36" s="86"/>
      <c r="N36" s="86"/>
      <c r="O36" s="86"/>
      <c r="P36" s="86"/>
      <c r="Q36" s="86"/>
    </row>
    <row r="38" spans="1:17" ht="14.25" customHeight="1" x14ac:dyDescent="0.2">
      <c r="A38" s="202" t="s">
        <v>90</v>
      </c>
      <c r="B38" s="212">
        <v>0.33</v>
      </c>
      <c r="C38" s="204" t="s">
        <v>91</v>
      </c>
      <c r="D38" s="111">
        <f>B12</f>
        <v>33124350</v>
      </c>
      <c r="E38" s="204" t="s">
        <v>92</v>
      </c>
      <c r="F38" s="599" t="s">
        <v>237</v>
      </c>
      <c r="G38" s="599"/>
      <c r="H38" s="599" t="s">
        <v>94</v>
      </c>
      <c r="I38" s="599"/>
      <c r="J38" s="399">
        <v>0.88</v>
      </c>
      <c r="K38" s="387" t="s">
        <v>91</v>
      </c>
      <c r="L38" s="400">
        <f>J12</f>
        <v>12416687.682000002</v>
      </c>
      <c r="M38" s="387" t="s">
        <v>92</v>
      </c>
      <c r="N38" s="399">
        <v>0.13800000000000001</v>
      </c>
      <c r="O38" s="387" t="s">
        <v>93</v>
      </c>
      <c r="P38" s="398"/>
      <c r="Q38" s="401" t="s">
        <v>94</v>
      </c>
    </row>
    <row r="39" spans="1:17" ht="14.25" customHeight="1" x14ac:dyDescent="0.25">
      <c r="A39" s="86"/>
      <c r="B39" s="1"/>
      <c r="C39" s="125" t="s">
        <v>131</v>
      </c>
      <c r="D39" s="593" t="s">
        <v>64</v>
      </c>
      <c r="E39" s="593"/>
      <c r="F39" s="1" t="s">
        <v>92</v>
      </c>
      <c r="G39" s="125"/>
      <c r="H39" s="1">
        <v>2000</v>
      </c>
      <c r="I39" s="125" t="s">
        <v>91</v>
      </c>
      <c r="J39" s="403"/>
      <c r="K39" s="404" t="s">
        <v>93</v>
      </c>
      <c r="L39" s="402"/>
      <c r="M39" s="197" t="s">
        <v>64</v>
      </c>
      <c r="N39" s="402"/>
      <c r="O39" s="197" t="s">
        <v>92</v>
      </c>
      <c r="P39" s="213">
        <v>2000</v>
      </c>
      <c r="Q39" s="405" t="s">
        <v>91</v>
      </c>
    </row>
    <row r="42" spans="1:17" ht="14.25" customHeight="1" x14ac:dyDescent="0.2">
      <c r="A42" s="202" t="s">
        <v>90</v>
      </c>
      <c r="B42" s="200">
        <f>B38*D38*0.15/2000</f>
        <v>819.82766249999997</v>
      </c>
      <c r="C42" s="206" t="s">
        <v>94</v>
      </c>
      <c r="D42" s="86"/>
      <c r="E42" s="86"/>
      <c r="F42" s="86"/>
      <c r="G42" s="86"/>
      <c r="J42" s="200">
        <f>(J38*L38*N38)/P39</f>
        <v>753.94127605104018</v>
      </c>
      <c r="K42" s="206" t="s">
        <v>94</v>
      </c>
      <c r="L42" s="202" t="s">
        <v>90</v>
      </c>
      <c r="M42" s="200">
        <f>J42*(2000/8760)</f>
        <v>172.13271142717812</v>
      </c>
      <c r="N42" s="206" t="s">
        <v>91</v>
      </c>
      <c r="O42" s="86"/>
      <c r="P42" s="86"/>
      <c r="Q42" s="86"/>
    </row>
    <row r="43" spans="1:17" ht="14.25" customHeight="1" x14ac:dyDescent="0.2">
      <c r="A43" s="86"/>
      <c r="B43" s="86"/>
      <c r="C43" s="198" t="s">
        <v>64</v>
      </c>
      <c r="D43" s="86"/>
      <c r="E43" s="86"/>
      <c r="F43" s="86"/>
      <c r="G43" s="86"/>
      <c r="J43" s="86"/>
      <c r="K43" s="198" t="s">
        <v>64</v>
      </c>
      <c r="L43" s="86"/>
      <c r="M43" s="86"/>
      <c r="N43" s="198" t="s">
        <v>95</v>
      </c>
      <c r="O43" s="86"/>
      <c r="P43" s="86"/>
      <c r="Q43" s="86"/>
    </row>
    <row r="46" spans="1:17" ht="14.25" customHeight="1" x14ac:dyDescent="0.2">
      <c r="A46" s="86" t="s">
        <v>98</v>
      </c>
      <c r="B46" s="86"/>
      <c r="C46" s="86"/>
      <c r="D46" s="86"/>
      <c r="E46" s="86"/>
      <c r="F46" s="86"/>
      <c r="G46" s="86"/>
      <c r="H46" s="86"/>
      <c r="I46" s="86" t="s">
        <v>98</v>
      </c>
      <c r="J46" s="86"/>
      <c r="K46" s="86"/>
      <c r="L46" s="86"/>
      <c r="M46" s="86"/>
      <c r="N46" s="86"/>
      <c r="O46" s="86"/>
      <c r="P46" s="86"/>
      <c r="Q46" s="86"/>
    </row>
    <row r="48" spans="1:17" ht="14.25" customHeight="1" x14ac:dyDescent="0.2">
      <c r="A48" s="202" t="s">
        <v>90</v>
      </c>
      <c r="B48" s="398">
        <v>0.76</v>
      </c>
      <c r="C48" s="387" t="s">
        <v>91</v>
      </c>
      <c r="D48" s="400">
        <f>B12</f>
        <v>33124350</v>
      </c>
      <c r="E48" s="387" t="s">
        <v>92</v>
      </c>
      <c r="F48" s="609" t="s">
        <v>94</v>
      </c>
      <c r="G48" s="609"/>
      <c r="H48" s="213"/>
      <c r="I48" s="202" t="s">
        <v>90</v>
      </c>
      <c r="J48" s="399">
        <v>4.0999999999999999E-4</v>
      </c>
      <c r="K48" s="387" t="s">
        <v>91</v>
      </c>
      <c r="L48" s="400">
        <f>J12</f>
        <v>12416687.682000002</v>
      </c>
      <c r="M48" s="387" t="s">
        <v>92</v>
      </c>
      <c r="N48" s="399">
        <v>0.13800000000000001</v>
      </c>
      <c r="O48" s="387" t="s">
        <v>93</v>
      </c>
      <c r="P48" s="398"/>
      <c r="Q48" s="401" t="s">
        <v>94</v>
      </c>
    </row>
    <row r="49" spans="1:17" ht="14.25" customHeight="1" x14ac:dyDescent="0.25">
      <c r="A49" s="86"/>
      <c r="B49" s="402">
        <v>1000</v>
      </c>
      <c r="C49" s="197" t="s">
        <v>92</v>
      </c>
      <c r="D49" s="610" t="s">
        <v>64</v>
      </c>
      <c r="E49" s="610"/>
      <c r="F49" s="213">
        <v>2000</v>
      </c>
      <c r="G49" s="86" t="s">
        <v>91</v>
      </c>
      <c r="H49" s="213"/>
      <c r="I49" s="86"/>
      <c r="J49" s="403"/>
      <c r="K49" s="404" t="s">
        <v>93</v>
      </c>
      <c r="L49" s="402"/>
      <c r="M49" s="197" t="s">
        <v>64</v>
      </c>
      <c r="N49" s="402"/>
      <c r="O49" s="197" t="s">
        <v>92</v>
      </c>
      <c r="P49" s="213">
        <v>2000</v>
      </c>
      <c r="Q49" s="405" t="s">
        <v>91</v>
      </c>
    </row>
    <row r="52" spans="1:17" ht="14.25" customHeight="1" x14ac:dyDescent="0.2">
      <c r="A52" s="202" t="s">
        <v>90</v>
      </c>
      <c r="B52" s="200">
        <f>((B48/B49)*D48)/F49</f>
        <v>12.587253</v>
      </c>
      <c r="C52" s="206" t="s">
        <v>94</v>
      </c>
      <c r="D52" s="202" t="s">
        <v>90</v>
      </c>
      <c r="E52" s="200">
        <f>B52*(2000/8760)</f>
        <v>2.8738020547945204</v>
      </c>
      <c r="F52" s="206" t="s">
        <v>91</v>
      </c>
      <c r="G52" s="86"/>
      <c r="H52" s="86"/>
      <c r="I52" s="202" t="s">
        <v>90</v>
      </c>
      <c r="J52" s="406">
        <f>(J48*L48*N48)/P49</f>
        <v>0.35126809452378005</v>
      </c>
      <c r="K52" s="206" t="s">
        <v>94</v>
      </c>
      <c r="L52" s="202" t="s">
        <v>90</v>
      </c>
      <c r="M52" s="406">
        <f>J52*(2000/8760)</f>
        <v>8.0198195096753438E-2</v>
      </c>
      <c r="N52" s="206" t="s">
        <v>91</v>
      </c>
      <c r="O52" s="86"/>
      <c r="P52" s="86"/>
      <c r="Q52" s="86"/>
    </row>
    <row r="53" spans="1:17" ht="14.25" customHeight="1" x14ac:dyDescent="0.2">
      <c r="A53" s="86"/>
      <c r="B53" s="86"/>
      <c r="C53" s="198" t="s">
        <v>64</v>
      </c>
      <c r="D53" s="86"/>
      <c r="E53" s="86"/>
      <c r="F53" s="198" t="s">
        <v>95</v>
      </c>
      <c r="G53" s="86"/>
      <c r="H53" s="86"/>
      <c r="I53" s="86"/>
      <c r="J53" s="86"/>
      <c r="K53" s="198" t="s">
        <v>64</v>
      </c>
      <c r="L53" s="86"/>
      <c r="M53" s="86"/>
      <c r="N53" s="198" t="s">
        <v>95</v>
      </c>
      <c r="O53" s="86"/>
      <c r="P53" s="86"/>
      <c r="Q53" s="86"/>
    </row>
    <row r="56" spans="1:17" ht="14.25" customHeight="1" x14ac:dyDescent="0.2">
      <c r="A56" s="86" t="s">
        <v>99</v>
      </c>
      <c r="B56" s="86"/>
      <c r="C56" s="86"/>
      <c r="D56" s="86"/>
      <c r="E56" s="86"/>
      <c r="F56" s="86"/>
      <c r="G56" s="86"/>
      <c r="H56" s="86"/>
      <c r="I56" s="86" t="s">
        <v>99</v>
      </c>
      <c r="J56" s="86"/>
      <c r="K56" s="86"/>
      <c r="L56" s="86"/>
      <c r="M56" s="86"/>
      <c r="N56" s="86"/>
      <c r="O56" s="86"/>
      <c r="P56" s="86"/>
      <c r="Q56" s="86"/>
    </row>
    <row r="58" spans="1:17" ht="14.25" customHeight="1" x14ac:dyDescent="0.2">
      <c r="A58" s="202" t="s">
        <v>90</v>
      </c>
      <c r="B58" s="398">
        <v>5</v>
      </c>
      <c r="C58" s="387" t="s">
        <v>91</v>
      </c>
      <c r="D58" s="400">
        <f>B12</f>
        <v>33124350</v>
      </c>
      <c r="E58" s="387" t="s">
        <v>92</v>
      </c>
      <c r="F58" s="609" t="s">
        <v>94</v>
      </c>
      <c r="G58" s="609"/>
      <c r="H58" s="213"/>
      <c r="I58" s="202" t="s">
        <v>90</v>
      </c>
      <c r="J58" s="399">
        <v>3.3E-3</v>
      </c>
      <c r="K58" s="387" t="s">
        <v>91</v>
      </c>
      <c r="L58" s="400">
        <f>J12</f>
        <v>12416687.682000002</v>
      </c>
      <c r="M58" s="387" t="s">
        <v>92</v>
      </c>
      <c r="N58" s="399">
        <v>0.13800000000000001</v>
      </c>
      <c r="O58" s="387" t="s">
        <v>93</v>
      </c>
      <c r="P58" s="398"/>
      <c r="Q58" s="401" t="s">
        <v>94</v>
      </c>
    </row>
    <row r="59" spans="1:17" ht="14.25" customHeight="1" x14ac:dyDescent="0.25">
      <c r="A59" s="86"/>
      <c r="B59" s="402">
        <v>1000</v>
      </c>
      <c r="C59" s="197" t="s">
        <v>92</v>
      </c>
      <c r="D59" s="610" t="s">
        <v>64</v>
      </c>
      <c r="E59" s="610"/>
      <c r="F59" s="213">
        <v>2000</v>
      </c>
      <c r="G59" s="86" t="s">
        <v>91</v>
      </c>
      <c r="H59" s="213"/>
      <c r="I59" s="86"/>
      <c r="J59" s="403"/>
      <c r="K59" s="404" t="s">
        <v>93</v>
      </c>
      <c r="L59" s="402"/>
      <c r="M59" s="197" t="s">
        <v>64</v>
      </c>
      <c r="N59" s="402"/>
      <c r="O59" s="197" t="s">
        <v>92</v>
      </c>
      <c r="P59" s="213">
        <v>2000</v>
      </c>
      <c r="Q59" s="405" t="s">
        <v>91</v>
      </c>
    </row>
    <row r="62" spans="1:17" ht="14.25" customHeight="1" x14ac:dyDescent="0.2">
      <c r="A62" s="202" t="s">
        <v>90</v>
      </c>
      <c r="B62" s="406">
        <f>((B58/B59)*D58)/F59</f>
        <v>82.810874999999996</v>
      </c>
      <c r="C62" s="206" t="s">
        <v>94</v>
      </c>
      <c r="D62" s="202" t="s">
        <v>90</v>
      </c>
      <c r="E62" s="406">
        <f>B62*(2000/8760)</f>
        <v>18.906592465753423</v>
      </c>
      <c r="F62" s="206" t="s">
        <v>91</v>
      </c>
      <c r="G62" s="86"/>
      <c r="H62" s="86"/>
      <c r="I62" s="202" t="s">
        <v>90</v>
      </c>
      <c r="J62" s="406">
        <f>(J58*L58*N58)/P59</f>
        <v>2.8272797851914007</v>
      </c>
      <c r="K62" s="206" t="s">
        <v>94</v>
      </c>
      <c r="L62" s="202" t="s">
        <v>90</v>
      </c>
      <c r="M62" s="406">
        <f>J62*(2000/8760)</f>
        <v>0.64549766785191798</v>
      </c>
      <c r="N62" s="206" t="s">
        <v>91</v>
      </c>
      <c r="O62" s="86"/>
      <c r="P62" s="86"/>
      <c r="Q62" s="86"/>
    </row>
    <row r="63" spans="1:17" ht="14.25" customHeight="1" x14ac:dyDescent="0.2">
      <c r="A63" s="86"/>
      <c r="B63" s="86"/>
      <c r="C63" s="198" t="s">
        <v>64</v>
      </c>
      <c r="D63" s="86"/>
      <c r="E63" s="86"/>
      <c r="F63" s="198" t="s">
        <v>95</v>
      </c>
      <c r="G63" s="86"/>
      <c r="H63" s="86"/>
      <c r="I63" s="86"/>
      <c r="J63" s="86"/>
      <c r="K63" s="198" t="s">
        <v>64</v>
      </c>
      <c r="L63" s="86"/>
      <c r="M63" s="86"/>
      <c r="N63" s="198" t="s">
        <v>95</v>
      </c>
      <c r="O63" s="86"/>
      <c r="P63" s="86"/>
      <c r="Q63" s="86"/>
    </row>
    <row r="66" spans="1:18" ht="14.25" customHeight="1" x14ac:dyDescent="0.2">
      <c r="A66" s="86" t="s">
        <v>100</v>
      </c>
      <c r="B66" s="86"/>
      <c r="C66" s="86"/>
      <c r="D66" s="86"/>
      <c r="E66" s="86"/>
      <c r="F66" s="86"/>
      <c r="G66" s="86"/>
      <c r="H66" s="86"/>
      <c r="I66" s="86" t="s">
        <v>100</v>
      </c>
      <c r="J66" s="86"/>
      <c r="K66" s="86"/>
      <c r="L66" s="86"/>
      <c r="M66" s="86"/>
      <c r="N66" s="86"/>
      <c r="O66" s="86"/>
      <c r="P66" s="86"/>
      <c r="Q66" s="86"/>
    </row>
    <row r="68" spans="1:18" ht="14.25" customHeight="1" x14ac:dyDescent="0.2">
      <c r="A68" s="202" t="s">
        <v>90</v>
      </c>
      <c r="B68" s="398">
        <v>1.5100000000000001E-3</v>
      </c>
      <c r="C68" s="387" t="s">
        <v>91</v>
      </c>
      <c r="D68" s="400">
        <f>B12</f>
        <v>33124350</v>
      </c>
      <c r="E68" s="387" t="s">
        <v>92</v>
      </c>
      <c r="F68" s="609" t="s">
        <v>94</v>
      </c>
      <c r="G68" s="609"/>
      <c r="H68" s="213"/>
      <c r="I68" s="202" t="s">
        <v>90</v>
      </c>
      <c r="J68" s="399">
        <v>1.4E-5</v>
      </c>
      <c r="K68" s="387" t="s">
        <v>91</v>
      </c>
      <c r="L68" s="400">
        <f>J12</f>
        <v>12416687.682000002</v>
      </c>
      <c r="M68" s="387" t="s">
        <v>92</v>
      </c>
      <c r="N68" s="399">
        <v>0.13800000000000001</v>
      </c>
      <c r="O68" s="387" t="s">
        <v>93</v>
      </c>
      <c r="P68" s="398"/>
      <c r="Q68" s="401" t="s">
        <v>94</v>
      </c>
    </row>
    <row r="69" spans="1:18" ht="14.25" customHeight="1" x14ac:dyDescent="0.25">
      <c r="A69" s="86"/>
      <c r="B69" s="402">
        <v>1000</v>
      </c>
      <c r="C69" s="197" t="s">
        <v>92</v>
      </c>
      <c r="D69" s="610" t="s">
        <v>64</v>
      </c>
      <c r="E69" s="610"/>
      <c r="F69" s="213">
        <v>2000</v>
      </c>
      <c r="G69" s="86" t="s">
        <v>91</v>
      </c>
      <c r="H69" s="213"/>
      <c r="I69" s="86"/>
      <c r="J69" s="403"/>
      <c r="K69" s="404" t="s">
        <v>93</v>
      </c>
      <c r="L69" s="402"/>
      <c r="M69" s="197" t="s">
        <v>64</v>
      </c>
      <c r="N69" s="402"/>
      <c r="O69" s="197" t="s">
        <v>92</v>
      </c>
      <c r="P69" s="213">
        <v>2000</v>
      </c>
      <c r="Q69" s="405" t="s">
        <v>91</v>
      </c>
    </row>
    <row r="72" spans="1:18" ht="14.25" customHeight="1" x14ac:dyDescent="0.2">
      <c r="A72" s="202" t="s">
        <v>90</v>
      </c>
      <c r="B72" s="200">
        <f>((B68/B69)*D68)/F69</f>
        <v>2.5008884250000002E-2</v>
      </c>
      <c r="C72" s="206" t="s">
        <v>94</v>
      </c>
      <c r="D72" s="202" t="s">
        <v>90</v>
      </c>
      <c r="E72" s="406">
        <f>B72*(2000/8760)</f>
        <v>5.7097909246575347E-3</v>
      </c>
      <c r="F72" s="206" t="s">
        <v>91</v>
      </c>
      <c r="G72" s="86"/>
      <c r="H72" s="86"/>
      <c r="I72" s="202" t="s">
        <v>90</v>
      </c>
      <c r="J72" s="410">
        <f>(J68*L68*N68)/P69</f>
        <v>1.1994520300812002E-2</v>
      </c>
      <c r="K72" s="206" t="s">
        <v>94</v>
      </c>
      <c r="L72" s="202" t="s">
        <v>90</v>
      </c>
      <c r="M72" s="410">
        <f>J72*(2000/8760)</f>
        <v>2.738474954523288E-3</v>
      </c>
      <c r="N72" s="206" t="s">
        <v>91</v>
      </c>
      <c r="O72" s="86"/>
      <c r="P72" s="86"/>
      <c r="Q72" s="86"/>
    </row>
    <row r="73" spans="1:18" ht="14.25" customHeight="1" x14ac:dyDescent="0.2">
      <c r="A73" s="86"/>
      <c r="B73" s="86"/>
      <c r="C73" s="198" t="s">
        <v>64</v>
      </c>
      <c r="D73" s="86"/>
      <c r="E73" s="86"/>
      <c r="F73" s="198" t="s">
        <v>95</v>
      </c>
      <c r="G73" s="86"/>
      <c r="H73" s="86"/>
      <c r="I73" s="86"/>
      <c r="J73" s="86"/>
      <c r="K73" s="198" t="s">
        <v>64</v>
      </c>
      <c r="L73" s="86"/>
      <c r="M73" s="86"/>
      <c r="N73" s="198" t="s">
        <v>95</v>
      </c>
      <c r="O73" s="86"/>
      <c r="P73" s="86"/>
      <c r="Q73" s="86"/>
    </row>
    <row r="76" spans="1:18" ht="14.25" customHeight="1" x14ac:dyDescent="0.2">
      <c r="A76" s="86" t="s">
        <v>101</v>
      </c>
      <c r="B76" s="86"/>
      <c r="C76" s="86"/>
      <c r="D76" s="86"/>
      <c r="E76" s="86"/>
      <c r="F76" s="86"/>
      <c r="G76" s="86"/>
      <c r="J76" s="86" t="s">
        <v>101</v>
      </c>
      <c r="K76" s="86"/>
      <c r="L76" s="86"/>
      <c r="M76" s="86"/>
      <c r="N76" s="86"/>
      <c r="O76" s="86"/>
      <c r="P76" s="86"/>
      <c r="Q76" s="86"/>
      <c r="R76" s="86"/>
    </row>
    <row r="78" spans="1:18" ht="14.25" customHeight="1" x14ac:dyDescent="0.2">
      <c r="A78" s="202" t="s">
        <v>90</v>
      </c>
      <c r="B78" s="209">
        <f>V13</f>
        <v>24.631667341468056</v>
      </c>
      <c r="C78" s="204" t="s">
        <v>91</v>
      </c>
      <c r="D78" s="111">
        <f>D68</f>
        <v>33124350</v>
      </c>
      <c r="E78" s="204" t="s">
        <v>92</v>
      </c>
      <c r="F78" s="599" t="s">
        <v>94</v>
      </c>
      <c r="G78" s="599"/>
      <c r="J78" s="202" t="s">
        <v>90</v>
      </c>
      <c r="K78" s="209">
        <f>V14</f>
        <v>22.578420600240001</v>
      </c>
      <c r="L78" s="204" t="s">
        <v>91</v>
      </c>
      <c r="M78" s="111">
        <f>L68</f>
        <v>12416687.682000002</v>
      </c>
      <c r="N78" s="204" t="s">
        <v>92</v>
      </c>
      <c r="O78" s="599" t="s">
        <v>94</v>
      </c>
      <c r="P78" s="599"/>
    </row>
    <row r="79" spans="1:18" ht="14.25" customHeight="1" x14ac:dyDescent="0.2">
      <c r="A79" s="86"/>
      <c r="B79" s="1"/>
      <c r="C79" s="125" t="s">
        <v>92</v>
      </c>
      <c r="D79" s="593" t="s">
        <v>64</v>
      </c>
      <c r="E79" s="593"/>
      <c r="F79" s="1">
        <v>2000</v>
      </c>
      <c r="G79" s="125" t="s">
        <v>91</v>
      </c>
      <c r="J79" s="86"/>
      <c r="K79" s="1"/>
      <c r="L79" s="125" t="s">
        <v>92</v>
      </c>
      <c r="M79" s="593" t="s">
        <v>64</v>
      </c>
      <c r="N79" s="593"/>
      <c r="O79" s="1">
        <v>2000</v>
      </c>
      <c r="P79" s="125" t="s">
        <v>91</v>
      </c>
    </row>
    <row r="82" spans="1:16" ht="14.25" customHeight="1" x14ac:dyDescent="0.2">
      <c r="A82" s="202" t="s">
        <v>90</v>
      </c>
      <c r="B82" s="200">
        <f>B78*D78/F79</f>
        <v>407953.98505117872</v>
      </c>
      <c r="C82" s="206" t="s">
        <v>94</v>
      </c>
      <c r="D82" s="86"/>
      <c r="E82" s="86"/>
      <c r="F82" s="86"/>
      <c r="G82" s="86"/>
      <c r="J82" s="202" t="s">
        <v>90</v>
      </c>
      <c r="K82" s="200">
        <f>K78*M78/O79</f>
        <v>140174.59847300756</v>
      </c>
      <c r="L82" s="206" t="s">
        <v>94</v>
      </c>
      <c r="M82" s="86"/>
      <c r="N82" s="86"/>
      <c r="O82" s="86"/>
      <c r="P82" s="86"/>
    </row>
    <row r="83" spans="1:16" ht="14.25" customHeight="1" x14ac:dyDescent="0.2">
      <c r="A83" s="86"/>
      <c r="B83" s="86"/>
      <c r="C83" s="198" t="s">
        <v>64</v>
      </c>
      <c r="D83" s="86"/>
      <c r="E83" s="86"/>
      <c r="F83" s="86"/>
      <c r="G83" s="86"/>
      <c r="J83" s="86"/>
      <c r="K83" s="86"/>
      <c r="L83" s="198" t="s">
        <v>64</v>
      </c>
      <c r="M83" s="86"/>
      <c r="N83" s="86"/>
      <c r="O83" s="86"/>
      <c r="P83" s="86"/>
    </row>
  </sheetData>
  <mergeCells count="21">
    <mergeCell ref="A1:H1"/>
    <mergeCell ref="I1:Q1"/>
    <mergeCell ref="A3:C3"/>
    <mergeCell ref="I3:K3"/>
    <mergeCell ref="F18:G18"/>
    <mergeCell ref="D19:E19"/>
    <mergeCell ref="F28:G28"/>
    <mergeCell ref="D29:E29"/>
    <mergeCell ref="F38:G38"/>
    <mergeCell ref="H38:I38"/>
    <mergeCell ref="D39:E39"/>
    <mergeCell ref="F48:G48"/>
    <mergeCell ref="D49:E49"/>
    <mergeCell ref="F58:G58"/>
    <mergeCell ref="D59:E59"/>
    <mergeCell ref="F68:G68"/>
    <mergeCell ref="D69:E69"/>
    <mergeCell ref="F78:G78"/>
    <mergeCell ref="O78:P78"/>
    <mergeCell ref="D79:E79"/>
    <mergeCell ref="M79:N79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83"/>
  <sheetViews>
    <sheetView zoomScaleNormal="100" workbookViewId="0">
      <selection sqref="A1:O1"/>
    </sheetView>
  </sheetViews>
  <sheetFormatPr defaultColWidth="8.7109375" defaultRowHeight="12.75" x14ac:dyDescent="0.2"/>
  <cols>
    <col min="1" max="2" width="18.28515625" customWidth="1"/>
    <col min="3" max="3" width="16.5703125" customWidth="1"/>
    <col min="4" max="4" width="12.42578125" customWidth="1"/>
    <col min="5" max="5" width="11.5703125" customWidth="1"/>
    <col min="6" max="6" width="13.5703125" customWidth="1"/>
    <col min="7" max="7" width="4.85546875" customWidth="1"/>
    <col min="8" max="8" width="12" customWidth="1"/>
    <col min="9" max="9" width="8.28515625" customWidth="1"/>
    <col min="10" max="10" width="5.5703125" customWidth="1"/>
    <col min="11" max="11" width="3.42578125" customWidth="1"/>
    <col min="12" max="12" width="7.28515625" customWidth="1"/>
    <col min="13" max="13" width="12.7109375" customWidth="1"/>
    <col min="14" max="14" width="8.5703125" customWidth="1"/>
    <col min="15" max="15" width="9.140625" customWidth="1"/>
    <col min="16" max="16" width="8.28515625" customWidth="1"/>
    <col min="17" max="17" width="1.7109375" customWidth="1"/>
    <col min="18" max="18" width="8" customWidth="1"/>
    <col min="19" max="19" width="8.28515625" customWidth="1"/>
    <col min="20" max="20" width="5.5703125" customWidth="1"/>
    <col min="21" max="21" width="3.42578125" customWidth="1"/>
    <col min="23" max="23" width="12" customWidth="1"/>
  </cols>
  <sheetData>
    <row r="1" spans="1:16" ht="14.25" customHeight="1" x14ac:dyDescent="0.2">
      <c r="A1" s="594" t="s">
        <v>271</v>
      </c>
      <c r="B1" s="594"/>
      <c r="C1" s="594"/>
      <c r="D1" s="594"/>
      <c r="E1" s="594"/>
      <c r="F1" s="594"/>
      <c r="G1" s="594"/>
      <c r="H1" s="594"/>
      <c r="I1" s="594"/>
      <c r="J1" s="594"/>
      <c r="K1" s="594"/>
      <c r="L1" s="594"/>
      <c r="M1" s="594"/>
      <c r="N1" s="594"/>
      <c r="O1" s="594"/>
      <c r="P1" s="594"/>
    </row>
    <row r="2" spans="1:16" ht="14.25" customHeight="1" x14ac:dyDescent="0.2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</row>
    <row r="3" spans="1:16" ht="51" customHeight="1" x14ac:dyDescent="0.2">
      <c r="A3" s="106" t="s">
        <v>103</v>
      </c>
      <c r="B3" s="107" t="s">
        <v>104</v>
      </c>
      <c r="C3" s="107" t="s">
        <v>193</v>
      </c>
      <c r="D3" s="108" t="s">
        <v>106</v>
      </c>
      <c r="E3" s="108" t="s">
        <v>107</v>
      </c>
      <c r="M3" s="105"/>
      <c r="N3" s="105"/>
      <c r="O3" s="105"/>
      <c r="P3" s="105"/>
    </row>
    <row r="4" spans="1:16" ht="14.25" customHeight="1" x14ac:dyDescent="0.2">
      <c r="A4" s="109" t="s">
        <v>20</v>
      </c>
      <c r="B4" s="110">
        <v>0.11</v>
      </c>
      <c r="C4" s="110">
        <v>0.1731</v>
      </c>
      <c r="D4" s="111">
        <f>B23</f>
        <v>61.695699951276012</v>
      </c>
      <c r="E4" s="112">
        <f>F23</f>
        <v>14.085776244583563</v>
      </c>
      <c r="J4" s="113"/>
      <c r="K4" s="114"/>
      <c r="L4" s="114"/>
      <c r="M4" s="105"/>
      <c r="N4" s="105"/>
      <c r="O4" s="105"/>
      <c r="P4" s="105"/>
    </row>
    <row r="5" spans="1:16" ht="14.25" customHeight="1" x14ac:dyDescent="0.2">
      <c r="A5" s="115" t="s">
        <v>21</v>
      </c>
      <c r="B5" s="116">
        <v>7.6999999999999999E-2</v>
      </c>
      <c r="C5" s="117">
        <v>3.4299999999999997E-2</v>
      </c>
      <c r="D5" s="118">
        <f>B29</f>
        <v>12.225086703228</v>
      </c>
      <c r="E5" s="119">
        <f>F29</f>
        <v>2.7911156856684927</v>
      </c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</row>
    <row r="6" spans="1:16" ht="14.25" customHeight="1" x14ac:dyDescent="0.2">
      <c r="A6" s="115" t="s">
        <v>22</v>
      </c>
      <c r="B6" s="116">
        <v>8.0999999999999996E-3</v>
      </c>
      <c r="C6" s="116">
        <v>7.1000000000000004E-3</v>
      </c>
      <c r="D6" s="118">
        <f>B35</f>
        <v>2.5305573059160005</v>
      </c>
      <c r="E6" s="119">
        <f>F35</f>
        <v>0.57775280956986308</v>
      </c>
      <c r="F6" s="595" t="s">
        <v>108</v>
      </c>
      <c r="G6" s="595"/>
      <c r="H6" s="595"/>
      <c r="I6" s="595"/>
      <c r="J6" s="595"/>
      <c r="K6" s="595"/>
      <c r="L6" s="595"/>
      <c r="M6" s="595"/>
      <c r="N6" s="595"/>
      <c r="O6" s="120"/>
      <c r="P6" s="120"/>
    </row>
    <row r="7" spans="1:16" ht="14.25" customHeight="1" x14ac:dyDescent="0.2">
      <c r="A7" s="115" t="s">
        <v>17</v>
      </c>
      <c r="B7" s="411">
        <v>0.01</v>
      </c>
      <c r="C7" s="117">
        <v>1.77E-2</v>
      </c>
      <c r="D7" s="118">
        <f>B41</f>
        <v>6.3085724386920008</v>
      </c>
      <c r="E7" s="119">
        <f>F41</f>
        <v>1.4403133421671235</v>
      </c>
      <c r="F7" s="121" t="s">
        <v>109</v>
      </c>
      <c r="G7" s="122" t="s">
        <v>272</v>
      </c>
      <c r="I7" s="122"/>
      <c r="J7" s="122"/>
      <c r="K7" s="122"/>
      <c r="L7" s="122"/>
      <c r="M7" s="122"/>
      <c r="N7" s="122"/>
      <c r="O7" s="122"/>
      <c r="P7" s="122"/>
    </row>
    <row r="8" spans="1:16" ht="14.25" customHeight="1" x14ac:dyDescent="0.2">
      <c r="A8" s="115" t="s">
        <v>18</v>
      </c>
      <c r="B8" s="411">
        <v>0.01</v>
      </c>
      <c r="C8" s="117">
        <v>1.77E-2</v>
      </c>
      <c r="D8" s="118">
        <f>B47</f>
        <v>6.3085724386920008</v>
      </c>
      <c r="E8" s="123">
        <f>F47</f>
        <v>1.4403133421671235</v>
      </c>
      <c r="F8" s="124"/>
      <c r="G8" s="122" t="s">
        <v>273</v>
      </c>
      <c r="H8" s="122"/>
      <c r="I8" s="122"/>
      <c r="J8" s="122"/>
      <c r="K8" s="122"/>
      <c r="L8" s="122"/>
      <c r="M8" s="122"/>
      <c r="N8" s="122"/>
      <c r="O8" s="122"/>
    </row>
    <row r="9" spans="1:16" ht="14.25" customHeight="1" x14ac:dyDescent="0.2">
      <c r="A9" s="115" t="s">
        <v>40</v>
      </c>
      <c r="B9" s="411">
        <v>0.01</v>
      </c>
      <c r="C9" s="117">
        <v>1.77E-2</v>
      </c>
      <c r="D9" s="118">
        <f>B53</f>
        <v>6.3085724386920008</v>
      </c>
      <c r="E9" s="119">
        <f>F53</f>
        <v>1.4403133421671235</v>
      </c>
      <c r="F9" s="125"/>
      <c r="G9" s="122" t="s">
        <v>112</v>
      </c>
      <c r="H9" s="122"/>
      <c r="I9" s="122"/>
      <c r="J9" s="122"/>
      <c r="K9" s="122"/>
      <c r="L9" s="122"/>
      <c r="M9" s="122"/>
      <c r="N9" s="122"/>
      <c r="O9" s="122"/>
    </row>
    <row r="10" spans="1:16" ht="14.25" customHeight="1" x14ac:dyDescent="0.2">
      <c r="A10" s="115" t="s">
        <v>19</v>
      </c>
      <c r="B10" s="412">
        <f>1*2/7000/100/1026*1000000</f>
        <v>2.7847396268448903E-3</v>
      </c>
      <c r="C10" s="117">
        <v>1.5E-3</v>
      </c>
      <c r="D10" s="118">
        <f>B59</f>
        <v>0.53462478294000004</v>
      </c>
      <c r="E10" s="119">
        <f>F59</f>
        <v>0.1220604527260274</v>
      </c>
      <c r="F10" s="125"/>
      <c r="G10" s="125"/>
      <c r="H10" s="124"/>
      <c r="I10" s="124"/>
      <c r="J10" s="124"/>
      <c r="K10" s="124"/>
      <c r="L10" s="124"/>
      <c r="M10" s="124"/>
      <c r="N10" s="124"/>
      <c r="O10" s="124"/>
      <c r="P10" s="124"/>
    </row>
    <row r="11" spans="1:16" ht="14.25" customHeight="1" x14ac:dyDescent="0.2">
      <c r="A11" s="115" t="s">
        <v>42</v>
      </c>
      <c r="B11" s="413">
        <f>B10*0.1*98/64</f>
        <v>4.2641325536062387E-4</v>
      </c>
      <c r="C11" s="413">
        <f>C10*0.1*98/64</f>
        <v>2.2968750000000002E-4</v>
      </c>
      <c r="D11" s="118">
        <f>B65</f>
        <v>8.1864419887687515E-2</v>
      </c>
      <c r="E11" s="119">
        <f>F65</f>
        <v>1.8690506823672948E-2</v>
      </c>
      <c r="F11" s="127" t="s">
        <v>114</v>
      </c>
      <c r="G11" s="122" t="s">
        <v>115</v>
      </c>
      <c r="H11" s="122"/>
      <c r="I11" s="122"/>
      <c r="J11" s="122"/>
      <c r="K11" s="122"/>
      <c r="L11" s="122"/>
      <c r="N11" s="124"/>
      <c r="O11" s="124"/>
      <c r="P11" s="124"/>
    </row>
    <row r="12" spans="1:16" ht="14.25" customHeight="1" x14ac:dyDescent="0.2">
      <c r="A12" s="115" t="s">
        <v>23</v>
      </c>
      <c r="B12" s="116">
        <v>0</v>
      </c>
      <c r="C12" s="128">
        <v>1.4E-5</v>
      </c>
      <c r="D12" s="118">
        <f>B71</f>
        <v>4.9898313074400007E-3</v>
      </c>
      <c r="E12" s="119">
        <f>F71</f>
        <v>1.1392308921095891E-3</v>
      </c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</row>
    <row r="13" spans="1:16" ht="14.25" customHeight="1" x14ac:dyDescent="0.2">
      <c r="A13" s="115" t="s">
        <v>24</v>
      </c>
      <c r="B13" s="414">
        <f>(53.06+0.001*25+0.0001*298)*2.2046</f>
        <v>117.09688808000001</v>
      </c>
      <c r="C13" s="414">
        <v>163.61000000000001</v>
      </c>
      <c r="D13" s="129">
        <f>B77</f>
        <v>58313.307157875613</v>
      </c>
      <c r="E13" s="130">
        <f>F77</f>
        <v>13313.540447003565</v>
      </c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</row>
    <row r="14" spans="1:16" ht="14.25" customHeight="1" x14ac:dyDescent="0.2">
      <c r="A14" s="131" t="s">
        <v>43</v>
      </c>
      <c r="B14" s="132">
        <v>0</v>
      </c>
      <c r="C14" s="133">
        <v>0</v>
      </c>
      <c r="D14" s="134">
        <v>0</v>
      </c>
      <c r="E14" s="135">
        <v>0</v>
      </c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</row>
    <row r="15" spans="1:16" ht="14.25" customHeight="1" x14ac:dyDescent="0.2">
      <c r="A15" s="136"/>
      <c r="B15" s="136"/>
      <c r="C15" s="136"/>
      <c r="D15" s="136"/>
      <c r="E15" s="113"/>
      <c r="H15" s="105"/>
      <c r="I15" s="105"/>
      <c r="J15" s="105"/>
      <c r="K15" s="105"/>
      <c r="L15" s="105"/>
      <c r="M15" s="105"/>
      <c r="N15" s="105"/>
      <c r="O15" s="105"/>
      <c r="P15" s="105"/>
    </row>
    <row r="16" spans="1:16" ht="14.25" customHeight="1" x14ac:dyDescent="0.2">
      <c r="A16" s="137" t="s">
        <v>473</v>
      </c>
      <c r="B16" s="138">
        <f>SUM('Palo Seco'!B56+'Palo Seco'!C56+'Palo Seco'!D56)</f>
        <v>5165456.84</v>
      </c>
      <c r="C16" s="138"/>
      <c r="D16" s="139" t="s">
        <v>87</v>
      </c>
      <c r="H16" s="105"/>
      <c r="I16" s="105"/>
      <c r="J16" s="105"/>
      <c r="K16" s="105"/>
      <c r="L16" s="105"/>
      <c r="M16" s="105"/>
      <c r="N16" s="105"/>
      <c r="O16" s="105"/>
      <c r="P16" s="105"/>
    </row>
    <row r="17" spans="1:21" ht="14.25" customHeight="1" x14ac:dyDescent="0.2">
      <c r="A17" s="140" t="s">
        <v>472</v>
      </c>
      <c r="B17" s="141">
        <f>'Palo Seco'!I54</f>
        <v>0</v>
      </c>
      <c r="C17" s="141"/>
      <c r="D17" s="114" t="s">
        <v>120</v>
      </c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</row>
    <row r="18" spans="1:21" ht="14.25" customHeight="1" x14ac:dyDescent="0.25">
      <c r="A18" s="88" t="s">
        <v>198</v>
      </c>
      <c r="B18" s="215">
        <f>SUM('Palo Seco'!H55)</f>
        <v>0</v>
      </c>
      <c r="D18" t="s">
        <v>122</v>
      </c>
      <c r="M18" s="105"/>
      <c r="N18" s="105"/>
      <c r="O18" s="105"/>
      <c r="P18" s="105"/>
    </row>
    <row r="19" spans="1:21" ht="14.25" customHeight="1" x14ac:dyDescent="0.2">
      <c r="A19" s="105"/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</row>
    <row r="20" spans="1:21" ht="14.25" customHeight="1" x14ac:dyDescent="0.2">
      <c r="A20" s="143" t="s">
        <v>123</v>
      </c>
      <c r="B20" s="144">
        <f>B16</f>
        <v>5165456.84</v>
      </c>
      <c r="C20" s="145"/>
      <c r="D20" s="146" t="s">
        <v>124</v>
      </c>
      <c r="E20" s="147">
        <v>0.13800000000000001</v>
      </c>
      <c r="F20" s="148" t="s">
        <v>125</v>
      </c>
      <c r="G20" s="593" t="s">
        <v>126</v>
      </c>
      <c r="H20" s="149">
        <f>C4</f>
        <v>0.1731</v>
      </c>
      <c r="I20" s="150" t="s">
        <v>127</v>
      </c>
      <c r="J20" s="149">
        <v>1</v>
      </c>
      <c r="K20" s="149" t="s">
        <v>94</v>
      </c>
      <c r="L20" s="151" t="s">
        <v>128</v>
      </c>
      <c r="M20" s="152">
        <f>B17</f>
        <v>0</v>
      </c>
      <c r="N20" s="148" t="s">
        <v>129</v>
      </c>
      <c r="O20" s="144">
        <v>1026</v>
      </c>
      <c r="P20" s="146" t="s">
        <v>130</v>
      </c>
      <c r="Q20" s="593" t="s">
        <v>126</v>
      </c>
      <c r="R20" s="149">
        <f>B4</f>
        <v>0.11</v>
      </c>
      <c r="S20" s="150" t="s">
        <v>127</v>
      </c>
      <c r="T20" s="149">
        <v>1</v>
      </c>
      <c r="U20" s="149" t="s">
        <v>94</v>
      </c>
    </row>
    <row r="21" spans="1:21" ht="14.25" customHeight="1" x14ac:dyDescent="0.2">
      <c r="A21" s="125"/>
      <c r="B21" s="1"/>
      <c r="C21" s="125"/>
      <c r="D21" s="153" t="s">
        <v>64</v>
      </c>
      <c r="E21" s="125"/>
      <c r="F21" s="154" t="s">
        <v>92</v>
      </c>
      <c r="G21" s="593"/>
      <c r="H21" s="105"/>
      <c r="I21" s="155" t="s">
        <v>131</v>
      </c>
      <c r="J21" s="156">
        <v>2000</v>
      </c>
      <c r="K21" s="105" t="s">
        <v>132</v>
      </c>
      <c r="L21" s="125"/>
      <c r="M21" s="125"/>
      <c r="N21" s="154" t="s">
        <v>64</v>
      </c>
      <c r="O21" s="157">
        <v>1000000</v>
      </c>
      <c r="P21" s="153" t="s">
        <v>73</v>
      </c>
      <c r="Q21" s="593"/>
      <c r="R21" s="105"/>
      <c r="S21" s="155" t="s">
        <v>131</v>
      </c>
      <c r="T21" s="156">
        <v>2000</v>
      </c>
      <c r="U21" s="105" t="s">
        <v>132</v>
      </c>
    </row>
    <row r="22" spans="1:21" ht="14.25" customHeight="1" x14ac:dyDescent="0.2">
      <c r="A22" s="105"/>
      <c r="B22" s="105"/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</row>
    <row r="23" spans="1:21" ht="14.25" customHeight="1" x14ac:dyDescent="0.25">
      <c r="A23" s="143"/>
      <c r="B23" s="158">
        <f>(B20*E20*H20+M20*O20*R20/1000000)/2000</f>
        <v>61.695699951276012</v>
      </c>
      <c r="C23" s="158"/>
      <c r="D23" s="105" t="s">
        <v>133</v>
      </c>
      <c r="E23" s="143" t="s">
        <v>90</v>
      </c>
      <c r="F23" s="113">
        <f>B23*(2000/8760)</f>
        <v>14.085776244583563</v>
      </c>
      <c r="G23" s="105" t="s">
        <v>134</v>
      </c>
      <c r="H23" s="159"/>
      <c r="I23" s="105"/>
      <c r="J23" s="105"/>
      <c r="K23" s="105"/>
      <c r="L23" s="105"/>
      <c r="M23" s="105"/>
      <c r="N23" s="105"/>
      <c r="O23" s="105"/>
      <c r="P23" s="105"/>
    </row>
    <row r="24" spans="1:21" ht="14.25" customHeight="1" x14ac:dyDescent="0.2">
      <c r="A24" s="105"/>
      <c r="B24" s="105"/>
      <c r="C24" s="105"/>
      <c r="D24" s="105"/>
      <c r="E24" s="105"/>
      <c r="F24" s="105"/>
      <c r="G24" s="105"/>
      <c r="H24" s="160"/>
      <c r="I24" s="160"/>
      <c r="J24" s="160"/>
      <c r="K24" s="105"/>
      <c r="L24" s="105"/>
      <c r="M24" s="105"/>
      <c r="N24" s="105"/>
      <c r="O24" s="105"/>
      <c r="P24" s="105"/>
    </row>
    <row r="25" spans="1:21" ht="14.25" customHeight="1" x14ac:dyDescent="0.2">
      <c r="A25" s="105"/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</row>
    <row r="26" spans="1:21" ht="14.25" customHeight="1" x14ac:dyDescent="0.2">
      <c r="A26" s="143" t="s">
        <v>135</v>
      </c>
      <c r="B26" s="144">
        <f>B16</f>
        <v>5165456.84</v>
      </c>
      <c r="C26" s="145"/>
      <c r="D26" s="146" t="s">
        <v>124</v>
      </c>
      <c r="E26" s="147">
        <v>0.13800000000000001</v>
      </c>
      <c r="F26" s="148" t="s">
        <v>125</v>
      </c>
      <c r="G26" s="593" t="s">
        <v>126</v>
      </c>
      <c r="H26" s="149">
        <f>C5</f>
        <v>3.4299999999999997E-2</v>
      </c>
      <c r="I26" s="150" t="s">
        <v>127</v>
      </c>
      <c r="J26" s="149">
        <v>1</v>
      </c>
      <c r="K26" s="149" t="s">
        <v>94</v>
      </c>
      <c r="L26" s="151" t="s">
        <v>128</v>
      </c>
      <c r="M26" s="152">
        <f>B17</f>
        <v>0</v>
      </c>
      <c r="N26" s="146" t="s">
        <v>129</v>
      </c>
      <c r="O26" s="145">
        <v>1026</v>
      </c>
      <c r="P26" s="146" t="s">
        <v>130</v>
      </c>
      <c r="Q26" s="1" t="s">
        <v>126</v>
      </c>
      <c r="R26" s="149">
        <f>B5</f>
        <v>7.6999999999999999E-2</v>
      </c>
      <c r="S26" s="150" t="s">
        <v>127</v>
      </c>
      <c r="T26" s="161">
        <v>1</v>
      </c>
      <c r="U26" s="149" t="s">
        <v>94</v>
      </c>
    </row>
    <row r="27" spans="1:21" ht="14.25" customHeight="1" x14ac:dyDescent="0.2">
      <c r="A27" s="125"/>
      <c r="B27" s="1"/>
      <c r="C27" s="125"/>
      <c r="D27" s="153" t="s">
        <v>64</v>
      </c>
      <c r="E27" s="125"/>
      <c r="F27" s="162" t="s">
        <v>92</v>
      </c>
      <c r="G27" s="593"/>
      <c r="H27" s="105"/>
      <c r="I27" s="155" t="s">
        <v>131</v>
      </c>
      <c r="J27" s="156">
        <v>2000</v>
      </c>
      <c r="K27" s="105" t="s">
        <v>132</v>
      </c>
      <c r="L27" s="125"/>
      <c r="M27" s="125"/>
      <c r="N27" s="153" t="s">
        <v>64</v>
      </c>
      <c r="O27" s="163">
        <v>1000000</v>
      </c>
      <c r="P27" s="153" t="s">
        <v>73</v>
      </c>
      <c r="Q27" s="1"/>
      <c r="R27" s="105"/>
      <c r="S27" s="155" t="s">
        <v>131</v>
      </c>
      <c r="T27" s="164">
        <v>2000</v>
      </c>
      <c r="U27" s="105" t="s">
        <v>132</v>
      </c>
    </row>
    <row r="28" spans="1:21" ht="14.25" customHeight="1" x14ac:dyDescent="0.2">
      <c r="A28" s="105"/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</row>
    <row r="29" spans="1:21" ht="14.25" customHeight="1" x14ac:dyDescent="0.2">
      <c r="A29" s="143"/>
      <c r="B29" s="158">
        <f>(B26*E26*H26+M26*O26*R26/1000000)/2000</f>
        <v>12.225086703228</v>
      </c>
      <c r="C29" s="158"/>
      <c r="D29" s="105" t="s">
        <v>133</v>
      </c>
      <c r="E29" s="143" t="s">
        <v>90</v>
      </c>
      <c r="F29" s="113">
        <f>B29*(2000/8760)</f>
        <v>2.7911156856684927</v>
      </c>
      <c r="G29" s="105" t="s">
        <v>134</v>
      </c>
      <c r="I29" s="105"/>
      <c r="J29" s="105"/>
      <c r="K29" s="105"/>
      <c r="L29" s="105"/>
      <c r="M29" s="105"/>
      <c r="N29" s="105"/>
      <c r="O29" s="105"/>
      <c r="P29" s="105"/>
    </row>
    <row r="30" spans="1:21" ht="14.25" customHeight="1" x14ac:dyDescent="0.2">
      <c r="A30" s="105"/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</row>
    <row r="31" spans="1:21" ht="14.25" customHeight="1" x14ac:dyDescent="0.2">
      <c r="A31" s="105"/>
      <c r="B31" s="105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</row>
    <row r="32" spans="1:21" ht="14.25" customHeight="1" x14ac:dyDescent="0.2">
      <c r="A32" s="143" t="s">
        <v>136</v>
      </c>
      <c r="B32" s="144">
        <f>B16</f>
        <v>5165456.84</v>
      </c>
      <c r="C32" s="145"/>
      <c r="D32" s="146" t="s">
        <v>124</v>
      </c>
      <c r="E32" s="147">
        <v>0.13800000000000001</v>
      </c>
      <c r="F32" s="148" t="s">
        <v>125</v>
      </c>
      <c r="G32" s="593" t="s">
        <v>126</v>
      </c>
      <c r="H32" s="149">
        <f>C6</f>
        <v>7.1000000000000004E-3</v>
      </c>
      <c r="I32" s="150" t="s">
        <v>127</v>
      </c>
      <c r="J32" s="149">
        <v>1</v>
      </c>
      <c r="K32" s="149" t="s">
        <v>94</v>
      </c>
      <c r="L32" s="151" t="s">
        <v>128</v>
      </c>
      <c r="M32" s="152">
        <f>B17</f>
        <v>0</v>
      </c>
      <c r="N32" s="146" t="s">
        <v>129</v>
      </c>
      <c r="O32" s="145">
        <v>1026</v>
      </c>
      <c r="P32" s="146" t="s">
        <v>130</v>
      </c>
      <c r="Q32" s="1" t="s">
        <v>126</v>
      </c>
      <c r="R32" s="149">
        <f>B6</f>
        <v>8.0999999999999996E-3</v>
      </c>
      <c r="S32" s="150" t="s">
        <v>127</v>
      </c>
      <c r="T32" s="149">
        <v>1</v>
      </c>
      <c r="U32" s="149" t="s">
        <v>94</v>
      </c>
    </row>
    <row r="33" spans="1:21" ht="14.25" customHeight="1" x14ac:dyDescent="0.2">
      <c r="A33" s="125"/>
      <c r="B33" s="1"/>
      <c r="C33" s="125"/>
      <c r="D33" s="153" t="s">
        <v>64</v>
      </c>
      <c r="E33" s="125"/>
      <c r="F33" s="154" t="s">
        <v>92</v>
      </c>
      <c r="G33" s="593"/>
      <c r="H33" s="105"/>
      <c r="I33" s="155" t="s">
        <v>131</v>
      </c>
      <c r="J33" s="156">
        <v>2000</v>
      </c>
      <c r="K33" s="105" t="s">
        <v>132</v>
      </c>
      <c r="L33" s="125"/>
      <c r="M33" s="125"/>
      <c r="N33" s="153" t="s">
        <v>64</v>
      </c>
      <c r="O33" s="163">
        <v>1000000</v>
      </c>
      <c r="P33" s="153" t="s">
        <v>73</v>
      </c>
      <c r="Q33" s="1"/>
      <c r="R33" s="105"/>
      <c r="S33" s="155" t="s">
        <v>131</v>
      </c>
      <c r="T33" s="156">
        <v>2000</v>
      </c>
      <c r="U33" s="105" t="s">
        <v>132</v>
      </c>
    </row>
    <row r="34" spans="1:21" ht="14.25" customHeight="1" x14ac:dyDescent="0.2">
      <c r="A34" s="105"/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</row>
    <row r="35" spans="1:21" ht="14.25" customHeight="1" x14ac:dyDescent="0.2">
      <c r="A35" s="143"/>
      <c r="B35" s="158">
        <f>(B32*E32*H32+M32*O32*R32/1000000)/2000</f>
        <v>2.5305573059160005</v>
      </c>
      <c r="C35" s="158"/>
      <c r="D35" s="105" t="s">
        <v>133</v>
      </c>
      <c r="E35" s="143" t="s">
        <v>90</v>
      </c>
      <c r="F35" s="113">
        <f>B35*(2000/8760)</f>
        <v>0.57775280956986308</v>
      </c>
      <c r="G35" s="105" t="s">
        <v>134</v>
      </c>
      <c r="I35" s="105"/>
      <c r="J35" s="105"/>
      <c r="K35" s="105"/>
      <c r="L35" s="105"/>
      <c r="M35" s="105"/>
      <c r="N35" s="105"/>
      <c r="O35" s="105"/>
      <c r="P35" s="105"/>
    </row>
    <row r="36" spans="1:21" ht="12.75" customHeight="1" x14ac:dyDescent="0.2">
      <c r="A36" s="105"/>
      <c r="B36" s="105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</row>
    <row r="37" spans="1:21" ht="14.25" customHeight="1" x14ac:dyDescent="0.2">
      <c r="A37" s="105"/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105"/>
    </row>
    <row r="38" spans="1:21" ht="14.25" customHeight="1" x14ac:dyDescent="0.2">
      <c r="A38" s="143" t="s">
        <v>137</v>
      </c>
      <c r="B38" s="144">
        <f>B16</f>
        <v>5165456.84</v>
      </c>
      <c r="C38" s="145"/>
      <c r="D38" s="146" t="s">
        <v>124</v>
      </c>
      <c r="E38" s="147">
        <v>0.13800000000000001</v>
      </c>
      <c r="F38" s="148" t="s">
        <v>125</v>
      </c>
      <c r="G38" s="593" t="s">
        <v>126</v>
      </c>
      <c r="H38" s="149">
        <f>C7</f>
        <v>1.77E-2</v>
      </c>
      <c r="I38" s="150" t="s">
        <v>127</v>
      </c>
      <c r="J38" s="149">
        <v>1</v>
      </c>
      <c r="K38" s="149" t="s">
        <v>94</v>
      </c>
      <c r="L38" s="151" t="s">
        <v>128</v>
      </c>
      <c r="M38" s="152">
        <f>B17</f>
        <v>0</v>
      </c>
      <c r="N38" s="146" t="s">
        <v>129</v>
      </c>
      <c r="O38" s="145">
        <v>1026</v>
      </c>
      <c r="P38" s="146" t="s">
        <v>130</v>
      </c>
      <c r="Q38" s="1" t="s">
        <v>126</v>
      </c>
      <c r="R38" s="415">
        <f>B7</f>
        <v>0.01</v>
      </c>
      <c r="S38" s="150" t="s">
        <v>127</v>
      </c>
      <c r="T38" s="149">
        <v>1</v>
      </c>
      <c r="U38" s="149" t="s">
        <v>94</v>
      </c>
    </row>
    <row r="39" spans="1:21" ht="14.25" customHeight="1" x14ac:dyDescent="0.2">
      <c r="A39" s="125"/>
      <c r="B39" s="1"/>
      <c r="C39" s="125"/>
      <c r="D39" s="153" t="s">
        <v>64</v>
      </c>
      <c r="E39" s="125"/>
      <c r="F39" s="154" t="s">
        <v>92</v>
      </c>
      <c r="G39" s="593"/>
      <c r="H39" s="105"/>
      <c r="I39" s="155" t="s">
        <v>131</v>
      </c>
      <c r="J39" s="156">
        <v>2000</v>
      </c>
      <c r="K39" s="105" t="s">
        <v>132</v>
      </c>
      <c r="L39" s="125"/>
      <c r="M39" s="125"/>
      <c r="N39" s="153" t="s">
        <v>64</v>
      </c>
      <c r="O39" s="163">
        <v>1000000</v>
      </c>
      <c r="P39" s="153" t="s">
        <v>73</v>
      </c>
      <c r="Q39" s="1"/>
      <c r="R39" s="105"/>
      <c r="S39" s="155" t="s">
        <v>131</v>
      </c>
      <c r="T39" s="156">
        <v>2000</v>
      </c>
      <c r="U39" s="105" t="s">
        <v>132</v>
      </c>
    </row>
    <row r="40" spans="1:21" ht="14.25" customHeight="1" x14ac:dyDescent="0.2">
      <c r="A40" s="105"/>
      <c r="B40" s="105"/>
      <c r="C40" s="105"/>
      <c r="D40" s="105"/>
      <c r="E40" s="105"/>
      <c r="F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</row>
    <row r="41" spans="1:21" ht="14.25" customHeight="1" x14ac:dyDescent="0.2">
      <c r="A41" s="143"/>
      <c r="B41" s="158">
        <f>(B38*E38*H38+M38*O38*R38/1000000)/2000</f>
        <v>6.3085724386920008</v>
      </c>
      <c r="C41" s="158"/>
      <c r="D41" s="105" t="s">
        <v>133</v>
      </c>
      <c r="E41" s="143" t="s">
        <v>90</v>
      </c>
      <c r="F41" s="113">
        <f>B41*(2000/8760)</f>
        <v>1.4403133421671235</v>
      </c>
      <c r="G41" s="105" t="s">
        <v>134</v>
      </c>
      <c r="L41" s="105" t="s">
        <v>134</v>
      </c>
      <c r="N41" s="105"/>
      <c r="O41" s="105"/>
      <c r="P41" s="105"/>
      <c r="Q41" s="105"/>
      <c r="R41" s="105"/>
      <c r="S41" s="105"/>
      <c r="T41" s="105"/>
      <c r="U41" s="105"/>
    </row>
    <row r="42" spans="1:21" ht="12" customHeight="1" x14ac:dyDescent="0.2">
      <c r="A42" s="143"/>
      <c r="B42" s="158"/>
      <c r="C42" s="158"/>
      <c r="D42" s="105"/>
      <c r="E42" s="143"/>
      <c r="F42" s="113"/>
      <c r="L42" s="105"/>
      <c r="N42" s="105"/>
      <c r="O42" s="105"/>
      <c r="P42" s="105"/>
      <c r="Q42" s="105"/>
      <c r="R42" s="105"/>
      <c r="S42" s="105"/>
      <c r="T42" s="105"/>
      <c r="U42" s="105"/>
    </row>
    <row r="43" spans="1:21" ht="14.25" customHeight="1" x14ac:dyDescent="0.2">
      <c r="A43" s="143"/>
      <c r="B43" s="158"/>
      <c r="C43" s="158"/>
      <c r="D43" s="105"/>
      <c r="E43" s="143"/>
      <c r="F43" s="113"/>
      <c r="L43" s="105"/>
      <c r="N43" s="105"/>
      <c r="O43" s="105"/>
      <c r="P43" s="105"/>
      <c r="Q43" s="105"/>
      <c r="R43" s="105"/>
      <c r="S43" s="105"/>
      <c r="T43" s="105"/>
      <c r="U43" s="105"/>
    </row>
    <row r="44" spans="1:21" ht="14.25" customHeight="1" x14ac:dyDescent="0.2">
      <c r="A44" s="143" t="s">
        <v>138</v>
      </c>
      <c r="B44" s="144">
        <f>B16</f>
        <v>5165456.84</v>
      </c>
      <c r="C44" s="145"/>
      <c r="D44" s="146" t="s">
        <v>124</v>
      </c>
      <c r="E44" s="147">
        <v>0.13800000000000001</v>
      </c>
      <c r="F44" s="148" t="s">
        <v>125</v>
      </c>
      <c r="G44" s="593" t="s">
        <v>126</v>
      </c>
      <c r="H44" s="149">
        <f>C8</f>
        <v>1.77E-2</v>
      </c>
      <c r="I44" s="150" t="s">
        <v>127</v>
      </c>
      <c r="J44" s="149">
        <v>1</v>
      </c>
      <c r="K44" s="149" t="s">
        <v>94</v>
      </c>
      <c r="L44" s="151" t="s">
        <v>128</v>
      </c>
      <c r="M44" s="152">
        <f>B17</f>
        <v>0</v>
      </c>
      <c r="N44" s="146" t="s">
        <v>129</v>
      </c>
      <c r="O44" s="145">
        <v>1026</v>
      </c>
      <c r="P44" s="146" t="s">
        <v>130</v>
      </c>
      <c r="Q44" s="1" t="s">
        <v>126</v>
      </c>
      <c r="R44" s="415">
        <f>B8</f>
        <v>0.01</v>
      </c>
      <c r="S44" s="150" t="s">
        <v>127</v>
      </c>
      <c r="T44" s="149">
        <v>1</v>
      </c>
      <c r="U44" s="149" t="s">
        <v>94</v>
      </c>
    </row>
    <row r="45" spans="1:21" ht="14.25" customHeight="1" x14ac:dyDescent="0.2">
      <c r="A45" s="125"/>
      <c r="B45" s="1"/>
      <c r="C45" s="125"/>
      <c r="D45" s="153" t="s">
        <v>64</v>
      </c>
      <c r="E45" s="125"/>
      <c r="F45" s="154" t="s">
        <v>92</v>
      </c>
      <c r="G45" s="593"/>
      <c r="H45" s="105"/>
      <c r="I45" s="155" t="s">
        <v>131</v>
      </c>
      <c r="J45" s="156">
        <v>2000</v>
      </c>
      <c r="K45" s="105" t="s">
        <v>132</v>
      </c>
      <c r="L45" s="125"/>
      <c r="M45" s="125"/>
      <c r="N45" s="153" t="s">
        <v>64</v>
      </c>
      <c r="O45" s="163">
        <v>1000000</v>
      </c>
      <c r="P45" s="153" t="s">
        <v>73</v>
      </c>
      <c r="Q45" s="1"/>
      <c r="R45" s="105"/>
      <c r="S45" s="155" t="s">
        <v>131</v>
      </c>
      <c r="T45" s="156">
        <v>2000</v>
      </c>
      <c r="U45" s="105" t="s">
        <v>132</v>
      </c>
    </row>
    <row r="46" spans="1:21" ht="14.25" customHeight="1" x14ac:dyDescent="0.2">
      <c r="A46" s="105"/>
      <c r="B46" s="105"/>
      <c r="C46" s="105"/>
      <c r="D46" s="105"/>
      <c r="E46" s="105"/>
      <c r="F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</row>
    <row r="47" spans="1:21" ht="14.25" customHeight="1" x14ac:dyDescent="0.2">
      <c r="A47" s="143"/>
      <c r="B47" s="158">
        <f>(B44*E44*H44+M44*O44*R44/1000000)/2000</f>
        <v>6.3085724386920008</v>
      </c>
      <c r="C47" s="158"/>
      <c r="D47" s="105" t="s">
        <v>133</v>
      </c>
      <c r="E47" s="143" t="s">
        <v>90</v>
      </c>
      <c r="F47" s="113">
        <f>B47*(2000/8760)</f>
        <v>1.4403133421671235</v>
      </c>
      <c r="G47" s="105" t="s">
        <v>134</v>
      </c>
      <c r="L47" s="105" t="s">
        <v>134</v>
      </c>
      <c r="N47" s="105"/>
      <c r="O47" s="105"/>
      <c r="P47" s="105"/>
      <c r="Q47" s="105"/>
      <c r="R47" s="105"/>
      <c r="S47" s="105"/>
      <c r="T47" s="105"/>
      <c r="U47" s="105"/>
    </row>
    <row r="48" spans="1:21" ht="12" customHeight="1" x14ac:dyDescent="0.2">
      <c r="A48" s="105"/>
      <c r="B48" s="105"/>
      <c r="C48" s="105"/>
      <c r="D48" s="105"/>
      <c r="E48" s="105"/>
      <c r="F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</row>
    <row r="49" spans="1:21" ht="14.25" customHeight="1" x14ac:dyDescent="0.2">
      <c r="A49" s="105"/>
      <c r="B49" s="105"/>
      <c r="C49" s="105"/>
      <c r="D49" s="105"/>
      <c r="E49" s="105"/>
      <c r="F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</row>
    <row r="50" spans="1:21" ht="14.25" customHeight="1" x14ac:dyDescent="0.2">
      <c r="A50" s="143" t="s">
        <v>139</v>
      </c>
      <c r="B50" s="144">
        <f>B16</f>
        <v>5165456.84</v>
      </c>
      <c r="C50" s="145"/>
      <c r="D50" s="146" t="s">
        <v>124</v>
      </c>
      <c r="E50" s="147">
        <v>0.13800000000000001</v>
      </c>
      <c r="F50" s="148" t="s">
        <v>125</v>
      </c>
      <c r="G50" s="593" t="s">
        <v>126</v>
      </c>
      <c r="H50" s="149">
        <f>C9</f>
        <v>1.77E-2</v>
      </c>
      <c r="I50" s="150" t="s">
        <v>127</v>
      </c>
      <c r="J50" s="149">
        <v>1</v>
      </c>
      <c r="K50" s="149" t="s">
        <v>94</v>
      </c>
      <c r="L50" s="151" t="s">
        <v>128</v>
      </c>
      <c r="M50" s="152">
        <f>B17</f>
        <v>0</v>
      </c>
      <c r="N50" s="146" t="s">
        <v>129</v>
      </c>
      <c r="O50" s="145">
        <v>1026</v>
      </c>
      <c r="P50" s="146" t="s">
        <v>130</v>
      </c>
      <c r="Q50" s="1" t="s">
        <v>126</v>
      </c>
      <c r="R50" s="415">
        <f>B9</f>
        <v>0.01</v>
      </c>
      <c r="S50" s="150" t="s">
        <v>127</v>
      </c>
      <c r="T50" s="149">
        <v>1</v>
      </c>
      <c r="U50" s="149" t="s">
        <v>94</v>
      </c>
    </row>
    <row r="51" spans="1:21" ht="14.25" customHeight="1" x14ac:dyDescent="0.2">
      <c r="A51" s="125"/>
      <c r="B51" s="1"/>
      <c r="C51" s="125"/>
      <c r="D51" s="153" t="s">
        <v>64</v>
      </c>
      <c r="E51" s="125"/>
      <c r="F51" s="154" t="s">
        <v>92</v>
      </c>
      <c r="G51" s="593"/>
      <c r="H51" s="105"/>
      <c r="I51" s="155" t="s">
        <v>131</v>
      </c>
      <c r="J51" s="156">
        <v>2000</v>
      </c>
      <c r="K51" s="105" t="s">
        <v>132</v>
      </c>
      <c r="L51" s="125"/>
      <c r="M51" s="125"/>
      <c r="N51" s="153" t="s">
        <v>64</v>
      </c>
      <c r="O51" s="163">
        <v>1000000</v>
      </c>
      <c r="P51" s="153" t="s">
        <v>73</v>
      </c>
      <c r="Q51" s="1"/>
      <c r="R51" s="105"/>
      <c r="S51" s="155" t="s">
        <v>131</v>
      </c>
      <c r="T51" s="156">
        <v>2000</v>
      </c>
      <c r="U51" s="105" t="s">
        <v>132</v>
      </c>
    </row>
    <row r="52" spans="1:21" ht="14.25" customHeight="1" x14ac:dyDescent="0.2">
      <c r="A52" s="105"/>
      <c r="B52" s="105"/>
      <c r="C52" s="105"/>
      <c r="D52" s="105"/>
      <c r="E52" s="105"/>
      <c r="F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</row>
    <row r="53" spans="1:21" ht="14.25" customHeight="1" x14ac:dyDescent="0.2">
      <c r="A53" s="143"/>
      <c r="B53" s="158">
        <f>(B50*E50*H50+M50*O50*R50/1000000)/2000</f>
        <v>6.3085724386920008</v>
      </c>
      <c r="C53" s="158"/>
      <c r="D53" s="105" t="s">
        <v>133</v>
      </c>
      <c r="E53" s="143" t="s">
        <v>90</v>
      </c>
      <c r="F53" s="113">
        <f>B53*(2000/8760)</f>
        <v>1.4403133421671235</v>
      </c>
      <c r="G53" s="105" t="s">
        <v>134</v>
      </c>
      <c r="L53" s="105" t="s">
        <v>134</v>
      </c>
      <c r="N53" s="105"/>
      <c r="O53" s="105"/>
      <c r="P53" s="105"/>
      <c r="Q53" s="105"/>
      <c r="R53" s="105"/>
      <c r="S53" s="105"/>
      <c r="T53" s="105"/>
      <c r="U53" s="105"/>
    </row>
    <row r="54" spans="1:21" ht="14.25" customHeight="1" x14ac:dyDescent="0.2">
      <c r="A54" s="105"/>
      <c r="B54" s="105"/>
      <c r="C54" s="105"/>
      <c r="D54" s="105"/>
      <c r="E54" s="105"/>
      <c r="F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</row>
    <row r="55" spans="1:21" ht="14.25" customHeight="1" x14ac:dyDescent="0.2">
      <c r="A55" s="105"/>
      <c r="B55" s="105"/>
      <c r="C55" s="105"/>
      <c r="D55" s="105"/>
      <c r="E55" s="105"/>
      <c r="F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</row>
    <row r="56" spans="1:21" ht="14.25" customHeight="1" x14ac:dyDescent="0.2">
      <c r="A56" s="143" t="s">
        <v>140</v>
      </c>
      <c r="B56" s="144">
        <f>B16</f>
        <v>5165456.84</v>
      </c>
      <c r="C56" s="145"/>
      <c r="D56" s="146" t="s">
        <v>124</v>
      </c>
      <c r="E56" s="147">
        <v>0.13800000000000001</v>
      </c>
      <c r="F56" s="148" t="s">
        <v>125</v>
      </c>
      <c r="G56" s="593" t="s">
        <v>126</v>
      </c>
      <c r="H56" s="149">
        <f>C10</f>
        <v>1.5E-3</v>
      </c>
      <c r="I56" s="150" t="s">
        <v>127</v>
      </c>
      <c r="J56" s="149">
        <v>1</v>
      </c>
      <c r="K56" s="149" t="s">
        <v>94</v>
      </c>
      <c r="L56" s="151" t="s">
        <v>128</v>
      </c>
      <c r="M56" s="152">
        <f>B17</f>
        <v>0</v>
      </c>
      <c r="N56" s="146" t="s">
        <v>129</v>
      </c>
      <c r="O56" s="145">
        <v>1026</v>
      </c>
      <c r="P56" s="146" t="s">
        <v>130</v>
      </c>
      <c r="Q56" s="1" t="s">
        <v>126</v>
      </c>
      <c r="R56" s="415">
        <f>B10</f>
        <v>2.7847396268448903E-3</v>
      </c>
      <c r="S56" s="150" t="s">
        <v>127</v>
      </c>
      <c r="T56" s="149">
        <v>1</v>
      </c>
      <c r="U56" s="149" t="s">
        <v>94</v>
      </c>
    </row>
    <row r="57" spans="1:21" ht="14.25" customHeight="1" x14ac:dyDescent="0.2">
      <c r="A57" s="125"/>
      <c r="B57" s="1"/>
      <c r="C57" s="125"/>
      <c r="D57" s="153" t="s">
        <v>64</v>
      </c>
      <c r="E57" s="125"/>
      <c r="F57" s="154" t="s">
        <v>92</v>
      </c>
      <c r="G57" s="593"/>
      <c r="H57" s="105"/>
      <c r="I57" s="155" t="s">
        <v>131</v>
      </c>
      <c r="J57" s="156">
        <v>2000</v>
      </c>
      <c r="K57" s="105" t="s">
        <v>132</v>
      </c>
      <c r="L57" s="125"/>
      <c r="M57" s="125"/>
      <c r="N57" s="153" t="s">
        <v>64</v>
      </c>
      <c r="O57" s="163">
        <v>1000000</v>
      </c>
      <c r="P57" s="153" t="s">
        <v>73</v>
      </c>
      <c r="Q57" s="1"/>
      <c r="R57" s="105"/>
      <c r="S57" s="155" t="s">
        <v>131</v>
      </c>
      <c r="T57" s="156">
        <v>2000</v>
      </c>
      <c r="U57" s="105" t="s">
        <v>132</v>
      </c>
    </row>
    <row r="58" spans="1:21" ht="14.25" customHeight="1" x14ac:dyDescent="0.2">
      <c r="A58" s="105"/>
      <c r="B58" s="105"/>
      <c r="C58" s="105"/>
      <c r="D58" s="105"/>
      <c r="E58" s="105"/>
      <c r="F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</row>
    <row r="59" spans="1:21" ht="14.25" customHeight="1" x14ac:dyDescent="0.2">
      <c r="A59" s="143"/>
      <c r="B59" s="158">
        <f>(B56*E56*H56+M56*O56*R56/1000000)/2000</f>
        <v>0.53462478294000004</v>
      </c>
      <c r="C59" s="158"/>
      <c r="D59" s="105" t="s">
        <v>133</v>
      </c>
      <c r="E59" s="143" t="s">
        <v>90</v>
      </c>
      <c r="F59" s="113">
        <f>B59*(2000/8760)</f>
        <v>0.1220604527260274</v>
      </c>
      <c r="G59" s="105" t="s">
        <v>134</v>
      </c>
      <c r="L59" s="105" t="s">
        <v>134</v>
      </c>
      <c r="N59" s="105"/>
      <c r="O59" s="105"/>
      <c r="P59" s="105"/>
      <c r="Q59" s="105"/>
      <c r="R59" s="105"/>
      <c r="S59" s="105"/>
      <c r="T59" s="105"/>
      <c r="U59" s="105"/>
    </row>
    <row r="60" spans="1:21" ht="14.25" customHeight="1" x14ac:dyDescent="0.2">
      <c r="A60" s="105"/>
      <c r="B60" s="105"/>
      <c r="C60" s="105"/>
      <c r="D60" s="105"/>
      <c r="E60" s="105"/>
      <c r="F60" s="105"/>
      <c r="L60" s="105"/>
      <c r="M60" s="105"/>
      <c r="N60" s="105"/>
      <c r="O60" s="105"/>
      <c r="P60" s="105"/>
      <c r="Q60" s="105"/>
      <c r="R60" s="105"/>
      <c r="S60" s="105"/>
      <c r="T60" s="105"/>
      <c r="U60" s="105"/>
    </row>
    <row r="61" spans="1:21" ht="14.25" customHeight="1" x14ac:dyDescent="0.2">
      <c r="A61" s="105"/>
      <c r="B61" s="105"/>
      <c r="C61" s="105"/>
      <c r="D61" s="105"/>
      <c r="E61" s="105"/>
      <c r="F61" s="105"/>
      <c r="L61" s="105"/>
      <c r="M61" s="105"/>
      <c r="N61" s="105"/>
      <c r="O61" s="105"/>
      <c r="P61" s="105"/>
      <c r="Q61" s="105"/>
      <c r="R61" s="105"/>
      <c r="S61" s="105"/>
      <c r="T61" s="105"/>
      <c r="U61" s="105"/>
    </row>
    <row r="62" spans="1:21" ht="14.25" customHeight="1" x14ac:dyDescent="0.2">
      <c r="A62" s="143" t="s">
        <v>142</v>
      </c>
      <c r="B62" s="144">
        <f>B16</f>
        <v>5165456.84</v>
      </c>
      <c r="C62" s="145"/>
      <c r="D62" s="146" t="s">
        <v>124</v>
      </c>
      <c r="E62" s="147">
        <v>0.13800000000000001</v>
      </c>
      <c r="F62" s="148" t="s">
        <v>125</v>
      </c>
      <c r="G62" s="593" t="s">
        <v>126</v>
      </c>
      <c r="H62" s="416">
        <f>C11</f>
        <v>2.2968750000000002E-4</v>
      </c>
      <c r="I62" s="150" t="s">
        <v>127</v>
      </c>
      <c r="J62" s="149">
        <v>1</v>
      </c>
      <c r="K62" s="149" t="s">
        <v>94</v>
      </c>
      <c r="L62" s="151" t="s">
        <v>128</v>
      </c>
      <c r="M62" s="152">
        <f>B17</f>
        <v>0</v>
      </c>
      <c r="N62" s="146" t="s">
        <v>129</v>
      </c>
      <c r="O62" s="145">
        <v>1026</v>
      </c>
      <c r="P62" s="146" t="s">
        <v>130</v>
      </c>
      <c r="Q62" s="1" t="s">
        <v>126</v>
      </c>
      <c r="R62" s="416">
        <f>B11</f>
        <v>4.2641325536062387E-4</v>
      </c>
      <c r="S62" s="150" t="s">
        <v>127</v>
      </c>
      <c r="T62" s="149">
        <v>1</v>
      </c>
      <c r="U62" s="149" t="s">
        <v>94</v>
      </c>
    </row>
    <row r="63" spans="1:21" ht="14.25" customHeight="1" x14ac:dyDescent="0.2">
      <c r="A63" s="125"/>
      <c r="B63" s="1"/>
      <c r="C63" s="125"/>
      <c r="D63" s="153" t="s">
        <v>64</v>
      </c>
      <c r="E63" s="125"/>
      <c r="F63" s="154" t="s">
        <v>92</v>
      </c>
      <c r="G63" s="593"/>
      <c r="H63" s="105"/>
      <c r="I63" s="155" t="s">
        <v>131</v>
      </c>
      <c r="J63" s="156">
        <v>2000</v>
      </c>
      <c r="K63" s="105" t="s">
        <v>132</v>
      </c>
      <c r="L63" s="125"/>
      <c r="M63" s="125"/>
      <c r="N63" s="153" t="s">
        <v>64</v>
      </c>
      <c r="O63" s="163">
        <v>1000000</v>
      </c>
      <c r="P63" s="153" t="s">
        <v>73</v>
      </c>
      <c r="Q63" s="1"/>
      <c r="R63" s="105"/>
      <c r="S63" s="155" t="s">
        <v>131</v>
      </c>
      <c r="T63" s="156">
        <v>2000</v>
      </c>
      <c r="U63" s="105" t="s">
        <v>132</v>
      </c>
    </row>
    <row r="64" spans="1:21" ht="14.25" customHeight="1" x14ac:dyDescent="0.2">
      <c r="A64" s="105"/>
      <c r="B64" s="105"/>
      <c r="C64" s="105"/>
      <c r="D64" s="105"/>
      <c r="E64" s="105"/>
      <c r="F64" s="105"/>
      <c r="L64" s="105"/>
      <c r="M64" s="105"/>
      <c r="N64" s="105"/>
      <c r="O64" s="105"/>
      <c r="P64" s="105"/>
      <c r="Q64" s="105"/>
      <c r="R64" s="105"/>
      <c r="S64" s="105"/>
      <c r="T64" s="105"/>
      <c r="U64" s="105"/>
    </row>
    <row r="65" spans="1:21" ht="14.25" customHeight="1" x14ac:dyDescent="0.2">
      <c r="A65" s="143"/>
      <c r="B65" s="158">
        <f>(B62*E62*H62+M62*O62*R62/1000000)/2000</f>
        <v>8.1864419887687515E-2</v>
      </c>
      <c r="C65" s="158"/>
      <c r="D65" s="105" t="s">
        <v>133</v>
      </c>
      <c r="E65" s="143" t="s">
        <v>90</v>
      </c>
      <c r="F65" s="113">
        <f>B65*(2000/8760)</f>
        <v>1.8690506823672948E-2</v>
      </c>
      <c r="G65" s="105" t="s">
        <v>134</v>
      </c>
      <c r="L65" s="105" t="s">
        <v>134</v>
      </c>
      <c r="N65" s="105"/>
      <c r="O65" s="105"/>
      <c r="P65" s="105"/>
      <c r="Q65" s="105"/>
      <c r="R65" s="105"/>
      <c r="S65" s="105"/>
      <c r="T65" s="105"/>
      <c r="U65" s="105"/>
    </row>
    <row r="66" spans="1:21" ht="14.25" customHeight="1" x14ac:dyDescent="0.2">
      <c r="A66" s="105"/>
      <c r="B66" s="105"/>
      <c r="C66" s="105"/>
      <c r="D66" s="105"/>
      <c r="E66" s="105"/>
      <c r="F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</row>
    <row r="67" spans="1:21" ht="14.25" customHeight="1" x14ac:dyDescent="0.2">
      <c r="A67" s="105"/>
      <c r="B67" s="105"/>
      <c r="C67" s="105"/>
      <c r="D67" s="105"/>
      <c r="E67" s="105"/>
      <c r="F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</row>
    <row r="68" spans="1:21" ht="14.25" customHeight="1" x14ac:dyDescent="0.2">
      <c r="A68" s="143" t="s">
        <v>143</v>
      </c>
      <c r="B68" s="144">
        <f>B16</f>
        <v>5165456.84</v>
      </c>
      <c r="C68" s="145"/>
      <c r="D68" s="146" t="s">
        <v>124</v>
      </c>
      <c r="E68" s="147">
        <v>0.13800000000000001</v>
      </c>
      <c r="F68" s="148" t="s">
        <v>125</v>
      </c>
      <c r="G68" s="593" t="s">
        <v>126</v>
      </c>
      <c r="H68" s="165">
        <f>C12</f>
        <v>1.4E-5</v>
      </c>
      <c r="I68" s="150" t="s">
        <v>127</v>
      </c>
      <c r="J68" s="149">
        <v>1</v>
      </c>
      <c r="K68" s="149" t="s">
        <v>94</v>
      </c>
      <c r="L68" s="151" t="s">
        <v>128</v>
      </c>
      <c r="M68" s="152">
        <f>B17</f>
        <v>0</v>
      </c>
      <c r="N68" s="146" t="s">
        <v>129</v>
      </c>
      <c r="O68" s="145">
        <v>1026</v>
      </c>
      <c r="P68" s="146" t="s">
        <v>130</v>
      </c>
      <c r="Q68" s="1" t="s">
        <v>126</v>
      </c>
      <c r="R68" s="149">
        <f>B12</f>
        <v>0</v>
      </c>
      <c r="S68" s="150" t="s">
        <v>127</v>
      </c>
      <c r="T68" s="149">
        <v>1</v>
      </c>
      <c r="U68" s="149" t="s">
        <v>94</v>
      </c>
    </row>
    <row r="69" spans="1:21" ht="14.25" customHeight="1" x14ac:dyDescent="0.2">
      <c r="A69" s="125"/>
      <c r="B69" s="1"/>
      <c r="C69" s="125"/>
      <c r="D69" s="153" t="s">
        <v>64</v>
      </c>
      <c r="E69" s="125"/>
      <c r="F69" s="154" t="s">
        <v>92</v>
      </c>
      <c r="G69" s="593"/>
      <c r="H69" s="105"/>
      <c r="I69" s="155" t="s">
        <v>131</v>
      </c>
      <c r="J69" s="156">
        <v>2000</v>
      </c>
      <c r="K69" s="105" t="s">
        <v>132</v>
      </c>
      <c r="L69" s="125"/>
      <c r="M69" s="125"/>
      <c r="N69" s="153" t="s">
        <v>64</v>
      </c>
      <c r="O69" s="163">
        <v>1000000</v>
      </c>
      <c r="P69" s="153" t="s">
        <v>73</v>
      </c>
      <c r="Q69" s="1"/>
      <c r="R69" s="105"/>
      <c r="S69" s="155" t="s">
        <v>131</v>
      </c>
      <c r="T69" s="156">
        <v>2000</v>
      </c>
      <c r="U69" s="105" t="s">
        <v>132</v>
      </c>
    </row>
    <row r="70" spans="1:21" ht="14.25" customHeight="1" x14ac:dyDescent="0.2">
      <c r="A70" s="105"/>
      <c r="B70" s="105"/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05"/>
      <c r="P70" s="105"/>
    </row>
    <row r="71" spans="1:21" ht="14.25" customHeight="1" x14ac:dyDescent="0.2">
      <c r="A71" s="143"/>
      <c r="B71" s="158">
        <f>(B68*E68*H68+M68*O68*R68/1000000)/2000</f>
        <v>4.9898313074400007E-3</v>
      </c>
      <c r="C71" s="158"/>
      <c r="D71" s="105" t="s">
        <v>133</v>
      </c>
      <c r="E71" s="143" t="s">
        <v>90</v>
      </c>
      <c r="F71" s="113">
        <f>B71*(2000/8760)</f>
        <v>1.1392308921095891E-3</v>
      </c>
      <c r="G71" s="105" t="s">
        <v>134</v>
      </c>
      <c r="I71" s="105"/>
      <c r="J71" s="105"/>
      <c r="K71" s="105"/>
      <c r="L71" s="105"/>
      <c r="M71" s="105"/>
      <c r="N71" s="105"/>
      <c r="O71" s="105"/>
      <c r="P71" s="105"/>
    </row>
    <row r="74" spans="1:21" ht="14.25" customHeight="1" x14ac:dyDescent="0.2">
      <c r="A74" s="143" t="s">
        <v>144</v>
      </c>
      <c r="B74" s="144">
        <f>B16</f>
        <v>5165456.84</v>
      </c>
      <c r="C74" s="145"/>
      <c r="D74" s="146" t="s">
        <v>124</v>
      </c>
      <c r="E74" s="147">
        <v>0.13800000000000001</v>
      </c>
      <c r="F74" s="148" t="s">
        <v>125</v>
      </c>
      <c r="G74" s="593" t="s">
        <v>126</v>
      </c>
      <c r="H74" s="417">
        <f>C13</f>
        <v>163.61000000000001</v>
      </c>
      <c r="I74" s="150" t="s">
        <v>127</v>
      </c>
      <c r="J74" s="149">
        <v>1</v>
      </c>
      <c r="K74" s="149" t="s">
        <v>94</v>
      </c>
      <c r="L74" s="151" t="s">
        <v>128</v>
      </c>
      <c r="M74" s="152">
        <f>B17</f>
        <v>0</v>
      </c>
      <c r="N74" s="146" t="s">
        <v>129</v>
      </c>
      <c r="O74" s="145">
        <v>1026</v>
      </c>
      <c r="P74" s="146" t="s">
        <v>130</v>
      </c>
      <c r="Q74" s="1" t="s">
        <v>126</v>
      </c>
      <c r="R74" s="417">
        <f>B13</f>
        <v>117.09688808000001</v>
      </c>
      <c r="S74" s="150" t="s">
        <v>127</v>
      </c>
      <c r="T74" s="149">
        <v>1</v>
      </c>
      <c r="U74" s="149" t="s">
        <v>94</v>
      </c>
    </row>
    <row r="75" spans="1:21" ht="14.25" customHeight="1" x14ac:dyDescent="0.2">
      <c r="A75" s="125"/>
      <c r="B75" s="1"/>
      <c r="C75" s="125"/>
      <c r="D75" s="153" t="s">
        <v>64</v>
      </c>
      <c r="E75" s="125"/>
      <c r="F75" s="154" t="s">
        <v>92</v>
      </c>
      <c r="G75" s="593"/>
      <c r="H75" s="105"/>
      <c r="I75" s="155" t="s">
        <v>131</v>
      </c>
      <c r="J75" s="156">
        <v>2000</v>
      </c>
      <c r="K75" s="105" t="s">
        <v>132</v>
      </c>
      <c r="L75" s="125"/>
      <c r="M75" s="125"/>
      <c r="N75" s="153" t="s">
        <v>64</v>
      </c>
      <c r="O75" s="163">
        <v>1000000</v>
      </c>
      <c r="P75" s="153" t="s">
        <v>73</v>
      </c>
      <c r="Q75" s="1"/>
      <c r="R75" s="105"/>
      <c r="S75" s="155" t="s">
        <v>131</v>
      </c>
      <c r="T75" s="156">
        <v>2000</v>
      </c>
      <c r="U75" s="105" t="s">
        <v>132</v>
      </c>
    </row>
    <row r="76" spans="1:21" ht="14.25" customHeight="1" x14ac:dyDescent="0.2">
      <c r="A76" s="105"/>
      <c r="B76" s="105"/>
      <c r="C76" s="105"/>
      <c r="D76" s="105"/>
      <c r="E76" s="105"/>
      <c r="F76" s="105"/>
      <c r="G76" s="105"/>
      <c r="H76" s="105"/>
      <c r="I76" s="105"/>
      <c r="J76" s="105"/>
      <c r="K76" s="105"/>
      <c r="L76" s="105"/>
      <c r="M76" s="105"/>
      <c r="N76" s="105"/>
      <c r="O76" s="105"/>
      <c r="P76" s="105"/>
    </row>
    <row r="77" spans="1:21" ht="14.25" customHeight="1" x14ac:dyDescent="0.2">
      <c r="A77" s="143"/>
      <c r="B77" s="158">
        <f>(B74*E74*H74+M74*O74*R74/1000000)/2000</f>
        <v>58313.307157875613</v>
      </c>
      <c r="C77" s="158"/>
      <c r="D77" s="105" t="s">
        <v>133</v>
      </c>
      <c r="E77" s="143" t="s">
        <v>90</v>
      </c>
      <c r="F77" s="113">
        <f>B77*(2000/8760)</f>
        <v>13313.540447003565</v>
      </c>
      <c r="G77" s="105" t="s">
        <v>134</v>
      </c>
      <c r="I77" s="105"/>
      <c r="J77" s="105"/>
      <c r="K77" s="105"/>
      <c r="L77" s="105"/>
      <c r="M77" s="105"/>
      <c r="N77" s="105"/>
      <c r="O77" s="105"/>
      <c r="P77" s="105"/>
    </row>
    <row r="78" spans="1:21" ht="14.25" customHeight="1" x14ac:dyDescent="0.2">
      <c r="A78" s="105"/>
    </row>
    <row r="79" spans="1:21" ht="14.25" customHeight="1" x14ac:dyDescent="0.2">
      <c r="A79" s="105"/>
      <c r="B79" s="105"/>
      <c r="C79" s="105"/>
      <c r="D79" s="105"/>
      <c r="E79" s="105"/>
      <c r="F79" s="105"/>
      <c r="L79" s="105"/>
      <c r="M79" s="105"/>
      <c r="N79" s="105"/>
      <c r="O79" s="105"/>
      <c r="P79" s="105"/>
      <c r="Q79" s="105"/>
      <c r="R79" s="105"/>
      <c r="S79" s="105"/>
      <c r="T79" s="105"/>
      <c r="U79" s="105"/>
    </row>
    <row r="80" spans="1:21" ht="14.25" customHeight="1" x14ac:dyDescent="0.2">
      <c r="A80" s="86"/>
      <c r="B80" s="82" t="s">
        <v>145</v>
      </c>
      <c r="C80" s="82"/>
      <c r="D80" s="82"/>
      <c r="E80" s="82"/>
      <c r="F80" s="82"/>
      <c r="G80" s="82"/>
      <c r="H80" s="82"/>
      <c r="I80" s="82"/>
      <c r="J80" s="82"/>
      <c r="K80" s="86"/>
      <c r="L80" s="86"/>
      <c r="M80" s="86"/>
      <c r="N80" s="86"/>
      <c r="O80" s="86"/>
      <c r="P80" s="86"/>
    </row>
    <row r="81" spans="2:10" ht="14.25" customHeight="1" x14ac:dyDescent="0.2">
      <c r="B81" s="82" t="s">
        <v>146</v>
      </c>
      <c r="C81" s="82"/>
      <c r="D81" s="82"/>
      <c r="E81" s="82"/>
      <c r="F81" s="82"/>
      <c r="G81" s="82"/>
      <c r="H81" s="82"/>
      <c r="I81" s="82"/>
      <c r="J81" s="82"/>
    </row>
    <row r="82" spans="2:10" ht="14.25" customHeight="1" x14ac:dyDescent="0.2">
      <c r="B82" s="82" t="s">
        <v>274</v>
      </c>
      <c r="C82" s="82"/>
      <c r="D82" s="82"/>
      <c r="E82" s="82"/>
      <c r="F82" s="82"/>
      <c r="G82" s="82"/>
      <c r="H82" s="82"/>
      <c r="I82" s="82"/>
      <c r="J82" s="82"/>
    </row>
    <row r="83" spans="2:10" ht="14.25" customHeight="1" x14ac:dyDescent="0.2">
      <c r="B83" s="82" t="s">
        <v>148</v>
      </c>
      <c r="C83" s="82"/>
      <c r="D83" s="86"/>
      <c r="E83" s="86"/>
      <c r="F83" s="86"/>
      <c r="G83" s="86"/>
      <c r="H83" s="86"/>
      <c r="I83" s="86"/>
      <c r="J83" s="86"/>
    </row>
  </sheetData>
  <mergeCells count="13">
    <mergeCell ref="A1:P1"/>
    <mergeCell ref="F6:N6"/>
    <mergeCell ref="G20:G21"/>
    <mergeCell ref="Q20:Q21"/>
    <mergeCell ref="G26:G27"/>
    <mergeCell ref="G62:G63"/>
    <mergeCell ref="G68:G69"/>
    <mergeCell ref="G74:G75"/>
    <mergeCell ref="G32:G33"/>
    <mergeCell ref="G38:G39"/>
    <mergeCell ref="G44:G45"/>
    <mergeCell ref="G50:G51"/>
    <mergeCell ref="G56:G57"/>
  </mergeCells>
  <pageMargins left="0.7" right="0.7" top="0.75" bottom="0.75" header="0.511811023622047" footer="0.511811023622047"/>
  <pageSetup paperSize="9" orientation="portrait" horizontalDpi="300" verticalDpi="300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3:AF40"/>
  <sheetViews>
    <sheetView zoomScaleNormal="100" workbookViewId="0">
      <selection sqref="A1:O1"/>
    </sheetView>
  </sheetViews>
  <sheetFormatPr defaultColWidth="8.85546875" defaultRowHeight="15" x14ac:dyDescent="0.25"/>
  <cols>
    <col min="1" max="1" width="10.7109375" style="418" customWidth="1"/>
    <col min="2" max="2" width="15.140625" style="418" customWidth="1"/>
    <col min="3" max="3" width="14.7109375" style="418" customWidth="1"/>
    <col min="4" max="4" width="14.5703125" style="418" customWidth="1"/>
    <col min="5" max="5" width="15" style="418" customWidth="1"/>
    <col min="6" max="6" width="13.5703125" style="418" customWidth="1"/>
    <col min="7" max="7" width="13.28515625" style="418" customWidth="1"/>
    <col min="8" max="8" width="13.7109375" style="418" customWidth="1"/>
    <col min="9" max="9" width="15" style="418" customWidth="1"/>
    <col min="10" max="10" width="14.140625" style="418" customWidth="1"/>
    <col min="11" max="11" width="12.85546875" style="418" customWidth="1"/>
    <col min="12" max="12" width="8.85546875" style="418"/>
    <col min="13" max="13" width="13.5703125" style="418" customWidth="1"/>
    <col min="14" max="14" width="12.85546875" style="418" customWidth="1"/>
    <col min="15" max="15" width="14.7109375" style="418" customWidth="1"/>
    <col min="16" max="19" width="8.85546875" style="418"/>
    <col min="20" max="20" width="12.28515625" style="418" customWidth="1"/>
    <col min="21" max="21" width="19" style="418" customWidth="1"/>
    <col min="22" max="22" width="14.42578125" style="418" customWidth="1"/>
    <col min="23" max="16384" width="8.85546875" style="418"/>
  </cols>
  <sheetData>
    <row r="3" spans="1:32" ht="14.25" customHeight="1" x14ac:dyDescent="0.25">
      <c r="A3" s="612" t="s">
        <v>275</v>
      </c>
      <c r="B3" s="612"/>
      <c r="C3" s="612"/>
      <c r="E3" s="612" t="s">
        <v>276</v>
      </c>
      <c r="F3" s="612"/>
      <c r="G3" s="612"/>
      <c r="I3" s="612" t="s">
        <v>277</v>
      </c>
      <c r="J3" s="612"/>
      <c r="K3" s="612"/>
      <c r="M3" s="612" t="s">
        <v>474</v>
      </c>
      <c r="N3" s="612"/>
      <c r="O3" s="612"/>
    </row>
    <row r="4" spans="1:32" ht="14.25" customHeight="1" x14ac:dyDescent="0.25">
      <c r="A4" s="612" t="s">
        <v>63</v>
      </c>
      <c r="B4" s="612"/>
      <c r="C4" s="612"/>
      <c r="E4" s="612" t="s">
        <v>63</v>
      </c>
      <c r="F4" s="612"/>
      <c r="G4" s="612"/>
      <c r="I4" s="612" t="s">
        <v>63</v>
      </c>
      <c r="J4" s="612"/>
      <c r="K4" s="612"/>
      <c r="M4" s="612" t="s">
        <v>63</v>
      </c>
      <c r="N4" s="612"/>
      <c r="O4" s="612"/>
      <c r="T4" s="420" t="s">
        <v>278</v>
      </c>
    </row>
    <row r="5" spans="1:32" ht="14.25" customHeight="1" x14ac:dyDescent="0.25">
      <c r="A5" s="421" t="s">
        <v>64</v>
      </c>
      <c r="B5" s="419" t="s">
        <v>279</v>
      </c>
      <c r="C5" s="419" t="s">
        <v>280</v>
      </c>
      <c r="E5" s="421" t="s">
        <v>64</v>
      </c>
      <c r="F5" s="421" t="s">
        <v>281</v>
      </c>
      <c r="G5" s="421" t="s">
        <v>282</v>
      </c>
      <c r="I5" s="419" t="s">
        <v>283</v>
      </c>
      <c r="J5" s="419" t="s">
        <v>284</v>
      </c>
      <c r="K5" s="419" t="s">
        <v>285</v>
      </c>
      <c r="M5" s="419" t="s">
        <v>64</v>
      </c>
      <c r="N5" s="422" t="s">
        <v>286</v>
      </c>
      <c r="O5" s="422" t="s">
        <v>287</v>
      </c>
      <c r="T5" s="423"/>
      <c r="U5" s="424" t="s">
        <v>288</v>
      </c>
      <c r="V5" s="424" t="s">
        <v>289</v>
      </c>
      <c r="W5" s="425" t="s">
        <v>286</v>
      </c>
      <c r="X5" s="425" t="s">
        <v>287</v>
      </c>
      <c r="Y5" s="426" t="s">
        <v>290</v>
      </c>
      <c r="Z5" s="426" t="s">
        <v>291</v>
      </c>
      <c r="AA5" s="426" t="s">
        <v>292</v>
      </c>
      <c r="AB5" s="426" t="s">
        <v>293</v>
      </c>
      <c r="AC5" s="424" t="s">
        <v>279</v>
      </c>
      <c r="AD5" s="424" t="s">
        <v>280</v>
      </c>
      <c r="AE5" s="425" t="s">
        <v>284</v>
      </c>
      <c r="AF5" s="425" t="s">
        <v>285</v>
      </c>
    </row>
    <row r="6" spans="1:32" ht="14.25" customHeight="1" x14ac:dyDescent="0.25">
      <c r="A6" s="330">
        <v>45292</v>
      </c>
      <c r="B6" s="220">
        <v>0</v>
      </c>
      <c r="C6" s="331">
        <v>0</v>
      </c>
      <c r="E6" s="330">
        <v>45292</v>
      </c>
      <c r="F6" s="220">
        <v>6790.9</v>
      </c>
      <c r="G6" s="427">
        <v>6337.26</v>
      </c>
      <c r="I6" s="330">
        <v>45292</v>
      </c>
      <c r="J6" s="428">
        <v>0</v>
      </c>
      <c r="K6" s="429">
        <v>4312.42</v>
      </c>
      <c r="M6" s="330">
        <v>45292</v>
      </c>
      <c r="N6" s="221">
        <v>0</v>
      </c>
      <c r="O6" s="331">
        <v>0</v>
      </c>
      <c r="T6" s="330">
        <v>45292</v>
      </c>
      <c r="U6" s="430">
        <v>0.01</v>
      </c>
      <c r="V6" s="430">
        <v>0.01</v>
      </c>
      <c r="W6" s="430">
        <v>0.01</v>
      </c>
      <c r="X6" s="430">
        <v>0.01</v>
      </c>
      <c r="Y6" s="430">
        <v>0.01</v>
      </c>
      <c r="Z6" s="430">
        <v>0.01</v>
      </c>
      <c r="AA6" s="430">
        <v>0.01</v>
      </c>
      <c r="AB6" s="430">
        <v>0.01</v>
      </c>
      <c r="AC6" s="430">
        <v>0.01</v>
      </c>
      <c r="AD6" s="430">
        <v>0.01</v>
      </c>
      <c r="AE6" s="430">
        <v>0.01</v>
      </c>
      <c r="AF6" s="430">
        <v>0.01</v>
      </c>
    </row>
    <row r="7" spans="1:32" ht="14.25" customHeight="1" x14ac:dyDescent="0.25">
      <c r="A7" s="332">
        <v>45323</v>
      </c>
      <c r="B7" s="226">
        <v>0</v>
      </c>
      <c r="C7" s="333">
        <v>0</v>
      </c>
      <c r="E7" s="332">
        <v>45323</v>
      </c>
      <c r="F7" s="226">
        <v>4753.79</v>
      </c>
      <c r="G7" s="431">
        <v>4208.76</v>
      </c>
      <c r="I7" s="332">
        <v>45323</v>
      </c>
      <c r="J7" s="226">
        <v>0</v>
      </c>
      <c r="K7" s="333">
        <v>3017.06</v>
      </c>
      <c r="M7" s="332">
        <v>45323</v>
      </c>
      <c r="N7" s="232">
        <v>0</v>
      </c>
      <c r="O7" s="333">
        <v>3480.88</v>
      </c>
      <c r="T7" s="332">
        <v>45323</v>
      </c>
      <c r="U7" s="430">
        <v>0.01</v>
      </c>
      <c r="V7" s="430">
        <v>0.01</v>
      </c>
      <c r="W7" s="430">
        <v>0.01</v>
      </c>
      <c r="X7" s="430">
        <v>0.01</v>
      </c>
      <c r="Y7" s="430">
        <v>0.01</v>
      </c>
      <c r="Z7" s="430">
        <v>0.01</v>
      </c>
      <c r="AA7" s="430">
        <v>0.01</v>
      </c>
      <c r="AB7" s="430">
        <v>0.01</v>
      </c>
      <c r="AC7" s="430">
        <v>0.01</v>
      </c>
      <c r="AD7" s="430">
        <v>0.01</v>
      </c>
      <c r="AE7" s="430">
        <v>0.01</v>
      </c>
      <c r="AF7" s="430">
        <v>0.01</v>
      </c>
    </row>
    <row r="8" spans="1:32" ht="14.25" customHeight="1" x14ac:dyDescent="0.25">
      <c r="A8" s="332">
        <v>45352</v>
      </c>
      <c r="B8" s="226">
        <v>0</v>
      </c>
      <c r="C8" s="333">
        <v>0</v>
      </c>
      <c r="E8" s="332">
        <v>45352</v>
      </c>
      <c r="F8" s="226">
        <v>4738.29</v>
      </c>
      <c r="G8" s="431">
        <v>4402.5</v>
      </c>
      <c r="I8" s="332">
        <v>45352</v>
      </c>
      <c r="J8" s="226">
        <v>0</v>
      </c>
      <c r="K8" s="333">
        <v>2609.15</v>
      </c>
      <c r="M8" s="332">
        <v>45352</v>
      </c>
      <c r="N8" s="232">
        <v>0</v>
      </c>
      <c r="O8" s="333">
        <v>3005.35</v>
      </c>
      <c r="T8" s="332">
        <v>45352</v>
      </c>
      <c r="U8" s="430">
        <v>0.01</v>
      </c>
      <c r="V8" s="430">
        <v>0.01</v>
      </c>
      <c r="W8" s="430">
        <v>0.01</v>
      </c>
      <c r="X8" s="430">
        <v>0.01</v>
      </c>
      <c r="Y8" s="430">
        <v>0.01</v>
      </c>
      <c r="Z8" s="430">
        <v>0.01</v>
      </c>
      <c r="AA8" s="430">
        <v>0.01</v>
      </c>
      <c r="AB8" s="430">
        <v>0.01</v>
      </c>
      <c r="AC8" s="430">
        <v>0.01</v>
      </c>
      <c r="AD8" s="430">
        <v>0.01</v>
      </c>
      <c r="AE8" s="430">
        <v>0.01</v>
      </c>
      <c r="AF8" s="430">
        <v>0.01</v>
      </c>
    </row>
    <row r="9" spans="1:32" ht="14.25" customHeight="1" x14ac:dyDescent="0.25">
      <c r="A9" s="332">
        <v>45383</v>
      </c>
      <c r="B9" s="226">
        <v>0</v>
      </c>
      <c r="C9" s="333">
        <v>0</v>
      </c>
      <c r="E9" s="332">
        <v>45383</v>
      </c>
      <c r="F9" s="226">
        <v>8112</v>
      </c>
      <c r="G9" s="431">
        <v>7203.33</v>
      </c>
      <c r="I9" s="332">
        <v>45383</v>
      </c>
      <c r="J9" s="226">
        <v>0</v>
      </c>
      <c r="K9" s="333">
        <v>5075</v>
      </c>
      <c r="M9" s="332">
        <v>45383</v>
      </c>
      <c r="N9" s="232">
        <v>0</v>
      </c>
      <c r="O9" s="333">
        <v>6226.62</v>
      </c>
      <c r="T9" s="332">
        <v>45383</v>
      </c>
      <c r="U9" s="430">
        <v>0.01</v>
      </c>
      <c r="V9" s="430">
        <v>0.01</v>
      </c>
      <c r="W9" s="430">
        <v>0.01</v>
      </c>
      <c r="X9" s="430">
        <v>0.01</v>
      </c>
      <c r="Y9" s="430">
        <v>0.01</v>
      </c>
      <c r="Z9" s="430">
        <v>0.01</v>
      </c>
      <c r="AA9" s="430">
        <v>0.01</v>
      </c>
      <c r="AB9" s="430">
        <v>0.01</v>
      </c>
      <c r="AC9" s="430">
        <v>0.01</v>
      </c>
      <c r="AD9" s="430">
        <v>0.01</v>
      </c>
      <c r="AE9" s="430">
        <v>0.01</v>
      </c>
      <c r="AF9" s="430">
        <v>0.01</v>
      </c>
    </row>
    <row r="10" spans="1:32" ht="14.25" customHeight="1" x14ac:dyDescent="0.25">
      <c r="A10" s="332">
        <v>45413</v>
      </c>
      <c r="B10" s="226">
        <v>0</v>
      </c>
      <c r="C10" s="333">
        <v>0</v>
      </c>
      <c r="E10" s="332">
        <v>45413</v>
      </c>
      <c r="F10" s="226">
        <v>12565.48</v>
      </c>
      <c r="G10" s="431">
        <v>10956.38</v>
      </c>
      <c r="I10" s="332">
        <v>45413</v>
      </c>
      <c r="J10" s="226">
        <v>0</v>
      </c>
      <c r="K10" s="333">
        <v>9361.48</v>
      </c>
      <c r="M10" s="332">
        <v>45413</v>
      </c>
      <c r="N10" s="232">
        <v>0</v>
      </c>
      <c r="O10" s="333">
        <v>9791.1</v>
      </c>
      <c r="T10" s="332">
        <v>45413</v>
      </c>
      <c r="U10" s="430">
        <v>0.01</v>
      </c>
      <c r="V10" s="430">
        <v>0.01</v>
      </c>
      <c r="W10" s="430">
        <v>0.01</v>
      </c>
      <c r="X10" s="430">
        <v>0.01</v>
      </c>
      <c r="Y10" s="430">
        <v>0.01</v>
      </c>
      <c r="Z10" s="430">
        <v>0.01</v>
      </c>
      <c r="AA10" s="430">
        <v>0.01</v>
      </c>
      <c r="AB10" s="430">
        <v>0.01</v>
      </c>
      <c r="AC10" s="430">
        <v>0.01</v>
      </c>
      <c r="AD10" s="430">
        <v>0.01</v>
      </c>
      <c r="AE10" s="430">
        <v>0.01</v>
      </c>
      <c r="AF10" s="430">
        <v>0.01</v>
      </c>
    </row>
    <row r="11" spans="1:32" ht="14.25" customHeight="1" x14ac:dyDescent="0.25">
      <c r="A11" s="332">
        <v>45444</v>
      </c>
      <c r="B11" s="226">
        <v>0</v>
      </c>
      <c r="C11" s="333">
        <v>0</v>
      </c>
      <c r="E11" s="332">
        <v>45444</v>
      </c>
      <c r="F11" s="226">
        <v>4052.1</v>
      </c>
      <c r="G11" s="431">
        <v>268.43</v>
      </c>
      <c r="I11" s="332">
        <v>45444</v>
      </c>
      <c r="J11" s="226">
        <v>0</v>
      </c>
      <c r="K11" s="333">
        <v>3147.43</v>
      </c>
      <c r="M11" s="332">
        <v>45444</v>
      </c>
      <c r="N11" s="232">
        <v>0</v>
      </c>
      <c r="O11" s="333">
        <v>4406.2700000000004</v>
      </c>
      <c r="T11" s="332">
        <v>45444</v>
      </c>
      <c r="U11" s="430">
        <v>0.01</v>
      </c>
      <c r="V11" s="430">
        <v>0.01</v>
      </c>
      <c r="W11" s="430">
        <v>0.01</v>
      </c>
      <c r="X11" s="430">
        <v>0.01</v>
      </c>
      <c r="Y11" s="430">
        <v>0.01</v>
      </c>
      <c r="Z11" s="430">
        <v>0.01</v>
      </c>
      <c r="AA11" s="430">
        <v>0.01</v>
      </c>
      <c r="AB11" s="430">
        <v>0.01</v>
      </c>
      <c r="AC11" s="430">
        <v>0.01</v>
      </c>
      <c r="AD11" s="430">
        <v>0.01</v>
      </c>
      <c r="AE11" s="430">
        <v>0.01</v>
      </c>
      <c r="AF11" s="430">
        <v>0.01</v>
      </c>
    </row>
    <row r="12" spans="1:32" ht="14.25" customHeight="1" x14ac:dyDescent="0.25">
      <c r="A12" s="332">
        <v>45474</v>
      </c>
      <c r="B12" s="226">
        <v>0</v>
      </c>
      <c r="C12" s="333">
        <v>0</v>
      </c>
      <c r="D12" s="29"/>
      <c r="E12" s="332">
        <v>45474</v>
      </c>
      <c r="F12" s="226">
        <v>2733.33</v>
      </c>
      <c r="G12" s="431">
        <v>0</v>
      </c>
      <c r="I12" s="332">
        <v>45474</v>
      </c>
      <c r="J12" s="226">
        <v>0</v>
      </c>
      <c r="K12" s="333">
        <v>1661.04</v>
      </c>
      <c r="M12" s="332">
        <v>45474</v>
      </c>
      <c r="N12" s="232">
        <v>0</v>
      </c>
      <c r="O12" s="333">
        <v>1866.47</v>
      </c>
      <c r="T12" s="332">
        <v>45474</v>
      </c>
      <c r="U12" s="430">
        <v>0.01</v>
      </c>
      <c r="V12" s="430">
        <v>0.01</v>
      </c>
      <c r="W12" s="62">
        <v>0.01</v>
      </c>
      <c r="X12" s="430">
        <v>0.01</v>
      </c>
      <c r="Y12" s="430">
        <v>0.01</v>
      </c>
      <c r="Z12" s="430">
        <v>0.01</v>
      </c>
      <c r="AA12" s="430">
        <v>0.01</v>
      </c>
      <c r="AB12" s="430">
        <v>0.01</v>
      </c>
      <c r="AC12" s="430">
        <v>0.01</v>
      </c>
      <c r="AD12" s="430">
        <v>0.01</v>
      </c>
      <c r="AE12" s="430">
        <v>0.01</v>
      </c>
      <c r="AF12" s="430">
        <v>0.01</v>
      </c>
    </row>
    <row r="13" spans="1:32" ht="14.25" customHeight="1" x14ac:dyDescent="0.25">
      <c r="A13" s="332">
        <v>45505</v>
      </c>
      <c r="B13" s="226">
        <v>0</v>
      </c>
      <c r="C13" s="333">
        <v>0</v>
      </c>
      <c r="D13" s="29"/>
      <c r="E13" s="332">
        <v>45505</v>
      </c>
      <c r="F13" s="226">
        <v>8960.0499999999993</v>
      </c>
      <c r="G13" s="431">
        <v>0</v>
      </c>
      <c r="I13" s="332">
        <v>45505</v>
      </c>
      <c r="J13" s="226">
        <v>0</v>
      </c>
      <c r="K13" s="333">
        <v>7146.13</v>
      </c>
      <c r="M13" s="332">
        <v>45505</v>
      </c>
      <c r="N13" s="232">
        <v>0</v>
      </c>
      <c r="O13" s="333">
        <v>7980.47</v>
      </c>
      <c r="T13" s="332">
        <v>45505</v>
      </c>
      <c r="U13" s="430">
        <v>0.01</v>
      </c>
      <c r="V13" s="430">
        <v>0.01</v>
      </c>
      <c r="W13" s="62">
        <v>0.01</v>
      </c>
      <c r="X13" s="430">
        <v>0.01</v>
      </c>
      <c r="Y13" s="430">
        <v>0.01</v>
      </c>
      <c r="Z13" s="430">
        <v>0.01</v>
      </c>
      <c r="AA13" s="430">
        <v>0.01</v>
      </c>
      <c r="AB13" s="430">
        <v>0.01</v>
      </c>
      <c r="AC13" s="430">
        <v>0.01</v>
      </c>
      <c r="AD13" s="430">
        <v>0.01</v>
      </c>
      <c r="AE13" s="430">
        <v>0.01</v>
      </c>
      <c r="AF13" s="430">
        <v>0.01</v>
      </c>
    </row>
    <row r="14" spans="1:32" ht="14.25" customHeight="1" x14ac:dyDescent="0.25">
      <c r="A14" s="332">
        <v>45536</v>
      </c>
      <c r="B14" s="226">
        <v>0</v>
      </c>
      <c r="C14" s="333">
        <v>0</v>
      </c>
      <c r="D14" s="29"/>
      <c r="E14" s="332">
        <v>45536</v>
      </c>
      <c r="F14" s="226">
        <v>8283.02</v>
      </c>
      <c r="G14" s="431">
        <v>0</v>
      </c>
      <c r="I14" s="332">
        <v>45536</v>
      </c>
      <c r="J14" s="226">
        <v>0</v>
      </c>
      <c r="K14" s="333">
        <v>6346.2</v>
      </c>
      <c r="M14" s="332">
        <v>45536</v>
      </c>
      <c r="N14" s="232">
        <v>0</v>
      </c>
      <c r="O14" s="333">
        <v>8390.83</v>
      </c>
      <c r="T14" s="332">
        <v>45536</v>
      </c>
      <c r="U14" s="430">
        <v>0.01</v>
      </c>
      <c r="V14" s="430">
        <v>0.01</v>
      </c>
      <c r="W14" s="62">
        <v>0.01</v>
      </c>
      <c r="X14" s="430">
        <v>0.01</v>
      </c>
      <c r="Y14" s="430">
        <v>0.01</v>
      </c>
      <c r="Z14" s="430">
        <v>0.01</v>
      </c>
      <c r="AA14" s="430">
        <v>0.01</v>
      </c>
      <c r="AB14" s="430">
        <v>0.01</v>
      </c>
      <c r="AC14" s="430">
        <v>0.01</v>
      </c>
      <c r="AD14" s="430">
        <v>0.01</v>
      </c>
      <c r="AE14" s="430">
        <v>0.01</v>
      </c>
      <c r="AF14" s="430">
        <v>0.01</v>
      </c>
    </row>
    <row r="15" spans="1:32" ht="14.25" customHeight="1" x14ac:dyDescent="0.25">
      <c r="A15" s="332">
        <v>45566</v>
      </c>
      <c r="B15" s="226">
        <v>0</v>
      </c>
      <c r="C15" s="333">
        <v>0</v>
      </c>
      <c r="D15" s="29"/>
      <c r="E15" s="332">
        <v>45566</v>
      </c>
      <c r="F15" s="226">
        <v>7362.36</v>
      </c>
      <c r="G15" s="431">
        <v>0</v>
      </c>
      <c r="I15" s="332">
        <v>45566</v>
      </c>
      <c r="J15" s="226">
        <v>0</v>
      </c>
      <c r="K15" s="333">
        <v>3824.26</v>
      </c>
      <c r="M15" s="332">
        <v>45566</v>
      </c>
      <c r="N15" s="232">
        <v>0</v>
      </c>
      <c r="O15" s="333">
        <v>6643.35</v>
      </c>
      <c r="T15" s="332">
        <v>45566</v>
      </c>
      <c r="U15" s="430">
        <v>0.01</v>
      </c>
      <c r="V15" s="430">
        <v>0.01</v>
      </c>
      <c r="W15" s="62">
        <v>0.01</v>
      </c>
      <c r="X15" s="430">
        <v>0.01</v>
      </c>
      <c r="Y15" s="430">
        <v>0.01</v>
      </c>
      <c r="Z15" s="430">
        <v>0.01</v>
      </c>
      <c r="AA15" s="430">
        <v>0.01</v>
      </c>
      <c r="AB15" s="430">
        <v>0.01</v>
      </c>
      <c r="AC15" s="430">
        <v>0.01</v>
      </c>
      <c r="AD15" s="430">
        <v>0.01</v>
      </c>
      <c r="AE15" s="430">
        <v>0.01</v>
      </c>
      <c r="AF15" s="430">
        <v>0.01</v>
      </c>
    </row>
    <row r="16" spans="1:32" ht="14.25" customHeight="1" x14ac:dyDescent="0.25">
      <c r="A16" s="332">
        <v>45597</v>
      </c>
      <c r="B16" s="226">
        <v>0</v>
      </c>
      <c r="C16" s="333">
        <v>0</v>
      </c>
      <c r="E16" s="332">
        <v>45597</v>
      </c>
      <c r="F16" s="226">
        <v>1659.95</v>
      </c>
      <c r="G16" s="431">
        <v>45</v>
      </c>
      <c r="I16" s="332">
        <v>45597</v>
      </c>
      <c r="J16" s="226">
        <v>0</v>
      </c>
      <c r="K16" s="333">
        <v>928.07</v>
      </c>
      <c r="M16" s="332">
        <v>45597</v>
      </c>
      <c r="N16" s="232">
        <v>0</v>
      </c>
      <c r="O16" s="333">
        <v>1159.71</v>
      </c>
      <c r="T16" s="332">
        <v>45597</v>
      </c>
      <c r="U16" s="430">
        <v>0.01</v>
      </c>
      <c r="V16" s="430">
        <v>0.01</v>
      </c>
      <c r="W16" s="62">
        <v>0.01</v>
      </c>
      <c r="X16" s="430">
        <v>0.01</v>
      </c>
      <c r="Y16" s="430">
        <v>0.01</v>
      </c>
      <c r="Z16" s="430">
        <v>0.01</v>
      </c>
      <c r="AA16" s="430">
        <v>0.01</v>
      </c>
      <c r="AB16" s="430">
        <v>0.01</v>
      </c>
      <c r="AC16" s="430">
        <v>0.01</v>
      </c>
      <c r="AD16" s="430">
        <v>0.01</v>
      </c>
      <c r="AE16" s="430">
        <v>0.01</v>
      </c>
      <c r="AF16" s="430">
        <v>0.01</v>
      </c>
    </row>
    <row r="17" spans="1:32" ht="17.25" customHeight="1" x14ac:dyDescent="0.25">
      <c r="A17" s="336">
        <v>45627</v>
      </c>
      <c r="B17" s="432">
        <v>0</v>
      </c>
      <c r="C17" s="433">
        <v>0</v>
      </c>
      <c r="E17" s="336">
        <v>45627</v>
      </c>
      <c r="F17" s="235">
        <v>2823.36</v>
      </c>
      <c r="G17" s="434">
        <v>472.43</v>
      </c>
      <c r="I17" s="336">
        <v>45627</v>
      </c>
      <c r="J17" s="235">
        <v>0</v>
      </c>
      <c r="K17" s="353">
        <v>1218.74</v>
      </c>
      <c r="M17" s="336">
        <v>45627</v>
      </c>
      <c r="N17" s="236">
        <v>0</v>
      </c>
      <c r="O17" s="353">
        <v>2036.48</v>
      </c>
      <c r="T17" s="336">
        <v>45627</v>
      </c>
      <c r="U17" s="430">
        <v>0.01</v>
      </c>
      <c r="V17" s="430">
        <v>0.01</v>
      </c>
      <c r="W17" s="62">
        <v>0.01</v>
      </c>
      <c r="X17" s="430">
        <v>0.01</v>
      </c>
      <c r="Y17" s="430">
        <v>0.01</v>
      </c>
      <c r="Z17" s="430">
        <v>0.01</v>
      </c>
      <c r="AA17" s="430">
        <v>0.01</v>
      </c>
      <c r="AB17" s="430">
        <v>0.01</v>
      </c>
      <c r="AC17" s="430">
        <v>0.01</v>
      </c>
      <c r="AD17" s="430">
        <v>0.01</v>
      </c>
      <c r="AE17" s="430">
        <v>0.01</v>
      </c>
      <c r="AF17" s="430">
        <v>0.01</v>
      </c>
    </row>
    <row r="18" spans="1:32" ht="28.5" customHeight="1" x14ac:dyDescent="0.25">
      <c r="A18" s="435" t="s">
        <v>26</v>
      </c>
      <c r="B18" s="436">
        <f>SUM(B6:B17)</f>
        <v>0</v>
      </c>
      <c r="C18" s="437">
        <f>SUM(C6:C17)</f>
        <v>0</v>
      </c>
      <c r="E18" s="438" t="s">
        <v>26</v>
      </c>
      <c r="F18" s="439">
        <f>SUM(F6:F17)</f>
        <v>72834.63</v>
      </c>
      <c r="G18" s="439">
        <f>SUM(G6:G17)</f>
        <v>33894.089999999997</v>
      </c>
      <c r="I18" s="422" t="s">
        <v>26</v>
      </c>
      <c r="J18" s="440">
        <f>SUM(J6:J17)</f>
        <v>0</v>
      </c>
      <c r="K18" s="440">
        <f>SUM(K6:K17)</f>
        <v>48646.979999999996</v>
      </c>
      <c r="M18" s="422" t="s">
        <v>26</v>
      </c>
      <c r="N18" s="441">
        <f>SUM(N6:N17)</f>
        <v>0</v>
      </c>
      <c r="O18" s="441">
        <f>SUM(O6:O17)</f>
        <v>54987.53</v>
      </c>
      <c r="T18" s="442" t="s">
        <v>294</v>
      </c>
      <c r="U18" s="443">
        <f t="shared" ref="U18:AF18" si="0">AVERAGE(U6:U17)</f>
        <v>9.9999999999999985E-3</v>
      </c>
      <c r="V18" s="443">
        <f t="shared" si="0"/>
        <v>9.9999999999999985E-3</v>
      </c>
      <c r="W18" s="443">
        <f t="shared" si="0"/>
        <v>9.9999999999999985E-3</v>
      </c>
      <c r="X18" s="443">
        <f t="shared" si="0"/>
        <v>9.9999999999999985E-3</v>
      </c>
      <c r="Y18" s="443">
        <f t="shared" si="0"/>
        <v>9.9999999999999985E-3</v>
      </c>
      <c r="Z18" s="443">
        <f t="shared" si="0"/>
        <v>9.9999999999999985E-3</v>
      </c>
      <c r="AA18" s="443">
        <f t="shared" si="0"/>
        <v>9.9999999999999985E-3</v>
      </c>
      <c r="AB18" s="443">
        <f t="shared" si="0"/>
        <v>9.9999999999999985E-3</v>
      </c>
      <c r="AC18" s="443">
        <f t="shared" si="0"/>
        <v>9.9999999999999985E-3</v>
      </c>
      <c r="AD18" s="443">
        <f t="shared" si="0"/>
        <v>9.9999999999999985E-3</v>
      </c>
      <c r="AE18" s="443">
        <f t="shared" si="0"/>
        <v>9.9999999999999985E-3</v>
      </c>
      <c r="AF18" s="443">
        <f t="shared" si="0"/>
        <v>9.9999999999999985E-3</v>
      </c>
    </row>
    <row r="19" spans="1:32" ht="14.25" customHeight="1" x14ac:dyDescent="0.25">
      <c r="A19" s="435" t="s">
        <v>295</v>
      </c>
      <c r="B19" s="444">
        <f>B18</f>
        <v>0</v>
      </c>
      <c r="C19" s="444">
        <f>C18</f>
        <v>0</v>
      </c>
      <c r="E19" s="435" t="s">
        <v>295</v>
      </c>
      <c r="F19" s="444">
        <f>SUM(F18*42)</f>
        <v>3059054.46</v>
      </c>
      <c r="G19" s="444">
        <f>SUM(G18*42)</f>
        <v>1423551.7799999998</v>
      </c>
      <c r="H19" s="445">
        <f>SUM(F19:G19)</f>
        <v>4482606.24</v>
      </c>
      <c r="I19" s="435" t="s">
        <v>295</v>
      </c>
      <c r="J19" s="444">
        <f>SUM(J18*42)</f>
        <v>0</v>
      </c>
      <c r="K19" s="444">
        <f>SUM(K18*42)</f>
        <v>2043173.16</v>
      </c>
      <c r="M19" s="435" t="s">
        <v>295</v>
      </c>
      <c r="N19" s="444">
        <f>SUM(N18*42)</f>
        <v>0</v>
      </c>
      <c r="O19" s="444">
        <f>SUM(O18*42)</f>
        <v>2309476.2599999998</v>
      </c>
    </row>
    <row r="20" spans="1:32" ht="14.25" customHeight="1" x14ac:dyDescent="0.25">
      <c r="F20" s="446"/>
      <c r="G20" s="446"/>
      <c r="H20" s="446"/>
      <c r="I20" s="446"/>
      <c r="J20" s="446"/>
      <c r="K20" s="446"/>
    </row>
    <row r="21" spans="1:32" ht="14.25" customHeight="1" x14ac:dyDescent="0.25">
      <c r="A21" s="612" t="s">
        <v>296</v>
      </c>
      <c r="B21" s="612"/>
      <c r="C21" s="612"/>
      <c r="D21" s="612"/>
      <c r="E21" s="612"/>
      <c r="G21" s="613" t="s">
        <v>297</v>
      </c>
      <c r="H21" s="613"/>
      <c r="I21" s="613"/>
      <c r="J21" s="613"/>
      <c r="K21" s="613"/>
      <c r="L21" s="613"/>
    </row>
    <row r="22" spans="1:32" ht="14.25" customHeight="1" x14ac:dyDescent="0.25">
      <c r="A22" s="612" t="s">
        <v>63</v>
      </c>
      <c r="B22" s="612"/>
      <c r="C22" s="612"/>
      <c r="D22" s="612"/>
      <c r="E22" s="612"/>
      <c r="G22" s="614" t="s">
        <v>64</v>
      </c>
      <c r="H22" s="612" t="s">
        <v>63</v>
      </c>
      <c r="I22" s="612"/>
      <c r="J22" s="612"/>
      <c r="K22" s="615" t="s">
        <v>62</v>
      </c>
      <c r="L22" s="615"/>
    </row>
    <row r="23" spans="1:32" ht="14.25" customHeight="1" x14ac:dyDescent="0.25">
      <c r="A23" s="419" t="s">
        <v>64</v>
      </c>
      <c r="B23" s="447" t="s">
        <v>290</v>
      </c>
      <c r="C23" s="447" t="s">
        <v>291</v>
      </c>
      <c r="D23" s="447" t="s">
        <v>292</v>
      </c>
      <c r="E23" s="447" t="s">
        <v>293</v>
      </c>
      <c r="G23" s="614"/>
      <c r="H23" s="448" t="s">
        <v>298</v>
      </c>
      <c r="I23" s="422" t="s">
        <v>299</v>
      </c>
      <c r="J23" s="449" t="s">
        <v>300</v>
      </c>
      <c r="K23" s="450" t="s">
        <v>299</v>
      </c>
      <c r="L23" s="451" t="s">
        <v>300</v>
      </c>
    </row>
    <row r="24" spans="1:32" ht="14.25" customHeight="1" x14ac:dyDescent="0.25">
      <c r="A24" s="330">
        <v>45292</v>
      </c>
      <c r="B24" s="220">
        <v>30850.92</v>
      </c>
      <c r="C24" s="221">
        <v>24568.3</v>
      </c>
      <c r="D24" s="221">
        <v>22396.11</v>
      </c>
      <c r="E24" s="331">
        <v>30465</v>
      </c>
      <c r="G24" s="330">
        <v>45292</v>
      </c>
      <c r="H24" s="299">
        <v>0</v>
      </c>
      <c r="I24" s="221">
        <v>23801.07</v>
      </c>
      <c r="J24" s="221">
        <v>26739.58</v>
      </c>
      <c r="K24" s="258">
        <v>2.5999999999999999E-3</v>
      </c>
      <c r="L24" s="260">
        <v>2.5999999999999999E-3</v>
      </c>
    </row>
    <row r="25" spans="1:32" ht="14.25" customHeight="1" x14ac:dyDescent="0.25">
      <c r="A25" s="332">
        <v>45323</v>
      </c>
      <c r="B25" s="226">
        <v>26207.8</v>
      </c>
      <c r="C25" s="232">
        <v>23021.34</v>
      </c>
      <c r="D25" s="232">
        <v>19914.05</v>
      </c>
      <c r="E25" s="333">
        <v>25138.44</v>
      </c>
      <c r="G25" s="332">
        <v>45323</v>
      </c>
      <c r="H25" s="282">
        <v>0</v>
      </c>
      <c r="I25" s="232">
        <v>21690.04</v>
      </c>
      <c r="J25" s="232">
        <v>30804.84</v>
      </c>
      <c r="K25" s="270">
        <v>3.5E-4</v>
      </c>
      <c r="L25" s="272">
        <v>3.5E-4</v>
      </c>
    </row>
    <row r="26" spans="1:32" ht="14.25" customHeight="1" x14ac:dyDescent="0.25">
      <c r="A26" s="332">
        <v>45352</v>
      </c>
      <c r="B26" s="226">
        <v>23678.93</v>
      </c>
      <c r="C26" s="232">
        <v>20217.63</v>
      </c>
      <c r="D26" s="232">
        <v>16743.34</v>
      </c>
      <c r="E26" s="333">
        <v>22500.62</v>
      </c>
      <c r="G26" s="332">
        <v>45352</v>
      </c>
      <c r="H26" s="282">
        <v>0</v>
      </c>
      <c r="I26" s="232">
        <v>17521.669999999998</v>
      </c>
      <c r="J26" s="232">
        <v>28365.279999999999</v>
      </c>
      <c r="K26" s="270">
        <v>6.9999999999999999E-4</v>
      </c>
      <c r="L26" s="272">
        <v>6.9999999999999999E-4</v>
      </c>
    </row>
    <row r="27" spans="1:32" ht="14.25" customHeight="1" x14ac:dyDescent="0.25">
      <c r="A27" s="332">
        <v>45383</v>
      </c>
      <c r="B27" s="226">
        <v>33528.18</v>
      </c>
      <c r="C27" s="232">
        <v>29506.02</v>
      </c>
      <c r="D27" s="232">
        <v>19186.14</v>
      </c>
      <c r="E27" s="333">
        <v>29152.13</v>
      </c>
      <c r="G27" s="332">
        <v>45383</v>
      </c>
      <c r="H27" s="282">
        <v>0</v>
      </c>
      <c r="I27" s="232">
        <v>43922.57</v>
      </c>
      <c r="J27" s="232">
        <v>47414.62</v>
      </c>
      <c r="K27" s="270">
        <v>5.0000000000000001E-4</v>
      </c>
      <c r="L27" s="272">
        <v>5.0000000000000001E-4</v>
      </c>
    </row>
    <row r="28" spans="1:32" ht="14.25" customHeight="1" x14ac:dyDescent="0.25">
      <c r="A28" s="332">
        <v>45413</v>
      </c>
      <c r="B28" s="226">
        <v>39096.620000000003</v>
      </c>
      <c r="C28" s="232">
        <v>34255.120000000003</v>
      </c>
      <c r="D28" s="232">
        <v>15265.91</v>
      </c>
      <c r="E28" s="333">
        <v>37808.25</v>
      </c>
      <c r="G28" s="332">
        <v>45413</v>
      </c>
      <c r="H28" s="282">
        <v>0</v>
      </c>
      <c r="I28" s="232">
        <v>58532.94</v>
      </c>
      <c r="J28" s="232">
        <v>54596.95</v>
      </c>
      <c r="K28" s="270">
        <v>8.0000000000000004E-4</v>
      </c>
      <c r="L28" s="272">
        <v>8.0000000000000004E-4</v>
      </c>
    </row>
    <row r="29" spans="1:32" ht="14.25" customHeight="1" x14ac:dyDescent="0.25">
      <c r="A29" s="332">
        <v>45444</v>
      </c>
      <c r="B29" s="226">
        <v>27894.59</v>
      </c>
      <c r="C29" s="232">
        <v>25653.02</v>
      </c>
      <c r="D29" s="232">
        <v>9049.5499999999993</v>
      </c>
      <c r="E29" s="333">
        <v>26190.69</v>
      </c>
      <c r="G29" s="332">
        <v>45444</v>
      </c>
      <c r="H29" s="282">
        <v>0</v>
      </c>
      <c r="I29" s="232">
        <v>26866.959999999999</v>
      </c>
      <c r="J29" s="232">
        <v>31147.54</v>
      </c>
      <c r="K29" s="270">
        <v>8.0000000000000004E-4</v>
      </c>
      <c r="L29" s="272">
        <v>8.0000000000000004E-4</v>
      </c>
    </row>
    <row r="30" spans="1:32" ht="14.25" customHeight="1" x14ac:dyDescent="0.25">
      <c r="A30" s="332">
        <v>45474</v>
      </c>
      <c r="B30" s="226">
        <v>25251.7</v>
      </c>
      <c r="C30" s="232">
        <v>21266.29</v>
      </c>
      <c r="D30" s="232">
        <v>7853.84</v>
      </c>
      <c r="E30" s="333">
        <v>11504.45</v>
      </c>
      <c r="G30" s="332">
        <v>45474</v>
      </c>
      <c r="H30" s="282">
        <v>0</v>
      </c>
      <c r="I30" s="232">
        <v>18043.09</v>
      </c>
      <c r="J30" s="232">
        <v>24462.12</v>
      </c>
      <c r="K30" s="270">
        <v>1E-3</v>
      </c>
      <c r="L30" s="272">
        <v>1E-3</v>
      </c>
    </row>
    <row r="31" spans="1:32" ht="14.25" customHeight="1" x14ac:dyDescent="0.25">
      <c r="A31" s="332">
        <v>45505</v>
      </c>
      <c r="B31" s="226">
        <v>34861.46</v>
      </c>
      <c r="C31" s="232">
        <v>32985.379999999997</v>
      </c>
      <c r="D31" s="232">
        <v>13340.56</v>
      </c>
      <c r="E31" s="333">
        <v>14064.59</v>
      </c>
      <c r="G31" s="332">
        <v>45505</v>
      </c>
      <c r="H31" s="282">
        <v>0</v>
      </c>
      <c r="I31" s="232">
        <v>53385.85</v>
      </c>
      <c r="J31" s="232">
        <v>50875.88</v>
      </c>
      <c r="K31" s="270">
        <v>1E-3</v>
      </c>
      <c r="L31" s="272">
        <v>1E-3</v>
      </c>
    </row>
    <row r="32" spans="1:32" ht="14.25" customHeight="1" x14ac:dyDescent="0.25">
      <c r="A32" s="332">
        <v>45536</v>
      </c>
      <c r="B32" s="226">
        <v>33319.78</v>
      </c>
      <c r="C32" s="232">
        <v>28739.53</v>
      </c>
      <c r="D32" s="232">
        <v>14375.87</v>
      </c>
      <c r="E32" s="333">
        <v>14257.8</v>
      </c>
      <c r="G32" s="332">
        <v>45536</v>
      </c>
      <c r="H32" s="282">
        <v>0</v>
      </c>
      <c r="I32" s="232">
        <v>61116.14</v>
      </c>
      <c r="J32" s="232">
        <v>48153.07</v>
      </c>
      <c r="K32" s="270">
        <v>1E-3</v>
      </c>
      <c r="L32" s="272">
        <v>1E-3</v>
      </c>
    </row>
    <row r="33" spans="1:14" ht="14.25" customHeight="1" x14ac:dyDescent="0.25">
      <c r="A33" s="332">
        <v>45566</v>
      </c>
      <c r="B33" s="226">
        <v>33915.339999999997</v>
      </c>
      <c r="C33" s="232">
        <v>32518.66</v>
      </c>
      <c r="D33" s="232">
        <v>10525.02</v>
      </c>
      <c r="E33" s="333">
        <v>14108.18</v>
      </c>
      <c r="G33" s="332">
        <v>45566</v>
      </c>
      <c r="H33" s="282">
        <v>0</v>
      </c>
      <c r="I33" s="232">
        <v>51994.16</v>
      </c>
      <c r="J33" s="232">
        <v>51733.919999999998</v>
      </c>
      <c r="K33" s="270">
        <v>1E-3</v>
      </c>
      <c r="L33" s="272">
        <v>1E-3</v>
      </c>
    </row>
    <row r="34" spans="1:14" ht="14.25" customHeight="1" x14ac:dyDescent="0.25">
      <c r="A34" s="332">
        <v>45597</v>
      </c>
      <c r="B34" s="226">
        <v>24752.67</v>
      </c>
      <c r="C34" s="232">
        <v>19741.900000000001</v>
      </c>
      <c r="D34" s="232">
        <v>8482.91</v>
      </c>
      <c r="E34" s="333">
        <v>7872.34</v>
      </c>
      <c r="G34" s="332">
        <v>45597</v>
      </c>
      <c r="H34" s="282">
        <v>0</v>
      </c>
      <c r="I34" s="232">
        <v>12384.98</v>
      </c>
      <c r="J34" s="232">
        <v>18611.52</v>
      </c>
      <c r="K34" s="270">
        <v>1E-3</v>
      </c>
      <c r="L34" s="272">
        <v>1E-3</v>
      </c>
    </row>
    <row r="35" spans="1:14" ht="14.25" customHeight="1" x14ac:dyDescent="0.25">
      <c r="A35" s="336">
        <v>45627</v>
      </c>
      <c r="B35" s="235">
        <v>32217.02</v>
      </c>
      <c r="C35" s="236">
        <v>23786.87</v>
      </c>
      <c r="D35" s="236">
        <v>10637.66</v>
      </c>
      <c r="E35" s="353">
        <v>12470.3</v>
      </c>
      <c r="G35" s="336">
        <v>45627</v>
      </c>
      <c r="H35" s="286">
        <v>0</v>
      </c>
      <c r="I35" s="236">
        <v>37836.879999999997</v>
      </c>
      <c r="J35" s="236">
        <v>31614.78</v>
      </c>
      <c r="K35" s="452">
        <v>1E-3</v>
      </c>
      <c r="L35" s="453">
        <v>1E-3</v>
      </c>
    </row>
    <row r="36" spans="1:14" ht="14.25" customHeight="1" x14ac:dyDescent="0.25">
      <c r="A36" s="421" t="s">
        <v>26</v>
      </c>
      <c r="B36" s="454">
        <f>SUM(B24:B35)</f>
        <v>365575.00999999995</v>
      </c>
      <c r="C36" s="454">
        <f>SUM(C24:C35)</f>
        <v>316260.06</v>
      </c>
      <c r="D36" s="454">
        <f>SUM(D24:D35)</f>
        <v>167770.96</v>
      </c>
      <c r="E36" s="454">
        <f>SUM(E24:E35)</f>
        <v>245532.78999999998</v>
      </c>
      <c r="G36" s="425" t="s">
        <v>26</v>
      </c>
      <c r="H36" s="455">
        <f>SUM(H30:H35)</f>
        <v>0</v>
      </c>
      <c r="I36" s="455">
        <f>SUM(I24:I35)</f>
        <v>427096.35</v>
      </c>
      <c r="J36" s="455">
        <f>SUM(J24:J35)</f>
        <v>444520.1</v>
      </c>
      <c r="K36" s="456">
        <f>AVERAGE(K24:K35)</f>
        <v>9.7916666666666703E-4</v>
      </c>
      <c r="L36" s="456">
        <f>AVERAGE(L24:L35)</f>
        <v>9.7916666666666703E-4</v>
      </c>
      <c r="N36" s="418" t="s">
        <v>301</v>
      </c>
    </row>
    <row r="37" spans="1:14" ht="14.25" customHeight="1" x14ac:dyDescent="0.25">
      <c r="A37" s="435" t="s">
        <v>295</v>
      </c>
      <c r="B37" s="444">
        <f>SUM(B36*42)</f>
        <v>15354150.419999998</v>
      </c>
      <c r="C37" s="444">
        <f>SUM(C36*42)</f>
        <v>13282922.52</v>
      </c>
      <c r="D37" s="444">
        <f>SUM(D36*42)</f>
        <v>7046380.3199999994</v>
      </c>
      <c r="E37" s="444">
        <f>SUM(E36*42)</f>
        <v>10312377.18</v>
      </c>
      <c r="G37" s="424" t="s">
        <v>295</v>
      </c>
      <c r="H37" s="444">
        <f>SUM(H36*42)</f>
        <v>0</v>
      </c>
      <c r="I37" s="444">
        <f>SUM(I36*42)</f>
        <v>17938046.699999999</v>
      </c>
      <c r="J37" s="444">
        <f>SUM(J36*42)</f>
        <v>18669844.199999999</v>
      </c>
      <c r="K37" s="457"/>
      <c r="L37" s="457"/>
      <c r="M37" s="445">
        <f>SUM(I37:J37)</f>
        <v>36607890.899999999</v>
      </c>
    </row>
    <row r="40" spans="1:14" ht="14.25" customHeight="1" x14ac:dyDescent="0.25">
      <c r="B40" s="445">
        <f>SUM(B37:E37)</f>
        <v>45995830.439999998</v>
      </c>
    </row>
  </sheetData>
  <mergeCells count="14">
    <mergeCell ref="A3:C3"/>
    <mergeCell ref="E3:G3"/>
    <mergeCell ref="I3:K3"/>
    <mergeCell ref="M3:O3"/>
    <mergeCell ref="A4:C4"/>
    <mergeCell ref="E4:G4"/>
    <mergeCell ref="I4:K4"/>
    <mergeCell ref="M4:O4"/>
    <mergeCell ref="A21:E21"/>
    <mergeCell ref="G21:L21"/>
    <mergeCell ref="A22:E22"/>
    <mergeCell ref="G22:G23"/>
    <mergeCell ref="H22:J22"/>
    <mergeCell ref="K22:L22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AD65"/>
  <sheetViews>
    <sheetView zoomScaleNormal="100" workbookViewId="0">
      <selection sqref="A1:O1"/>
    </sheetView>
  </sheetViews>
  <sheetFormatPr defaultColWidth="8.7109375" defaultRowHeight="12.75" x14ac:dyDescent="0.2"/>
  <cols>
    <col min="1" max="1" width="17.28515625" customWidth="1"/>
    <col min="2" max="2" width="17.85546875" customWidth="1"/>
    <col min="3" max="3" width="9.42578125" customWidth="1"/>
    <col min="4" max="4" width="10.85546875" customWidth="1"/>
    <col min="5" max="5" width="16.85546875" customWidth="1"/>
    <col min="6" max="6" width="10.140625" customWidth="1"/>
    <col min="7" max="7" width="7.7109375" customWidth="1"/>
    <col min="9" max="9" width="8.140625" customWidth="1"/>
    <col min="10" max="10" width="7" customWidth="1"/>
    <col min="11" max="11" width="7.42578125" customWidth="1"/>
    <col min="12" max="12" width="17.5703125" customWidth="1"/>
    <col min="13" max="13" width="15.140625" customWidth="1"/>
    <col min="14" max="14" width="9" customWidth="1"/>
    <col min="16" max="16" width="8.28515625" customWidth="1"/>
    <col min="27" max="27" width="12.42578125" customWidth="1"/>
    <col min="28" max="30" width="13.28515625" customWidth="1"/>
  </cols>
  <sheetData>
    <row r="2" spans="1:30" ht="14.25" customHeight="1" x14ac:dyDescent="0.2">
      <c r="A2" s="594" t="s">
        <v>302</v>
      </c>
      <c r="B2" s="594"/>
      <c r="C2" s="594"/>
      <c r="D2" s="594"/>
      <c r="E2" s="594"/>
      <c r="F2" s="594"/>
      <c r="G2" s="594"/>
      <c r="H2" s="594"/>
      <c r="I2" s="594"/>
      <c r="J2" s="594"/>
      <c r="K2" s="594"/>
      <c r="L2" s="594" t="s">
        <v>303</v>
      </c>
      <c r="M2" s="594"/>
      <c r="N2" s="594"/>
      <c r="O2" s="594"/>
      <c r="P2" s="594"/>
      <c r="Q2" s="594"/>
      <c r="R2" s="594"/>
      <c r="S2" s="594"/>
      <c r="T2" s="594"/>
      <c r="U2" s="594"/>
      <c r="V2" s="594"/>
      <c r="AA2" s="458" t="s">
        <v>304</v>
      </c>
    </row>
    <row r="3" spans="1:30" ht="14.25" customHeight="1" x14ac:dyDescent="0.25">
      <c r="AB3" s="459" t="s">
        <v>305</v>
      </c>
      <c r="AC3" s="459" t="s">
        <v>306</v>
      </c>
      <c r="AD3" s="459" t="s">
        <v>307</v>
      </c>
    </row>
    <row r="4" spans="1:30" ht="14.25" customHeight="1" x14ac:dyDescent="0.25">
      <c r="A4" s="460" t="s">
        <v>308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460" t="s">
        <v>308</v>
      </c>
      <c r="M4" s="105"/>
      <c r="N4" s="105"/>
      <c r="O4" s="105"/>
      <c r="P4" s="105"/>
      <c r="Q4" s="105"/>
      <c r="R4" s="105"/>
      <c r="S4" s="105"/>
      <c r="T4" s="105"/>
      <c r="U4" s="105"/>
      <c r="V4" s="105"/>
      <c r="AA4" s="330">
        <v>45292</v>
      </c>
      <c r="AB4" s="461">
        <v>0</v>
      </c>
      <c r="AC4" s="221">
        <v>121</v>
      </c>
      <c r="AD4" s="331">
        <v>117</v>
      </c>
    </row>
    <row r="5" spans="1:30" ht="14.25" customHeight="1" x14ac:dyDescent="0.25">
      <c r="A5" s="86" t="s">
        <v>309</v>
      </c>
      <c r="B5" s="105" t="s">
        <v>310</v>
      </c>
      <c r="C5" s="105"/>
      <c r="D5" s="105"/>
      <c r="E5" s="105"/>
      <c r="F5" s="105"/>
      <c r="G5" s="105"/>
      <c r="H5" s="105"/>
      <c r="I5" s="105"/>
      <c r="J5" s="105"/>
      <c r="K5" s="105"/>
      <c r="L5" s="86" t="s">
        <v>309</v>
      </c>
      <c r="M5" s="105" t="s">
        <v>310</v>
      </c>
      <c r="N5" s="105"/>
      <c r="O5" s="105"/>
      <c r="P5" s="105"/>
      <c r="Q5" s="105"/>
      <c r="R5" s="105"/>
      <c r="S5" s="105"/>
      <c r="T5" s="105"/>
      <c r="U5" s="105"/>
      <c r="V5" s="105"/>
      <c r="AA5" s="332">
        <v>45323</v>
      </c>
      <c r="AB5" s="462">
        <v>0</v>
      </c>
      <c r="AC5" s="232">
        <v>136</v>
      </c>
      <c r="AD5" s="333">
        <v>171</v>
      </c>
    </row>
    <row r="6" spans="1:30" ht="14.25" customHeight="1" x14ac:dyDescent="0.25">
      <c r="A6" s="86" t="s">
        <v>311</v>
      </c>
      <c r="B6" s="105" t="s">
        <v>312</v>
      </c>
      <c r="C6" s="105"/>
      <c r="D6" s="105"/>
      <c r="E6" s="105"/>
      <c r="F6" s="105"/>
      <c r="G6" s="105"/>
      <c r="H6" s="105"/>
      <c r="I6" s="105"/>
      <c r="J6" s="105"/>
      <c r="K6" s="105"/>
      <c r="L6" s="86" t="s">
        <v>311</v>
      </c>
      <c r="M6" s="105" t="s">
        <v>312</v>
      </c>
      <c r="N6" s="105"/>
      <c r="O6" s="105"/>
      <c r="P6" s="105"/>
      <c r="Q6" s="105"/>
      <c r="R6" s="105"/>
      <c r="S6" s="105"/>
      <c r="T6" s="105"/>
      <c r="U6" s="105"/>
      <c r="V6" s="105"/>
      <c r="AA6" s="332">
        <v>45352</v>
      </c>
      <c r="AB6" s="462">
        <v>0</v>
      </c>
      <c r="AC6" s="232">
        <v>87</v>
      </c>
      <c r="AD6" s="333">
        <v>160</v>
      </c>
    </row>
    <row r="7" spans="1:30" ht="14.25" customHeight="1" x14ac:dyDescent="0.25">
      <c r="A7" s="86" t="s">
        <v>20</v>
      </c>
      <c r="B7" s="197" t="s">
        <v>313</v>
      </c>
      <c r="C7" s="197"/>
      <c r="D7" s="197"/>
      <c r="E7" s="197"/>
      <c r="F7" s="197"/>
      <c r="G7" s="197"/>
      <c r="H7" s="197"/>
      <c r="I7" s="197"/>
      <c r="J7" s="197"/>
      <c r="K7" s="197"/>
      <c r="L7" s="86" t="s">
        <v>20</v>
      </c>
      <c r="M7" s="197" t="s">
        <v>313</v>
      </c>
      <c r="N7" s="197"/>
      <c r="O7" s="197"/>
      <c r="P7" s="197"/>
      <c r="Q7" s="197"/>
      <c r="R7" s="197"/>
      <c r="S7" s="197"/>
      <c r="T7" s="197"/>
      <c r="U7" s="197"/>
      <c r="V7" s="197"/>
      <c r="AA7" s="332">
        <v>45383</v>
      </c>
      <c r="AB7" s="462">
        <v>0</v>
      </c>
      <c r="AC7" s="232">
        <v>306</v>
      </c>
      <c r="AD7" s="333">
        <v>286</v>
      </c>
    </row>
    <row r="8" spans="1:30" ht="14.25" customHeight="1" x14ac:dyDescent="0.25">
      <c r="A8" s="86" t="s">
        <v>314</v>
      </c>
      <c r="B8" s="105" t="s">
        <v>315</v>
      </c>
      <c r="C8" s="105"/>
      <c r="D8" s="105"/>
      <c r="E8" s="105"/>
      <c r="F8" s="105"/>
      <c r="G8" s="105"/>
      <c r="H8" s="105"/>
      <c r="I8" s="105"/>
      <c r="J8" s="105"/>
      <c r="K8" s="105"/>
      <c r="L8" s="86" t="s">
        <v>314</v>
      </c>
      <c r="M8" s="105" t="s">
        <v>315</v>
      </c>
      <c r="N8" s="105"/>
      <c r="O8" s="105"/>
      <c r="P8" s="105"/>
      <c r="Q8" s="105"/>
      <c r="R8" s="105"/>
      <c r="S8" s="105"/>
      <c r="T8" s="105"/>
      <c r="U8" s="105"/>
      <c r="V8" s="105"/>
      <c r="AA8" s="332">
        <v>45413</v>
      </c>
      <c r="AB8" s="462">
        <v>0</v>
      </c>
      <c r="AC8" s="232">
        <v>327</v>
      </c>
      <c r="AD8" s="333">
        <v>268</v>
      </c>
    </row>
    <row r="9" spans="1:30" ht="14.25" customHeight="1" x14ac:dyDescent="0.25">
      <c r="A9" s="86" t="s">
        <v>21</v>
      </c>
      <c r="B9" s="197" t="s">
        <v>313</v>
      </c>
      <c r="C9" s="197"/>
      <c r="D9" s="197"/>
      <c r="E9" s="197"/>
      <c r="F9" s="197"/>
      <c r="G9" s="197"/>
      <c r="H9" s="197"/>
      <c r="I9" s="197"/>
      <c r="J9" s="197"/>
      <c r="K9" s="197"/>
      <c r="L9" s="86" t="s">
        <v>21</v>
      </c>
      <c r="M9" s="197" t="s">
        <v>313</v>
      </c>
      <c r="N9" s="197"/>
      <c r="O9" s="197"/>
      <c r="P9" s="197"/>
      <c r="Q9" s="197"/>
      <c r="R9" s="197"/>
      <c r="S9" s="197"/>
      <c r="T9" s="197"/>
      <c r="U9" s="197"/>
      <c r="V9" s="197"/>
      <c r="AA9" s="332">
        <v>45444</v>
      </c>
      <c r="AB9" s="462">
        <v>0</v>
      </c>
      <c r="AC9" s="232">
        <v>150</v>
      </c>
      <c r="AD9" s="333">
        <v>172</v>
      </c>
    </row>
    <row r="10" spans="1:30" ht="14.25" customHeight="1" x14ac:dyDescent="0.25">
      <c r="A10" s="199" t="s">
        <v>316</v>
      </c>
      <c r="B10" s="105" t="s">
        <v>317</v>
      </c>
      <c r="C10" s="105"/>
      <c r="D10" s="105"/>
      <c r="E10" s="105"/>
      <c r="F10" s="105"/>
      <c r="G10" s="105"/>
      <c r="H10" s="105"/>
      <c r="I10" s="105"/>
      <c r="J10" s="105"/>
      <c r="K10" s="105"/>
      <c r="L10" s="199" t="s">
        <v>316</v>
      </c>
      <c r="M10" s="105" t="s">
        <v>317</v>
      </c>
      <c r="N10" s="105"/>
      <c r="O10" s="105"/>
      <c r="P10" s="105"/>
      <c r="Q10" s="105"/>
      <c r="R10" s="105"/>
      <c r="S10" s="105"/>
      <c r="T10" s="105"/>
      <c r="U10" s="105"/>
      <c r="V10" s="105"/>
      <c r="AA10" s="332">
        <v>45474</v>
      </c>
      <c r="AB10" s="462">
        <v>0</v>
      </c>
      <c r="AC10" s="232">
        <v>101</v>
      </c>
      <c r="AD10" s="333">
        <v>118</v>
      </c>
    </row>
    <row r="11" spans="1:30" ht="14.25" customHeight="1" x14ac:dyDescent="0.25">
      <c r="A11" s="463"/>
      <c r="B11" s="154"/>
      <c r="C11" s="154"/>
      <c r="D11" s="154"/>
      <c r="E11" s="154"/>
      <c r="F11" s="154"/>
      <c r="G11" s="154"/>
      <c r="H11" s="154"/>
      <c r="I11" s="154"/>
      <c r="J11" s="154"/>
      <c r="K11" s="154"/>
      <c r="L11" s="463"/>
      <c r="M11" s="154"/>
      <c r="N11" s="154"/>
      <c r="O11" s="154"/>
      <c r="P11" s="154"/>
      <c r="Q11" s="154"/>
      <c r="R11" s="154"/>
      <c r="S11" s="154"/>
      <c r="T11" s="154"/>
      <c r="U11" s="154"/>
      <c r="V11" s="154"/>
      <c r="AA11" s="332">
        <v>45505</v>
      </c>
      <c r="AB11" s="462">
        <v>0</v>
      </c>
      <c r="AC11" s="232">
        <v>272</v>
      </c>
      <c r="AD11" s="333">
        <v>227</v>
      </c>
    </row>
    <row r="12" spans="1:30" ht="14.25" customHeight="1" x14ac:dyDescent="0.25">
      <c r="AA12" s="332">
        <v>45536</v>
      </c>
      <c r="AB12" s="462">
        <v>0</v>
      </c>
      <c r="AC12" s="232">
        <v>326</v>
      </c>
      <c r="AD12" s="333">
        <v>247</v>
      </c>
    </row>
    <row r="13" spans="1:30" ht="14.25" customHeight="1" x14ac:dyDescent="0.25">
      <c r="A13" s="86" t="s">
        <v>318</v>
      </c>
      <c r="B13" s="168">
        <f>SUM(Turbinas!I37)</f>
        <v>17938046.699999999</v>
      </c>
      <c r="C13" s="86" t="s">
        <v>87</v>
      </c>
      <c r="D13" s="86"/>
      <c r="E13" s="86"/>
      <c r="F13" s="86"/>
      <c r="G13" s="86"/>
      <c r="H13" s="86"/>
      <c r="I13" s="86"/>
      <c r="J13" s="86"/>
      <c r="K13" s="86"/>
      <c r="L13" s="86" t="s">
        <v>318</v>
      </c>
      <c r="M13" s="168">
        <f>SUM(Turbinas!J37)</f>
        <v>18669844.199999999</v>
      </c>
      <c r="N13" s="86" t="s">
        <v>87</v>
      </c>
      <c r="O13" s="86"/>
      <c r="P13" s="86"/>
      <c r="Q13" s="86"/>
      <c r="R13" s="86"/>
      <c r="S13" s="86"/>
      <c r="T13" s="86"/>
      <c r="U13" s="86"/>
      <c r="V13" s="86"/>
      <c r="AA13" s="332">
        <v>45566</v>
      </c>
      <c r="AB13" s="462">
        <v>0</v>
      </c>
      <c r="AC13" s="232">
        <v>259</v>
      </c>
      <c r="AD13" s="333">
        <v>283</v>
      </c>
    </row>
    <row r="14" spans="1:30" ht="14.25" customHeight="1" x14ac:dyDescent="0.25">
      <c r="A14" s="86" t="s">
        <v>88</v>
      </c>
      <c r="B14" s="464">
        <f>SUM(Turbinas!K36)</f>
        <v>9.7916666666666703E-4</v>
      </c>
      <c r="C14" s="86"/>
      <c r="D14" s="86"/>
      <c r="E14" s="86"/>
      <c r="F14" s="86"/>
      <c r="G14" s="86"/>
      <c r="H14" s="86"/>
      <c r="I14" s="86"/>
      <c r="J14" s="86"/>
      <c r="K14" s="86"/>
      <c r="L14" s="86" t="s">
        <v>88</v>
      </c>
      <c r="M14" s="464">
        <f>SUM(Turbinas!L36)</f>
        <v>9.7916666666666703E-4</v>
      </c>
      <c r="N14" s="86"/>
      <c r="O14" s="86"/>
      <c r="P14" s="86"/>
      <c r="Q14" s="86"/>
      <c r="R14" s="86"/>
      <c r="S14" s="86"/>
      <c r="T14" s="86"/>
      <c r="U14" s="86"/>
      <c r="V14" s="86"/>
      <c r="AA14" s="332">
        <v>45597</v>
      </c>
      <c r="AB14" s="462">
        <v>0</v>
      </c>
      <c r="AC14" s="232">
        <v>67</v>
      </c>
      <c r="AD14" s="333">
        <v>114</v>
      </c>
    </row>
    <row r="15" spans="1:30" ht="14.25" customHeight="1" x14ac:dyDescent="0.25">
      <c r="A15" s="86" t="s">
        <v>319</v>
      </c>
      <c r="B15" s="465">
        <f>SUM(AC34)</f>
        <v>802</v>
      </c>
      <c r="C15" s="86" t="s">
        <v>320</v>
      </c>
      <c r="D15" s="86"/>
      <c r="E15" s="86"/>
      <c r="F15" s="86"/>
      <c r="G15" s="86"/>
      <c r="H15" s="86"/>
      <c r="I15" s="86"/>
      <c r="J15" s="86"/>
      <c r="K15" s="86"/>
      <c r="L15" s="86" t="s">
        <v>319</v>
      </c>
      <c r="M15" s="465">
        <f>AD34</f>
        <v>960</v>
      </c>
      <c r="N15" s="86" t="s">
        <v>320</v>
      </c>
      <c r="O15" s="86"/>
      <c r="P15" s="86"/>
      <c r="Q15" s="86"/>
      <c r="R15" s="86"/>
      <c r="S15" s="86"/>
      <c r="T15" s="86"/>
      <c r="U15" s="86"/>
      <c r="V15" s="86"/>
      <c r="AA15" s="336">
        <v>45627</v>
      </c>
      <c r="AB15" s="466">
        <v>0</v>
      </c>
      <c r="AC15" s="467">
        <v>284</v>
      </c>
      <c r="AD15" s="433">
        <v>204</v>
      </c>
    </row>
    <row r="16" spans="1:30" ht="14.25" customHeight="1" x14ac:dyDescent="0.25">
      <c r="A16" s="86" t="s">
        <v>321</v>
      </c>
      <c r="B16" s="465">
        <f>AC16</f>
        <v>2436</v>
      </c>
      <c r="C16" s="86" t="s">
        <v>320</v>
      </c>
      <c r="D16" s="86"/>
      <c r="E16" s="86"/>
      <c r="F16" s="86"/>
      <c r="G16" s="86"/>
      <c r="H16" s="86"/>
      <c r="I16" s="86"/>
      <c r="J16" s="86"/>
      <c r="K16" s="86"/>
      <c r="L16" s="86" t="s">
        <v>321</v>
      </c>
      <c r="M16" s="465">
        <f>AD16</f>
        <v>2367</v>
      </c>
      <c r="N16" s="86" t="s">
        <v>320</v>
      </c>
      <c r="O16" s="86"/>
      <c r="P16" s="86"/>
      <c r="Q16" s="86"/>
      <c r="R16" s="86"/>
      <c r="S16" s="86"/>
      <c r="T16" s="86"/>
      <c r="U16" s="86"/>
      <c r="V16" s="86"/>
      <c r="AA16" s="468" t="s">
        <v>76</v>
      </c>
      <c r="AB16" s="241">
        <f>SUM(AB10:AB15)</f>
        <v>0</v>
      </c>
      <c r="AC16" s="291">
        <f>SUM(AC4:AC15)</f>
        <v>2436</v>
      </c>
      <c r="AD16" s="294">
        <f>SUM(AD4:AD15)</f>
        <v>2367</v>
      </c>
    </row>
    <row r="17" spans="1:30" ht="14.25" customHeight="1" x14ac:dyDescent="0.2">
      <c r="B17" s="86"/>
      <c r="C17" s="86"/>
      <c r="D17" s="86"/>
      <c r="E17" s="86"/>
      <c r="F17" s="86"/>
      <c r="G17" s="86"/>
      <c r="H17" s="86"/>
      <c r="I17" s="86"/>
      <c r="J17" s="86"/>
      <c r="K17" s="86"/>
      <c r="N17" s="86"/>
      <c r="O17" s="86"/>
      <c r="P17" s="86"/>
      <c r="Q17" s="86"/>
      <c r="R17" s="86"/>
      <c r="S17" s="86"/>
      <c r="T17" s="86"/>
      <c r="U17" s="86"/>
      <c r="V17" s="86"/>
    </row>
    <row r="19" spans="1:30" ht="14.25" customHeight="1" x14ac:dyDescent="0.2">
      <c r="A19" s="105" t="s">
        <v>186</v>
      </c>
      <c r="B19" s="105"/>
      <c r="C19" s="86"/>
      <c r="D19" s="86"/>
      <c r="E19" s="86"/>
      <c r="F19" s="86"/>
      <c r="G19" s="86"/>
      <c r="H19" s="86"/>
      <c r="I19" s="86"/>
      <c r="J19" s="86"/>
      <c r="K19" s="86"/>
      <c r="L19" s="105" t="s">
        <v>186</v>
      </c>
      <c r="M19" s="105"/>
      <c r="N19" s="86"/>
      <c r="O19" s="86"/>
      <c r="P19" s="86"/>
      <c r="Q19" s="86"/>
      <c r="R19" s="86"/>
      <c r="S19" s="86"/>
      <c r="T19" s="86"/>
      <c r="U19" s="86"/>
      <c r="V19" s="86"/>
    </row>
    <row r="20" spans="1:30" ht="14.25" customHeight="1" x14ac:dyDescent="0.2">
      <c r="AA20" s="458" t="s">
        <v>322</v>
      </c>
    </row>
    <row r="21" spans="1:30" ht="14.25" customHeight="1" x14ac:dyDescent="0.25">
      <c r="A21" s="202" t="s">
        <v>90</v>
      </c>
      <c r="B21" s="387">
        <v>51</v>
      </c>
      <c r="C21" s="387" t="s">
        <v>91</v>
      </c>
      <c r="D21" s="400">
        <f>B15</f>
        <v>802</v>
      </c>
      <c r="E21" s="387" t="s">
        <v>323</v>
      </c>
      <c r="F21" s="387">
        <v>51</v>
      </c>
      <c r="G21" s="469" t="s">
        <v>91</v>
      </c>
      <c r="H21" s="470">
        <f>B16</f>
        <v>2436</v>
      </c>
      <c r="I21" s="401" t="s">
        <v>324</v>
      </c>
      <c r="J21" s="387">
        <v>1</v>
      </c>
      <c r="K21" s="387" t="s">
        <v>94</v>
      </c>
      <c r="L21" s="202" t="s">
        <v>90</v>
      </c>
      <c r="M21" s="387">
        <v>51</v>
      </c>
      <c r="N21" s="387" t="s">
        <v>91</v>
      </c>
      <c r="O21" s="400">
        <f>M15</f>
        <v>960</v>
      </c>
      <c r="P21" s="387" t="s">
        <v>323</v>
      </c>
      <c r="Q21" s="387">
        <v>51</v>
      </c>
      <c r="R21" s="469" t="s">
        <v>91</v>
      </c>
      <c r="S21" s="470">
        <f>M16</f>
        <v>2367</v>
      </c>
      <c r="T21" s="401" t="s">
        <v>324</v>
      </c>
      <c r="U21" s="387">
        <v>1</v>
      </c>
      <c r="V21" s="387" t="s">
        <v>94</v>
      </c>
      <c r="AB21" s="459" t="s">
        <v>305</v>
      </c>
      <c r="AC21" s="459" t="s">
        <v>306</v>
      </c>
      <c r="AD21" s="459" t="s">
        <v>307</v>
      </c>
    </row>
    <row r="22" spans="1:30" ht="14.25" customHeight="1" x14ac:dyDescent="0.25">
      <c r="A22" s="86"/>
      <c r="B22" s="105"/>
      <c r="C22" s="211" t="s">
        <v>95</v>
      </c>
      <c r="D22" s="610"/>
      <c r="E22" s="610"/>
      <c r="F22" s="471"/>
      <c r="G22" s="211" t="s">
        <v>95</v>
      </c>
      <c r="H22" s="213"/>
      <c r="I22" s="404"/>
      <c r="J22" s="86">
        <v>2000</v>
      </c>
      <c r="K22" s="86" t="s">
        <v>91</v>
      </c>
      <c r="L22" s="86"/>
      <c r="M22" s="105"/>
      <c r="N22" s="211" t="s">
        <v>95</v>
      </c>
      <c r="O22" s="610"/>
      <c r="P22" s="610"/>
      <c r="Q22" s="471"/>
      <c r="R22" s="211" t="s">
        <v>95</v>
      </c>
      <c r="S22" s="213"/>
      <c r="T22" s="404"/>
      <c r="U22" s="86">
        <v>2000</v>
      </c>
      <c r="V22" s="86" t="s">
        <v>91</v>
      </c>
      <c r="AA22" s="330">
        <v>45292</v>
      </c>
      <c r="AB22" s="461">
        <v>0</v>
      </c>
      <c r="AC22" s="472">
        <v>46</v>
      </c>
      <c r="AD22" s="331">
        <v>64</v>
      </c>
    </row>
    <row r="23" spans="1:30" ht="14.25" customHeight="1" x14ac:dyDescent="0.25">
      <c r="AA23" s="332">
        <v>45323</v>
      </c>
      <c r="AB23" s="462">
        <v>0</v>
      </c>
      <c r="AC23" s="280">
        <v>27</v>
      </c>
      <c r="AD23" s="333">
        <v>58</v>
      </c>
    </row>
    <row r="24" spans="1:30" ht="14.25" customHeight="1" x14ac:dyDescent="0.25">
      <c r="A24" s="202" t="s">
        <v>90</v>
      </c>
      <c r="B24" s="200">
        <f>((B21*D21)+(F21*H21))/J22</f>
        <v>82.569000000000003</v>
      </c>
      <c r="C24" s="206" t="s">
        <v>94</v>
      </c>
      <c r="D24" s="86"/>
      <c r="E24" s="202" t="s">
        <v>90</v>
      </c>
      <c r="F24" s="406">
        <f>B24*2000/8760</f>
        <v>18.851369863013698</v>
      </c>
      <c r="G24" s="86" t="s">
        <v>91</v>
      </c>
      <c r="H24" s="86"/>
      <c r="I24" s="86"/>
      <c r="J24" s="86"/>
      <c r="K24" s="86"/>
      <c r="L24" s="202" t="s">
        <v>90</v>
      </c>
      <c r="M24" s="200">
        <f>((M21*O21)+(Q21*S21))/U22</f>
        <v>84.838499999999996</v>
      </c>
      <c r="N24" s="206" t="s">
        <v>94</v>
      </c>
      <c r="O24" s="86"/>
      <c r="P24" s="202" t="s">
        <v>90</v>
      </c>
      <c r="Q24" s="406">
        <f>M24*2000/8760</f>
        <v>19.369520547945207</v>
      </c>
      <c r="R24" s="86" t="s">
        <v>91</v>
      </c>
      <c r="S24" s="86"/>
      <c r="T24" s="86"/>
      <c r="U24" s="86"/>
      <c r="V24" s="86"/>
      <c r="AA24" s="332">
        <v>45352</v>
      </c>
      <c r="AB24" s="462">
        <v>0</v>
      </c>
      <c r="AC24" s="280">
        <v>11</v>
      </c>
      <c r="AD24" s="333">
        <v>26</v>
      </c>
    </row>
    <row r="25" spans="1:30" ht="14.25" customHeight="1" x14ac:dyDescent="0.25">
      <c r="A25" s="86"/>
      <c r="B25" s="86"/>
      <c r="C25" s="198" t="s">
        <v>64</v>
      </c>
      <c r="D25" s="86"/>
      <c r="E25" s="86"/>
      <c r="F25" s="86"/>
      <c r="G25" s="473" t="s">
        <v>95</v>
      </c>
      <c r="H25" s="86"/>
      <c r="I25" s="86"/>
      <c r="J25" s="86"/>
      <c r="K25" s="86"/>
      <c r="L25" s="86"/>
      <c r="M25" s="86"/>
      <c r="N25" s="198" t="s">
        <v>64</v>
      </c>
      <c r="O25" s="86"/>
      <c r="P25" s="86"/>
      <c r="Q25" s="86"/>
      <c r="R25" s="473" t="s">
        <v>95</v>
      </c>
      <c r="S25" s="86"/>
      <c r="T25" s="86"/>
      <c r="U25" s="86"/>
      <c r="V25" s="86"/>
      <c r="AA25" s="332">
        <v>45383</v>
      </c>
      <c r="AB25" s="462">
        <v>0</v>
      </c>
      <c r="AC25" s="280">
        <v>52</v>
      </c>
      <c r="AD25" s="333">
        <v>88</v>
      </c>
    </row>
    <row r="26" spans="1:30" ht="14.25" customHeight="1" x14ac:dyDescent="0.25">
      <c r="AA26" s="332">
        <v>45413</v>
      </c>
      <c r="AB26" s="462">
        <v>0</v>
      </c>
      <c r="AC26" s="280">
        <v>123</v>
      </c>
      <c r="AD26" s="333">
        <v>141</v>
      </c>
    </row>
    <row r="27" spans="1:30" ht="14.25" customHeight="1" x14ac:dyDescent="0.25">
      <c r="A27" s="616" t="s">
        <v>96</v>
      </c>
      <c r="B27" s="616"/>
      <c r="C27" s="86"/>
      <c r="D27" s="86"/>
      <c r="E27" s="86"/>
      <c r="F27" s="86"/>
      <c r="G27" s="86"/>
      <c r="H27" s="86"/>
      <c r="I27" s="86"/>
      <c r="J27" s="86"/>
      <c r="K27" s="86"/>
      <c r="L27" s="616" t="s">
        <v>96</v>
      </c>
      <c r="M27" s="616"/>
      <c r="N27" s="86"/>
      <c r="O27" s="86"/>
      <c r="P27" s="86"/>
      <c r="Q27" s="86"/>
      <c r="R27" s="86"/>
      <c r="S27" s="86"/>
      <c r="T27" s="86"/>
      <c r="U27" s="86"/>
      <c r="V27" s="86"/>
      <c r="AA27" s="332">
        <v>45444</v>
      </c>
      <c r="AB27" s="462">
        <v>0</v>
      </c>
      <c r="AC27" s="280">
        <v>49</v>
      </c>
      <c r="AD27" s="333">
        <v>63</v>
      </c>
    </row>
    <row r="28" spans="1:30" ht="14.25" customHeight="1" x14ac:dyDescent="0.25">
      <c r="AA28" s="332">
        <v>45474</v>
      </c>
      <c r="AB28" s="462">
        <v>0</v>
      </c>
      <c r="AC28" s="280">
        <v>27</v>
      </c>
      <c r="AD28" s="333">
        <v>53</v>
      </c>
    </row>
    <row r="29" spans="1:30" ht="14.25" customHeight="1" x14ac:dyDescent="0.25">
      <c r="A29" s="202" t="s">
        <v>90</v>
      </c>
      <c r="B29" s="387">
        <v>137</v>
      </c>
      <c r="C29" s="387" t="s">
        <v>91</v>
      </c>
      <c r="D29" s="400">
        <f>B15</f>
        <v>802</v>
      </c>
      <c r="E29" s="387" t="s">
        <v>324</v>
      </c>
      <c r="F29" s="387">
        <v>137</v>
      </c>
      <c r="G29" s="387" t="s">
        <v>91</v>
      </c>
      <c r="H29" s="470">
        <f>B16</f>
        <v>2436</v>
      </c>
      <c r="I29" s="474" t="s">
        <v>324</v>
      </c>
      <c r="J29" s="387">
        <v>1</v>
      </c>
      <c r="K29" s="469" t="s">
        <v>94</v>
      </c>
      <c r="L29" s="202" t="s">
        <v>90</v>
      </c>
      <c r="M29" s="387">
        <v>137</v>
      </c>
      <c r="N29" s="387" t="s">
        <v>91</v>
      </c>
      <c r="O29" s="400">
        <f>M15</f>
        <v>960</v>
      </c>
      <c r="P29" s="387" t="s">
        <v>324</v>
      </c>
      <c r="Q29" s="387">
        <v>137</v>
      </c>
      <c r="R29" s="387" t="s">
        <v>91</v>
      </c>
      <c r="S29" s="470">
        <f>M16</f>
        <v>2367</v>
      </c>
      <c r="T29" s="474" t="s">
        <v>324</v>
      </c>
      <c r="U29" s="387">
        <v>1</v>
      </c>
      <c r="V29" s="469" t="s">
        <v>94</v>
      </c>
      <c r="AA29" s="332">
        <v>45505</v>
      </c>
      <c r="AB29" s="462">
        <v>0</v>
      </c>
      <c r="AC29" s="280">
        <v>138</v>
      </c>
      <c r="AD29" s="333">
        <v>152</v>
      </c>
    </row>
    <row r="30" spans="1:30" ht="14.25" customHeight="1" x14ac:dyDescent="0.25">
      <c r="A30" s="86"/>
      <c r="B30" s="86"/>
      <c r="C30" s="404" t="s">
        <v>95</v>
      </c>
      <c r="D30" s="610"/>
      <c r="E30" s="610"/>
      <c r="F30" s="473"/>
      <c r="G30" s="404" t="s">
        <v>95</v>
      </c>
      <c r="H30" s="213"/>
      <c r="I30" s="404"/>
      <c r="J30" s="86">
        <v>2000</v>
      </c>
      <c r="K30" s="405" t="s">
        <v>91</v>
      </c>
      <c r="L30" s="86"/>
      <c r="M30" s="86"/>
      <c r="N30" s="404" t="s">
        <v>95</v>
      </c>
      <c r="O30" s="610"/>
      <c r="P30" s="610"/>
      <c r="Q30" s="473"/>
      <c r="R30" s="404" t="s">
        <v>95</v>
      </c>
      <c r="S30" s="213"/>
      <c r="T30" s="404"/>
      <c r="U30" s="86">
        <v>2000</v>
      </c>
      <c r="V30" s="405" t="s">
        <v>91</v>
      </c>
      <c r="AA30" s="332">
        <v>45536</v>
      </c>
      <c r="AB30" s="462">
        <v>0</v>
      </c>
      <c r="AC30" s="280">
        <v>152</v>
      </c>
      <c r="AD30" s="333">
        <v>126</v>
      </c>
    </row>
    <row r="31" spans="1:30" ht="14.25" customHeight="1" x14ac:dyDescent="0.25">
      <c r="AA31" s="332">
        <v>45566</v>
      </c>
      <c r="AB31" s="462">
        <v>0</v>
      </c>
      <c r="AC31" s="280">
        <v>139</v>
      </c>
      <c r="AD31" s="333">
        <v>130</v>
      </c>
    </row>
    <row r="32" spans="1:30" ht="14.25" customHeight="1" x14ac:dyDescent="0.25">
      <c r="A32" s="202" t="s">
        <v>90</v>
      </c>
      <c r="B32" s="200">
        <f>((B29*D29)+(F29*H29))/J30</f>
        <v>221.803</v>
      </c>
      <c r="C32" s="206" t="s">
        <v>94</v>
      </c>
      <c r="D32" s="86"/>
      <c r="E32" s="202" t="s">
        <v>90</v>
      </c>
      <c r="F32" s="406">
        <f>B32*2000/8760</f>
        <v>50.639954337899546</v>
      </c>
      <c r="G32" s="86" t="s">
        <v>91</v>
      </c>
      <c r="H32" s="86"/>
      <c r="I32" s="86"/>
      <c r="J32" s="86"/>
      <c r="K32" s="86"/>
      <c r="L32" s="202" t="s">
        <v>90</v>
      </c>
      <c r="M32" s="200">
        <f>((M29*O29)+(Q29*S29))/U30</f>
        <v>227.89949999999999</v>
      </c>
      <c r="N32" s="206" t="s">
        <v>94</v>
      </c>
      <c r="O32" s="86"/>
      <c r="P32" s="202" t="s">
        <v>90</v>
      </c>
      <c r="Q32" s="406">
        <f>M32*2000/8760</f>
        <v>52.031849315068492</v>
      </c>
      <c r="R32" s="86" t="s">
        <v>91</v>
      </c>
      <c r="S32" s="86"/>
      <c r="T32" s="86"/>
      <c r="U32" s="86"/>
      <c r="V32" s="86"/>
      <c r="AA32" s="332">
        <v>45597</v>
      </c>
      <c r="AB32" s="462">
        <v>0</v>
      </c>
      <c r="AC32" s="280">
        <v>19</v>
      </c>
      <c r="AD32" s="333">
        <v>20</v>
      </c>
    </row>
    <row r="33" spans="1:30" ht="14.25" customHeight="1" x14ac:dyDescent="0.25">
      <c r="A33" s="86"/>
      <c r="B33" s="86"/>
      <c r="C33" s="198" t="s">
        <v>64</v>
      </c>
      <c r="D33" s="86"/>
      <c r="E33" s="86"/>
      <c r="F33" s="86"/>
      <c r="G33" s="473" t="s">
        <v>95</v>
      </c>
      <c r="H33" s="86"/>
      <c r="I33" s="86"/>
      <c r="J33" s="86"/>
      <c r="K33" s="86"/>
      <c r="L33" s="86"/>
      <c r="M33" s="86"/>
      <c r="N33" s="198" t="s">
        <v>64</v>
      </c>
      <c r="O33" s="86"/>
      <c r="P33" s="86"/>
      <c r="Q33" s="86"/>
      <c r="R33" s="473" t="s">
        <v>95</v>
      </c>
      <c r="S33" s="86"/>
      <c r="T33" s="86"/>
      <c r="U33" s="86"/>
      <c r="V33" s="86"/>
      <c r="AA33" s="336">
        <v>45627</v>
      </c>
      <c r="AB33" s="466">
        <v>0</v>
      </c>
      <c r="AC33" s="475">
        <v>19</v>
      </c>
      <c r="AD33" s="433">
        <v>39</v>
      </c>
    </row>
    <row r="34" spans="1:30" ht="14.25" customHeight="1" x14ac:dyDescent="0.25">
      <c r="A34" s="86"/>
      <c r="B34" s="86"/>
      <c r="C34" s="198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198"/>
      <c r="O34" s="86"/>
      <c r="P34" s="86"/>
      <c r="Q34" s="86"/>
      <c r="R34" s="86"/>
      <c r="S34" s="86"/>
      <c r="T34" s="86"/>
      <c r="U34" s="86"/>
      <c r="V34" s="86"/>
      <c r="AA34" s="468" t="s">
        <v>76</v>
      </c>
      <c r="AB34" s="241">
        <f>SUM(AB28:AB33)</f>
        <v>0</v>
      </c>
      <c r="AC34" s="291">
        <f>SUM(AC22:AC33)</f>
        <v>802</v>
      </c>
      <c r="AD34" s="294">
        <f>SUM(AD22:AD33)</f>
        <v>960</v>
      </c>
    </row>
    <row r="35" spans="1:30" ht="14.25" customHeight="1" x14ac:dyDescent="0.2">
      <c r="A35" s="86"/>
      <c r="B35" s="86"/>
      <c r="C35" s="198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198"/>
      <c r="O35" s="86"/>
      <c r="P35" s="86"/>
      <c r="Q35" s="86"/>
      <c r="R35" s="86"/>
      <c r="S35" s="86"/>
      <c r="T35" s="86"/>
      <c r="U35" s="86"/>
      <c r="V35" s="86"/>
    </row>
    <row r="36" spans="1:30" ht="14.25" customHeight="1" x14ac:dyDescent="0.2">
      <c r="A36" s="86"/>
      <c r="B36" s="86"/>
      <c r="C36" s="198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198"/>
      <c r="O36" s="86"/>
      <c r="P36" s="86"/>
      <c r="Q36" s="86"/>
      <c r="R36" s="86"/>
      <c r="S36" s="86"/>
      <c r="T36" s="86"/>
      <c r="U36" s="86"/>
      <c r="V36" s="86"/>
    </row>
    <row r="37" spans="1:30" ht="14.25" customHeight="1" x14ac:dyDescent="0.2">
      <c r="A37" s="86"/>
      <c r="B37" s="86"/>
      <c r="C37" s="198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198"/>
      <c r="O37" s="86"/>
      <c r="P37" s="86"/>
      <c r="Q37" s="86"/>
      <c r="R37" s="86"/>
      <c r="S37" s="86"/>
      <c r="T37" s="86"/>
      <c r="U37" s="86"/>
      <c r="V37" s="86"/>
    </row>
    <row r="38" spans="1:30" ht="14.25" customHeight="1" x14ac:dyDescent="0.2">
      <c r="A38" s="594" t="s">
        <v>302</v>
      </c>
      <c r="B38" s="594"/>
      <c r="C38" s="594"/>
      <c r="D38" s="594"/>
      <c r="E38" s="594"/>
      <c r="F38" s="594"/>
      <c r="G38" s="594"/>
      <c r="H38" s="594"/>
      <c r="I38" s="594"/>
      <c r="J38" s="594"/>
      <c r="K38" s="594"/>
      <c r="L38" s="594" t="s">
        <v>303</v>
      </c>
      <c r="M38" s="594"/>
      <c r="N38" s="594"/>
      <c r="O38" s="594"/>
      <c r="P38" s="594"/>
      <c r="Q38" s="594"/>
      <c r="R38" s="594"/>
      <c r="S38" s="594"/>
      <c r="T38" s="594"/>
      <c r="U38" s="594"/>
      <c r="V38" s="594"/>
    </row>
    <row r="40" spans="1:30" ht="14.25" customHeight="1" x14ac:dyDescent="0.2">
      <c r="A40" s="616" t="s">
        <v>98</v>
      </c>
      <c r="B40" s="616"/>
      <c r="C40" s="86"/>
      <c r="D40" s="86"/>
      <c r="E40" s="86"/>
      <c r="F40" s="86"/>
      <c r="G40" s="86"/>
      <c r="H40" s="86"/>
      <c r="I40" s="86"/>
      <c r="J40" s="86"/>
      <c r="K40" s="86"/>
      <c r="L40" s="616" t="s">
        <v>98</v>
      </c>
      <c r="M40" s="616"/>
      <c r="N40" s="86"/>
      <c r="O40" s="86"/>
      <c r="P40" s="86"/>
      <c r="Q40" s="86"/>
      <c r="R40" s="86"/>
      <c r="S40" s="86"/>
      <c r="T40" s="86"/>
      <c r="U40" s="86"/>
      <c r="V40" s="86"/>
    </row>
    <row r="42" spans="1:30" ht="14.25" customHeight="1" x14ac:dyDescent="0.2">
      <c r="A42" s="202" t="s">
        <v>90</v>
      </c>
      <c r="B42" s="476">
        <v>13</v>
      </c>
      <c r="C42" s="387" t="s">
        <v>91</v>
      </c>
      <c r="D42" s="400">
        <f>B15</f>
        <v>802</v>
      </c>
      <c r="E42" s="387" t="s">
        <v>324</v>
      </c>
      <c r="F42" s="387">
        <v>11</v>
      </c>
      <c r="G42" s="387" t="s">
        <v>91</v>
      </c>
      <c r="H42" s="470">
        <f>B16</f>
        <v>2436</v>
      </c>
      <c r="I42" s="474" t="s">
        <v>324</v>
      </c>
      <c r="J42">
        <v>1</v>
      </c>
      <c r="K42" s="477" t="s">
        <v>94</v>
      </c>
      <c r="L42" s="202" t="s">
        <v>90</v>
      </c>
      <c r="M42" s="476">
        <v>13</v>
      </c>
      <c r="N42" s="387" t="s">
        <v>91</v>
      </c>
      <c r="O42" s="400">
        <f>M15</f>
        <v>960</v>
      </c>
      <c r="P42" s="387" t="s">
        <v>324</v>
      </c>
      <c r="Q42" s="387">
        <v>11</v>
      </c>
      <c r="R42" s="387" t="s">
        <v>91</v>
      </c>
      <c r="S42" s="470">
        <f>M16</f>
        <v>2367</v>
      </c>
      <c r="T42" s="474" t="s">
        <v>324</v>
      </c>
      <c r="U42">
        <v>1</v>
      </c>
      <c r="V42" s="477" t="s">
        <v>94</v>
      </c>
    </row>
    <row r="43" spans="1:30" ht="14.25" customHeight="1" x14ac:dyDescent="0.2">
      <c r="A43" s="86"/>
      <c r="B43" s="86"/>
      <c r="C43" s="404" t="s">
        <v>95</v>
      </c>
      <c r="D43" s="610"/>
      <c r="E43" s="610"/>
      <c r="F43" s="473"/>
      <c r="G43" s="404" t="s">
        <v>95</v>
      </c>
      <c r="H43" s="213"/>
      <c r="I43" s="404"/>
      <c r="J43" s="478">
        <v>2000</v>
      </c>
      <c r="K43" s="404" t="s">
        <v>91</v>
      </c>
      <c r="L43" s="86"/>
      <c r="M43" s="86"/>
      <c r="N43" s="404" t="s">
        <v>95</v>
      </c>
      <c r="O43" s="610"/>
      <c r="P43" s="610"/>
      <c r="Q43" s="473"/>
      <c r="R43" s="404" t="s">
        <v>95</v>
      </c>
      <c r="S43" s="213"/>
      <c r="T43" s="404"/>
      <c r="U43" s="478">
        <v>2000</v>
      </c>
      <c r="V43" s="404" t="s">
        <v>91</v>
      </c>
    </row>
    <row r="45" spans="1:30" ht="14.25" customHeight="1" x14ac:dyDescent="0.2">
      <c r="A45" s="202" t="s">
        <v>90</v>
      </c>
      <c r="B45" s="200">
        <f>((B42*D42)+(F42*H42))/J43</f>
        <v>18.611000000000001</v>
      </c>
      <c r="C45" s="206" t="s">
        <v>94</v>
      </c>
      <c r="D45" s="86"/>
      <c r="E45" s="202" t="s">
        <v>90</v>
      </c>
      <c r="F45" s="410">
        <f>B45*2000/8760</f>
        <v>4.2490867579908675</v>
      </c>
      <c r="G45" s="86" t="s">
        <v>91</v>
      </c>
      <c r="H45" s="86"/>
      <c r="I45" s="86"/>
      <c r="J45" s="86"/>
      <c r="K45" s="86"/>
      <c r="L45" s="202" t="s">
        <v>90</v>
      </c>
      <c r="M45" s="200">
        <f>((M42*O42)+(Q42*S42))/U43</f>
        <v>19.258500000000002</v>
      </c>
      <c r="N45" s="206" t="s">
        <v>94</v>
      </c>
      <c r="O45" s="86"/>
      <c r="P45" s="202" t="s">
        <v>90</v>
      </c>
      <c r="Q45" s="410">
        <f>M45*2000/8760</f>
        <v>4.396917808219178</v>
      </c>
      <c r="R45" s="86" t="s">
        <v>91</v>
      </c>
      <c r="S45" s="86"/>
      <c r="T45" s="86"/>
      <c r="U45" s="86"/>
      <c r="V45" s="86"/>
    </row>
    <row r="46" spans="1:30" ht="14.25" customHeight="1" x14ac:dyDescent="0.2">
      <c r="A46" s="86"/>
      <c r="B46" s="86"/>
      <c r="C46" s="198" t="s">
        <v>64</v>
      </c>
      <c r="D46" s="86"/>
      <c r="E46" s="86"/>
      <c r="F46" s="86"/>
      <c r="G46" s="473" t="s">
        <v>95</v>
      </c>
      <c r="H46" s="86"/>
      <c r="I46" s="86"/>
      <c r="J46" s="86"/>
      <c r="K46" s="86"/>
      <c r="L46" s="86"/>
      <c r="M46" s="86"/>
      <c r="N46" s="198" t="s">
        <v>64</v>
      </c>
      <c r="O46" s="86"/>
      <c r="P46" s="86"/>
      <c r="Q46" s="86"/>
      <c r="R46" s="473" t="s">
        <v>95</v>
      </c>
      <c r="S46" s="86"/>
      <c r="T46" s="86"/>
      <c r="U46" s="86"/>
      <c r="V46" s="86"/>
    </row>
    <row r="48" spans="1:30" ht="14.25" customHeight="1" x14ac:dyDescent="0.2">
      <c r="A48" s="616" t="s">
        <v>100</v>
      </c>
      <c r="B48" s="616"/>
      <c r="C48" s="86"/>
      <c r="D48" s="86"/>
      <c r="E48" s="86"/>
      <c r="F48" s="86"/>
      <c r="G48" s="86"/>
      <c r="H48" s="86"/>
      <c r="I48" s="86"/>
      <c r="J48" s="86"/>
      <c r="K48" s="86"/>
      <c r="L48" s="616" t="s">
        <v>100</v>
      </c>
      <c r="M48" s="616"/>
      <c r="N48" s="86"/>
      <c r="O48" s="86"/>
      <c r="P48" s="86"/>
      <c r="Q48" s="86"/>
      <c r="R48" s="86"/>
      <c r="S48" s="86"/>
      <c r="T48" s="86"/>
      <c r="U48" s="86"/>
      <c r="V48" s="86"/>
    </row>
    <row r="50" spans="1:22" ht="14.25" customHeight="1" x14ac:dyDescent="0.2">
      <c r="A50" s="202" t="s">
        <v>90</v>
      </c>
      <c r="B50" s="387">
        <v>2.3E-2</v>
      </c>
      <c r="C50" s="387" t="s">
        <v>91</v>
      </c>
      <c r="D50" s="400">
        <f>B15</f>
        <v>802</v>
      </c>
      <c r="E50" s="387" t="s">
        <v>324</v>
      </c>
      <c r="F50" s="387">
        <v>1.6E-2</v>
      </c>
      <c r="G50" s="387" t="s">
        <v>91</v>
      </c>
      <c r="H50" s="470">
        <f>B16</f>
        <v>2436</v>
      </c>
      <c r="I50" s="474" t="s">
        <v>324</v>
      </c>
      <c r="J50" s="387">
        <v>1</v>
      </c>
      <c r="K50" s="469" t="s">
        <v>94</v>
      </c>
      <c r="L50" s="202" t="s">
        <v>90</v>
      </c>
      <c r="M50" s="387">
        <v>2.3E-2</v>
      </c>
      <c r="N50" s="387" t="s">
        <v>91</v>
      </c>
      <c r="O50" s="400">
        <f>M15</f>
        <v>960</v>
      </c>
      <c r="P50" s="387" t="s">
        <v>324</v>
      </c>
      <c r="Q50" s="387">
        <v>1.6E-2</v>
      </c>
      <c r="R50" s="387" t="s">
        <v>91</v>
      </c>
      <c r="S50" s="470">
        <f>M16</f>
        <v>2367</v>
      </c>
      <c r="T50" s="474" t="s">
        <v>324</v>
      </c>
      <c r="U50" s="387">
        <v>1</v>
      </c>
      <c r="V50" s="469" t="s">
        <v>94</v>
      </c>
    </row>
    <row r="51" spans="1:22" ht="14.25" customHeight="1" x14ac:dyDescent="0.2">
      <c r="A51" s="86"/>
      <c r="B51" s="86"/>
      <c r="C51" s="404" t="s">
        <v>95</v>
      </c>
      <c r="D51" s="610"/>
      <c r="E51" s="610"/>
      <c r="F51" s="473"/>
      <c r="G51" s="404" t="s">
        <v>95</v>
      </c>
      <c r="H51" s="213"/>
      <c r="I51" s="404"/>
      <c r="J51" s="86">
        <v>2000</v>
      </c>
      <c r="K51" s="405" t="s">
        <v>91</v>
      </c>
      <c r="L51" s="86"/>
      <c r="M51" s="86"/>
      <c r="N51" s="404" t="s">
        <v>95</v>
      </c>
      <c r="O51" s="610"/>
      <c r="P51" s="610"/>
      <c r="Q51" s="473"/>
      <c r="R51" s="404" t="s">
        <v>95</v>
      </c>
      <c r="S51" s="213"/>
      <c r="T51" s="404"/>
      <c r="U51" s="86">
        <v>2000</v>
      </c>
      <c r="V51" s="405" t="s">
        <v>91</v>
      </c>
    </row>
    <row r="53" spans="1:22" ht="14.25" customHeight="1" x14ac:dyDescent="0.2">
      <c r="A53" s="202" t="s">
        <v>90</v>
      </c>
      <c r="B53" s="200">
        <f>((B50*D50)+(F50*H50))/J51</f>
        <v>2.8710999999999997E-2</v>
      </c>
      <c r="C53" s="206" t="s">
        <v>94</v>
      </c>
      <c r="D53" s="86"/>
      <c r="E53" s="202" t="s">
        <v>90</v>
      </c>
      <c r="F53" s="479">
        <f>B53*2000/8760</f>
        <v>6.5550228310502284E-3</v>
      </c>
      <c r="G53" s="86" t="s">
        <v>91</v>
      </c>
      <c r="H53" s="86"/>
      <c r="I53" s="86"/>
      <c r="J53" s="86"/>
      <c r="K53" s="86"/>
      <c r="L53" s="202" t="s">
        <v>90</v>
      </c>
      <c r="M53" s="200">
        <f>((M50*O50)+(Q50*S50))/U51</f>
        <v>2.9975999999999999E-2</v>
      </c>
      <c r="N53" s="206" t="s">
        <v>94</v>
      </c>
      <c r="O53" s="86"/>
      <c r="P53" s="202" t="s">
        <v>90</v>
      </c>
      <c r="Q53" s="479">
        <f>M53*2000/8760</f>
        <v>6.8438356164383556E-3</v>
      </c>
      <c r="R53" s="86" t="s">
        <v>91</v>
      </c>
      <c r="S53" s="86"/>
      <c r="T53" s="86"/>
      <c r="U53" s="86"/>
      <c r="V53" s="86"/>
    </row>
    <row r="54" spans="1:22" ht="14.25" customHeight="1" x14ac:dyDescent="0.2">
      <c r="A54" s="86"/>
      <c r="B54" s="86"/>
      <c r="C54" s="198" t="s">
        <v>64</v>
      </c>
      <c r="D54" s="86"/>
      <c r="E54" s="86"/>
      <c r="F54" s="86"/>
      <c r="G54" s="473" t="s">
        <v>95</v>
      </c>
      <c r="H54" s="86"/>
      <c r="I54" s="86"/>
      <c r="J54" s="86"/>
      <c r="K54" s="86"/>
      <c r="L54" s="86"/>
      <c r="M54" s="86"/>
      <c r="N54" s="198" t="s">
        <v>64</v>
      </c>
      <c r="O54" s="86"/>
      <c r="P54" s="86"/>
      <c r="Q54" s="86"/>
      <c r="R54" s="473" t="s">
        <v>95</v>
      </c>
      <c r="S54" s="86"/>
      <c r="T54" s="86"/>
      <c r="U54" s="86"/>
      <c r="V54" s="86"/>
    </row>
    <row r="56" spans="1:22" ht="14.25" customHeight="1" x14ac:dyDescent="0.2">
      <c r="A56" s="480" t="s">
        <v>24</v>
      </c>
      <c r="B56" s="481" t="s">
        <v>236</v>
      </c>
      <c r="C56" s="607" t="s">
        <v>235</v>
      </c>
      <c r="D56" s="607"/>
    </row>
    <row r="57" spans="1:22" ht="14.25" customHeight="1" x14ac:dyDescent="0.2">
      <c r="A57" s="199"/>
      <c r="B57" s="86"/>
      <c r="C57" s="86"/>
    </row>
    <row r="58" spans="1:22" ht="14.25" customHeight="1" x14ac:dyDescent="0.2">
      <c r="A58" s="86" t="s">
        <v>101</v>
      </c>
      <c r="B58" s="86"/>
      <c r="C58" s="86"/>
      <c r="D58" s="86"/>
      <c r="E58" s="86"/>
      <c r="F58" s="86"/>
      <c r="G58" s="86"/>
      <c r="H58" s="86"/>
      <c r="I58" s="86"/>
    </row>
    <row r="60" spans="1:22" ht="14.25" customHeight="1" x14ac:dyDescent="0.2">
      <c r="A60" s="202" t="s">
        <v>90</v>
      </c>
      <c r="B60" s="482">
        <v>22.577999999999999</v>
      </c>
      <c r="C60" s="387" t="s">
        <v>91</v>
      </c>
      <c r="D60" s="400">
        <f>SUM(B13+M13)</f>
        <v>36607890.899999999</v>
      </c>
      <c r="E60" s="387" t="s">
        <v>92</v>
      </c>
      <c r="F60" s="398"/>
      <c r="G60" s="401" t="s">
        <v>94</v>
      </c>
    </row>
    <row r="61" spans="1:22" ht="14.25" customHeight="1" x14ac:dyDescent="0.25">
      <c r="A61" s="86"/>
      <c r="B61" s="403"/>
      <c r="C61" s="404" t="s">
        <v>92</v>
      </c>
      <c r="D61" s="402"/>
      <c r="E61" s="197" t="s">
        <v>64</v>
      </c>
      <c r="F61" s="213">
        <v>2000</v>
      </c>
      <c r="G61" s="405" t="s">
        <v>91</v>
      </c>
    </row>
    <row r="64" spans="1:22" ht="14.25" customHeight="1" x14ac:dyDescent="0.2">
      <c r="A64" s="202" t="s">
        <v>90</v>
      </c>
      <c r="B64" s="200">
        <f>B60*D60/F61</f>
        <v>413266.48037009995</v>
      </c>
      <c r="C64" s="206" t="s">
        <v>94</v>
      </c>
      <c r="D64" s="202" t="s">
        <v>90</v>
      </c>
      <c r="E64" s="406">
        <f>B64*(2000/8760)</f>
        <v>94353.077710068479</v>
      </c>
      <c r="F64" s="206" t="s">
        <v>91</v>
      </c>
      <c r="G64" s="86"/>
      <c r="H64" s="86"/>
      <c r="I64" s="86"/>
    </row>
    <row r="65" spans="1:9" ht="14.25" customHeight="1" x14ac:dyDescent="0.2">
      <c r="A65" s="86"/>
      <c r="B65" s="86"/>
      <c r="C65" s="198" t="s">
        <v>64</v>
      </c>
      <c r="D65" s="86"/>
      <c r="E65" s="86"/>
      <c r="F65" s="198" t="s">
        <v>95</v>
      </c>
      <c r="G65" s="86"/>
      <c r="H65" s="86"/>
      <c r="I65" s="86"/>
    </row>
  </sheetData>
  <mergeCells count="19">
    <mergeCell ref="A2:K2"/>
    <mergeCell ref="L2:V2"/>
    <mergeCell ref="D22:E22"/>
    <mergeCell ref="O22:P22"/>
    <mergeCell ref="A27:B27"/>
    <mergeCell ref="L27:M27"/>
    <mergeCell ref="D30:E30"/>
    <mergeCell ref="O30:P30"/>
    <mergeCell ref="A38:K38"/>
    <mergeCell ref="L38:V38"/>
    <mergeCell ref="A40:B40"/>
    <mergeCell ref="L40:M40"/>
    <mergeCell ref="C56:D56"/>
    <mergeCell ref="D43:E43"/>
    <mergeCell ref="O43:P43"/>
    <mergeCell ref="A48:B48"/>
    <mergeCell ref="L48:M48"/>
    <mergeCell ref="D51:E51"/>
    <mergeCell ref="O51:P5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P20"/>
  <sheetViews>
    <sheetView zoomScaleNormal="100" workbookViewId="0">
      <selection sqref="A1:O1"/>
    </sheetView>
  </sheetViews>
  <sheetFormatPr defaultColWidth="8.7109375" defaultRowHeight="12.75" x14ac:dyDescent="0.2"/>
  <cols>
    <col min="2" max="2" width="12.140625" customWidth="1"/>
    <col min="3" max="3" width="11.42578125" customWidth="1"/>
    <col min="4" max="4" width="10.7109375" customWidth="1"/>
    <col min="10" max="10" width="17.85546875" customWidth="1"/>
    <col min="11" max="13" width="14.85546875" customWidth="1"/>
    <col min="14" max="15" width="13.7109375" customWidth="1"/>
    <col min="16" max="16" width="14.140625" customWidth="1"/>
  </cols>
  <sheetData>
    <row r="2" spans="2:16" ht="15" customHeight="1" x14ac:dyDescent="0.2">
      <c r="B2" s="617" t="s">
        <v>325</v>
      </c>
      <c r="C2" s="617"/>
      <c r="D2" s="617"/>
      <c r="J2" s="617" t="s">
        <v>325</v>
      </c>
      <c r="K2" s="617"/>
      <c r="L2" s="617"/>
      <c r="M2" s="617"/>
      <c r="N2" s="617"/>
      <c r="O2" s="617"/>
      <c r="P2" s="617"/>
    </row>
    <row r="3" spans="2:16" ht="14.25" customHeight="1" x14ac:dyDescent="0.2">
      <c r="B3" s="617"/>
      <c r="C3" s="617"/>
      <c r="D3" s="617"/>
      <c r="J3" s="617"/>
      <c r="K3" s="617"/>
      <c r="L3" s="617"/>
      <c r="M3" s="617"/>
      <c r="N3" s="617"/>
      <c r="O3" s="617"/>
      <c r="P3" s="617"/>
    </row>
    <row r="4" spans="2:16" ht="14.25" customHeight="1" x14ac:dyDescent="0.2">
      <c r="B4" s="617"/>
      <c r="C4" s="617"/>
      <c r="D4" s="617"/>
      <c r="J4" s="617"/>
      <c r="K4" s="617"/>
      <c r="L4" s="617"/>
      <c r="M4" s="617"/>
      <c r="N4" s="617"/>
      <c r="O4" s="617"/>
      <c r="P4" s="617"/>
    </row>
    <row r="5" spans="2:16" ht="14.25" customHeight="1" x14ac:dyDescent="0.2">
      <c r="B5" s="483" t="s">
        <v>64</v>
      </c>
      <c r="C5" s="483" t="s">
        <v>326</v>
      </c>
      <c r="D5" s="483" t="s">
        <v>327</v>
      </c>
      <c r="J5" s="483" t="s">
        <v>64</v>
      </c>
      <c r="K5" s="483" t="s">
        <v>328</v>
      </c>
      <c r="L5" s="483" t="s">
        <v>329</v>
      </c>
      <c r="M5" s="483" t="s">
        <v>330</v>
      </c>
      <c r="N5" s="483" t="s">
        <v>331</v>
      </c>
      <c r="O5" s="483" t="s">
        <v>332</v>
      </c>
      <c r="P5" s="483" t="s">
        <v>330</v>
      </c>
    </row>
    <row r="6" spans="2:16" ht="14.25" customHeight="1" x14ac:dyDescent="0.2">
      <c r="B6" s="116" t="s">
        <v>1</v>
      </c>
      <c r="C6" s="484">
        <f t="shared" ref="C6:C17" si="0">M6</f>
        <v>51997.399999999994</v>
      </c>
      <c r="D6" s="484">
        <f t="shared" ref="D6:D17" si="1">P6</f>
        <v>9599</v>
      </c>
      <c r="J6" s="116" t="s">
        <v>1</v>
      </c>
      <c r="K6" s="485">
        <v>20964.3</v>
      </c>
      <c r="L6" s="484">
        <v>31033.1</v>
      </c>
      <c r="M6" s="486">
        <f t="shared" ref="M6:M12" si="2">SUM(K6:L6)</f>
        <v>51997.399999999994</v>
      </c>
      <c r="N6" s="485">
        <v>4511</v>
      </c>
      <c r="O6" s="484">
        <v>5088</v>
      </c>
      <c r="P6" s="486">
        <f t="shared" ref="P6:P17" si="3">SUM(N6:O6)</f>
        <v>9599</v>
      </c>
    </row>
    <row r="7" spans="2:16" ht="14.25" customHeight="1" x14ac:dyDescent="0.2">
      <c r="B7" s="116" t="s">
        <v>2</v>
      </c>
      <c r="C7" s="484">
        <f t="shared" si="0"/>
        <v>49868.800000000003</v>
      </c>
      <c r="D7" s="484">
        <f t="shared" si="1"/>
        <v>8841</v>
      </c>
      <c r="J7" s="116" t="s">
        <v>2</v>
      </c>
      <c r="K7" s="485">
        <v>19300</v>
      </c>
      <c r="L7" s="485">
        <v>30568.799999999999</v>
      </c>
      <c r="M7" s="486">
        <f t="shared" si="2"/>
        <v>49868.800000000003</v>
      </c>
      <c r="N7" s="485">
        <v>3640</v>
      </c>
      <c r="O7" s="485">
        <v>5201</v>
      </c>
      <c r="P7" s="486">
        <f t="shared" si="3"/>
        <v>8841</v>
      </c>
    </row>
    <row r="8" spans="2:16" ht="14.25" customHeight="1" x14ac:dyDescent="0.2">
      <c r="B8" s="116" t="s">
        <v>3</v>
      </c>
      <c r="C8" s="484">
        <f t="shared" si="0"/>
        <v>45422.5</v>
      </c>
      <c r="D8" s="484">
        <f t="shared" si="1"/>
        <v>9307</v>
      </c>
      <c r="J8" s="116" t="s">
        <v>3</v>
      </c>
      <c r="K8" s="485">
        <v>16389.099999999999</v>
      </c>
      <c r="L8" s="485">
        <v>29033.4</v>
      </c>
      <c r="M8" s="486">
        <f t="shared" si="2"/>
        <v>45422.5</v>
      </c>
      <c r="N8" s="485">
        <v>3966</v>
      </c>
      <c r="O8" s="485">
        <v>5341</v>
      </c>
      <c r="P8" s="486">
        <f t="shared" si="3"/>
        <v>9307</v>
      </c>
    </row>
    <row r="9" spans="2:16" ht="14.25" customHeight="1" x14ac:dyDescent="0.2">
      <c r="B9" s="116" t="s">
        <v>4</v>
      </c>
      <c r="C9" s="484">
        <f t="shared" si="0"/>
        <v>72160.799999999988</v>
      </c>
      <c r="D9" s="484">
        <f t="shared" si="1"/>
        <v>9058</v>
      </c>
      <c r="J9" s="116" t="s">
        <v>4</v>
      </c>
      <c r="K9" s="485">
        <v>32276.6</v>
      </c>
      <c r="L9" s="485">
        <v>39884.199999999997</v>
      </c>
      <c r="M9" s="486">
        <f t="shared" si="2"/>
        <v>72160.799999999988</v>
      </c>
      <c r="N9" s="485">
        <v>3708</v>
      </c>
      <c r="O9" s="485">
        <v>5350</v>
      </c>
      <c r="P9" s="486">
        <f t="shared" si="3"/>
        <v>9058</v>
      </c>
    </row>
    <row r="10" spans="2:16" ht="14.25" customHeight="1" x14ac:dyDescent="0.2">
      <c r="B10" s="116" t="s">
        <v>5</v>
      </c>
      <c r="C10" s="484">
        <f t="shared" si="0"/>
        <v>81178.399999999994</v>
      </c>
      <c r="D10" s="484">
        <f t="shared" si="1"/>
        <v>8093</v>
      </c>
      <c r="J10" s="116" t="s">
        <v>5</v>
      </c>
      <c r="K10" s="485">
        <v>40337.199999999997</v>
      </c>
      <c r="L10" s="485">
        <v>40841.199999999997</v>
      </c>
      <c r="M10" s="486">
        <f t="shared" si="2"/>
        <v>81178.399999999994</v>
      </c>
      <c r="N10" s="485">
        <v>3235</v>
      </c>
      <c r="O10" s="485">
        <v>4858</v>
      </c>
      <c r="P10" s="486">
        <f t="shared" si="3"/>
        <v>8093</v>
      </c>
    </row>
    <row r="11" spans="2:16" ht="14.25" customHeight="1" x14ac:dyDescent="0.2">
      <c r="B11" s="116" t="s">
        <v>6</v>
      </c>
      <c r="C11" s="484">
        <f t="shared" si="0"/>
        <v>48091</v>
      </c>
      <c r="D11" s="484">
        <f t="shared" si="1"/>
        <v>7987</v>
      </c>
      <c r="J11" s="116" t="s">
        <v>6</v>
      </c>
      <c r="K11" s="485">
        <v>20790</v>
      </c>
      <c r="L11" s="485">
        <v>27301</v>
      </c>
      <c r="M11" s="486">
        <f t="shared" si="2"/>
        <v>48091</v>
      </c>
      <c r="N11" s="485">
        <v>3716</v>
      </c>
      <c r="O11" s="485">
        <v>4271</v>
      </c>
      <c r="P11" s="486">
        <f t="shared" si="3"/>
        <v>7987</v>
      </c>
    </row>
    <row r="12" spans="2:16" ht="14.25" customHeight="1" x14ac:dyDescent="0.2">
      <c r="B12" s="116" t="s">
        <v>7</v>
      </c>
      <c r="C12" s="484">
        <f t="shared" si="0"/>
        <v>38558.1</v>
      </c>
      <c r="D12" s="484">
        <f t="shared" si="1"/>
        <v>8686</v>
      </c>
      <c r="J12" s="116" t="s">
        <v>7</v>
      </c>
      <c r="K12" s="485">
        <v>15929</v>
      </c>
      <c r="L12" s="485">
        <v>22629.1</v>
      </c>
      <c r="M12" s="486">
        <f t="shared" si="2"/>
        <v>38558.1</v>
      </c>
      <c r="N12" s="485">
        <v>4197</v>
      </c>
      <c r="O12" s="485">
        <v>4489</v>
      </c>
      <c r="P12" s="486">
        <f t="shared" si="3"/>
        <v>8686</v>
      </c>
    </row>
    <row r="13" spans="2:16" ht="14.25" customHeight="1" x14ac:dyDescent="0.2">
      <c r="B13" s="116" t="s">
        <v>8</v>
      </c>
      <c r="C13" s="484">
        <f t="shared" si="0"/>
        <v>73160.700000000012</v>
      </c>
      <c r="D13" s="484">
        <f t="shared" si="1"/>
        <v>7809</v>
      </c>
      <c r="J13" s="116" t="s">
        <v>8</v>
      </c>
      <c r="K13" s="485">
        <v>35668.800000000003</v>
      </c>
      <c r="L13" s="485">
        <v>37491.9</v>
      </c>
      <c r="M13" s="486">
        <f>SUM(K13+L13)</f>
        <v>73160.700000000012</v>
      </c>
      <c r="N13" s="485">
        <v>3824</v>
      </c>
      <c r="O13" s="485">
        <v>3985</v>
      </c>
      <c r="P13" s="486">
        <f t="shared" si="3"/>
        <v>7809</v>
      </c>
    </row>
    <row r="14" spans="2:16" ht="14.25" customHeight="1" x14ac:dyDescent="0.2">
      <c r="B14" s="116" t="s">
        <v>9</v>
      </c>
      <c r="C14" s="484">
        <f t="shared" si="0"/>
        <v>73187</v>
      </c>
      <c r="D14" s="484">
        <f t="shared" si="1"/>
        <v>6245</v>
      </c>
      <c r="J14" s="116" t="s">
        <v>9</v>
      </c>
      <c r="K14" s="485">
        <v>38352</v>
      </c>
      <c r="L14" s="485">
        <v>34835</v>
      </c>
      <c r="M14" s="486">
        <f>SUM(K14:L14)</f>
        <v>73187</v>
      </c>
      <c r="N14" s="485">
        <v>2365</v>
      </c>
      <c r="O14" s="485">
        <v>3880</v>
      </c>
      <c r="P14" s="486">
        <f t="shared" si="3"/>
        <v>6245</v>
      </c>
    </row>
    <row r="15" spans="2:16" ht="14.25" customHeight="1" x14ac:dyDescent="0.2">
      <c r="B15" s="116" t="s">
        <v>10</v>
      </c>
      <c r="C15" s="484">
        <f t="shared" si="0"/>
        <v>69991.5</v>
      </c>
      <c r="D15" s="484">
        <f t="shared" si="1"/>
        <v>5626</v>
      </c>
      <c r="J15" s="116" t="s">
        <v>10</v>
      </c>
      <c r="K15" s="485">
        <v>34844.800000000003</v>
      </c>
      <c r="L15" s="484">
        <v>35146.699999999997</v>
      </c>
      <c r="M15" s="486">
        <f>SUM(K15:L15)</f>
        <v>69991.5</v>
      </c>
      <c r="N15" s="485">
        <v>2797</v>
      </c>
      <c r="O15" s="484">
        <v>2829</v>
      </c>
      <c r="P15" s="486">
        <f t="shared" si="3"/>
        <v>5626</v>
      </c>
    </row>
    <row r="16" spans="2:16" ht="14.25" customHeight="1" x14ac:dyDescent="0.2">
      <c r="B16" s="116" t="s">
        <v>11</v>
      </c>
      <c r="C16" s="484">
        <f t="shared" si="0"/>
        <v>30689.8</v>
      </c>
      <c r="D16" s="484">
        <f t="shared" si="1"/>
        <v>5779</v>
      </c>
      <c r="J16" s="116" t="s">
        <v>11</v>
      </c>
      <c r="K16" s="485">
        <v>12437.7</v>
      </c>
      <c r="L16" s="485">
        <v>18252.099999999999</v>
      </c>
      <c r="M16" s="486">
        <f>SUM(K16:L16)</f>
        <v>30689.8</v>
      </c>
      <c r="N16" s="485">
        <v>2489</v>
      </c>
      <c r="O16" s="485">
        <v>3290</v>
      </c>
      <c r="P16" s="486">
        <f t="shared" si="3"/>
        <v>5779</v>
      </c>
    </row>
    <row r="17" spans="2:16" ht="14.25" customHeight="1" x14ac:dyDescent="0.2">
      <c r="B17" s="116" t="s">
        <v>12</v>
      </c>
      <c r="C17" s="484">
        <f t="shared" si="0"/>
        <v>53775.3</v>
      </c>
      <c r="D17" s="484">
        <f t="shared" si="1"/>
        <v>7061</v>
      </c>
      <c r="J17" s="116" t="s">
        <v>12</v>
      </c>
      <c r="K17" s="485">
        <v>27357.3</v>
      </c>
      <c r="L17" s="485">
        <v>26418</v>
      </c>
      <c r="M17" s="486">
        <f>SUM(K17:L17)</f>
        <v>53775.3</v>
      </c>
      <c r="N17" s="485">
        <v>3165</v>
      </c>
      <c r="O17" s="485">
        <v>3896</v>
      </c>
      <c r="P17" s="486">
        <f t="shared" si="3"/>
        <v>7061</v>
      </c>
    </row>
    <row r="18" spans="2:16" ht="14.25" customHeight="1" x14ac:dyDescent="0.2">
      <c r="B18" s="483" t="s">
        <v>333</v>
      </c>
      <c r="C18" s="487">
        <f>SUM(C6:C17)</f>
        <v>688081.3</v>
      </c>
      <c r="D18" s="487">
        <f>SUM(D6:D17)</f>
        <v>94091</v>
      </c>
      <c r="J18" s="483" t="s">
        <v>333</v>
      </c>
      <c r="K18" s="487">
        <f t="shared" ref="K18:P18" si="4">SUM(K6:K17)</f>
        <v>314646.8</v>
      </c>
      <c r="L18" s="487">
        <f t="shared" si="4"/>
        <v>373434.49999999994</v>
      </c>
      <c r="M18" s="487">
        <f t="shared" si="4"/>
        <v>688081.3</v>
      </c>
      <c r="N18" s="487">
        <f t="shared" si="4"/>
        <v>41613</v>
      </c>
      <c r="O18" s="487">
        <f t="shared" si="4"/>
        <v>52478</v>
      </c>
      <c r="P18" s="487">
        <f t="shared" si="4"/>
        <v>94091</v>
      </c>
    </row>
    <row r="19" spans="2:16" ht="14.25" customHeight="1" x14ac:dyDescent="0.2">
      <c r="B19" s="488" t="s">
        <v>334</v>
      </c>
      <c r="C19" s="489">
        <f>C18/2000</f>
        <v>344.04065000000003</v>
      </c>
      <c r="D19" s="489">
        <f>D18/2000</f>
        <v>47.045499999999997</v>
      </c>
      <c r="J19" s="488" t="s">
        <v>334</v>
      </c>
      <c r="K19" s="489">
        <f t="shared" ref="K19:P19" si="5">K18/2000</f>
        <v>157.32339999999999</v>
      </c>
      <c r="L19" s="489">
        <f t="shared" si="5"/>
        <v>186.71724999999998</v>
      </c>
      <c r="M19" s="489">
        <f t="shared" si="5"/>
        <v>344.04065000000003</v>
      </c>
      <c r="N19" s="489">
        <f t="shared" si="5"/>
        <v>20.8065</v>
      </c>
      <c r="O19" s="489">
        <f t="shared" si="5"/>
        <v>26.239000000000001</v>
      </c>
      <c r="P19" s="489">
        <f t="shared" si="5"/>
        <v>47.045499999999997</v>
      </c>
    </row>
    <row r="20" spans="2:16" ht="14.25" customHeight="1" x14ac:dyDescent="0.25">
      <c r="J20" s="483" t="s">
        <v>335</v>
      </c>
      <c r="K20" s="618">
        <f>SUM(K19:L19)</f>
        <v>344.04064999999997</v>
      </c>
      <c r="L20" s="618"/>
      <c r="M20" s="490"/>
      <c r="N20" s="618">
        <f>SUM(N19:O19)</f>
        <v>47.045500000000004</v>
      </c>
      <c r="O20" s="618"/>
      <c r="P20" s="491"/>
    </row>
  </sheetData>
  <mergeCells count="4">
    <mergeCell ref="B2:D4"/>
    <mergeCell ref="J2:P4"/>
    <mergeCell ref="K20:L20"/>
    <mergeCell ref="N20:O20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AA82"/>
  <sheetViews>
    <sheetView zoomScaleNormal="100" workbookViewId="0">
      <selection sqref="A1:O1"/>
    </sheetView>
  </sheetViews>
  <sheetFormatPr defaultColWidth="8.7109375" defaultRowHeight="12.75" x14ac:dyDescent="0.2"/>
  <cols>
    <col min="1" max="1" width="10.7109375" customWidth="1"/>
    <col min="2" max="2" width="17.5703125" customWidth="1"/>
    <col min="3" max="3" width="7.85546875" customWidth="1"/>
    <col min="4" max="4" width="11.7109375" customWidth="1"/>
    <col min="6" max="6" width="6.7109375" customWidth="1"/>
    <col min="8" max="8" width="6.140625" customWidth="1"/>
    <col min="11" max="11" width="10.85546875" customWidth="1"/>
    <col min="12" max="12" width="17.5703125" customWidth="1"/>
    <col min="14" max="14" width="11.7109375" customWidth="1"/>
    <col min="24" max="24" width="20.140625" customWidth="1"/>
  </cols>
  <sheetData>
    <row r="2" spans="1:27" ht="14.25" customHeight="1" x14ac:dyDescent="0.2">
      <c r="A2" s="592" t="s">
        <v>336</v>
      </c>
      <c r="B2" s="592"/>
      <c r="C2" s="592"/>
      <c r="D2" s="592"/>
      <c r="E2" s="592"/>
      <c r="F2" s="592"/>
      <c r="G2" s="592"/>
      <c r="H2" s="592"/>
      <c r="I2" s="592"/>
      <c r="J2" s="592"/>
      <c r="K2" s="592" t="s">
        <v>337</v>
      </c>
      <c r="L2" s="592"/>
      <c r="M2" s="592"/>
      <c r="N2" s="592"/>
      <c r="O2" s="592"/>
      <c r="P2" s="592"/>
      <c r="Q2" s="592"/>
      <c r="R2" s="592"/>
      <c r="S2" s="592"/>
      <c r="T2" s="592"/>
    </row>
    <row r="3" spans="1:27" ht="14.25" customHeight="1" x14ac:dyDescent="0.25">
      <c r="AA3" s="459"/>
    </row>
    <row r="4" spans="1:27" ht="14.25" customHeight="1" x14ac:dyDescent="0.2">
      <c r="A4" s="607" t="s">
        <v>77</v>
      </c>
      <c r="B4" s="607"/>
      <c r="C4" s="86"/>
      <c r="D4" s="86"/>
      <c r="E4" s="86"/>
      <c r="F4" s="86"/>
      <c r="G4" s="86"/>
      <c r="H4" s="86"/>
      <c r="I4" s="86"/>
      <c r="J4" s="86"/>
      <c r="K4" s="607" t="s">
        <v>77</v>
      </c>
      <c r="L4" s="607"/>
      <c r="M4" s="86"/>
      <c r="N4" s="86"/>
      <c r="O4" s="86"/>
      <c r="P4" s="86"/>
      <c r="Q4" s="86"/>
      <c r="R4" s="86"/>
      <c r="S4" s="86"/>
      <c r="T4" s="86"/>
    </row>
    <row r="5" spans="1:27" ht="14.25" customHeight="1" x14ac:dyDescent="0.25">
      <c r="A5" s="492" t="s">
        <v>17</v>
      </c>
      <c r="B5" s="493" t="s">
        <v>338</v>
      </c>
      <c r="C5" s="86"/>
      <c r="D5" s="86"/>
      <c r="E5" s="86"/>
      <c r="F5" s="86"/>
      <c r="G5" s="86"/>
      <c r="H5" s="86"/>
      <c r="I5" s="86"/>
      <c r="J5" s="86"/>
      <c r="K5" s="492" t="s">
        <v>17</v>
      </c>
      <c r="L5" s="493" t="s">
        <v>338</v>
      </c>
      <c r="M5" s="86"/>
      <c r="N5" s="86"/>
      <c r="O5" s="86"/>
      <c r="P5" s="86"/>
      <c r="Q5" s="86"/>
      <c r="R5" s="86"/>
      <c r="S5" s="86"/>
      <c r="T5" s="86"/>
      <c r="AA5" s="328"/>
    </row>
    <row r="6" spans="1:27" ht="14.25" customHeight="1" x14ac:dyDescent="0.25">
      <c r="A6" s="494" t="s">
        <v>41</v>
      </c>
      <c r="B6" s="495" t="s">
        <v>79</v>
      </c>
      <c r="C6" s="86"/>
      <c r="D6" s="86"/>
      <c r="E6" s="86"/>
      <c r="F6" s="86"/>
      <c r="G6" s="86"/>
      <c r="H6" s="86"/>
      <c r="I6" s="86"/>
      <c r="J6" s="86"/>
      <c r="K6" s="494" t="s">
        <v>41</v>
      </c>
      <c r="L6" s="495" t="s">
        <v>79</v>
      </c>
      <c r="M6" s="86"/>
      <c r="N6" s="86"/>
      <c r="O6" s="86"/>
      <c r="P6" s="86"/>
      <c r="Q6" s="86"/>
      <c r="R6" s="86"/>
      <c r="S6" s="86"/>
      <c r="T6" s="86"/>
      <c r="AA6" s="328"/>
    </row>
    <row r="7" spans="1:27" ht="14.25" customHeight="1" x14ac:dyDescent="0.25">
      <c r="A7" s="494" t="s">
        <v>20</v>
      </c>
      <c r="B7" s="495" t="s">
        <v>266</v>
      </c>
      <c r="C7" s="86"/>
      <c r="D7" s="86"/>
      <c r="E7" s="86"/>
      <c r="F7" s="86"/>
      <c r="G7" s="86"/>
      <c r="H7" s="86"/>
      <c r="I7" s="86"/>
      <c r="J7" s="86"/>
      <c r="K7" s="494" t="s">
        <v>20</v>
      </c>
      <c r="L7" s="495" t="s">
        <v>266</v>
      </c>
      <c r="M7" s="86"/>
      <c r="N7" s="86"/>
      <c r="O7" s="86"/>
      <c r="P7" s="86"/>
      <c r="Q7" s="86"/>
      <c r="R7" s="86"/>
      <c r="S7" s="86"/>
      <c r="T7" s="86"/>
      <c r="AA7" s="328"/>
    </row>
    <row r="8" spans="1:27" ht="14.25" customHeight="1" x14ac:dyDescent="0.25">
      <c r="A8" s="494" t="s">
        <v>22</v>
      </c>
      <c r="B8" s="495" t="s">
        <v>81</v>
      </c>
      <c r="C8" s="86"/>
      <c r="D8" s="86"/>
      <c r="E8" s="86"/>
      <c r="F8" s="86"/>
      <c r="G8" s="86"/>
      <c r="H8" s="86"/>
      <c r="I8" s="86"/>
      <c r="J8" s="86"/>
      <c r="K8" s="494" t="s">
        <v>22</v>
      </c>
      <c r="L8" s="495" t="s">
        <v>81</v>
      </c>
      <c r="M8" s="86"/>
      <c r="N8" s="86"/>
      <c r="O8" s="86"/>
      <c r="P8" s="86"/>
      <c r="Q8" s="86"/>
      <c r="R8" s="86"/>
      <c r="S8" s="86"/>
      <c r="T8" s="86"/>
      <c r="AA8" s="328"/>
    </row>
    <row r="9" spans="1:27" ht="14.25" customHeight="1" x14ac:dyDescent="0.25">
      <c r="A9" s="494" t="s">
        <v>82</v>
      </c>
      <c r="B9" s="495" t="s">
        <v>83</v>
      </c>
      <c r="C9" s="86"/>
      <c r="D9" s="86"/>
      <c r="E9" s="86"/>
      <c r="F9" s="86"/>
      <c r="G9" s="86"/>
      <c r="H9" s="86"/>
      <c r="I9" s="86"/>
      <c r="J9" s="86"/>
      <c r="K9" s="494" t="s">
        <v>82</v>
      </c>
      <c r="L9" s="495" t="s">
        <v>83</v>
      </c>
      <c r="M9" s="86"/>
      <c r="N9" s="86"/>
      <c r="O9" s="86"/>
      <c r="P9" s="86"/>
      <c r="Q9" s="86"/>
      <c r="R9" s="86"/>
      <c r="S9" s="86"/>
      <c r="T9" s="86"/>
      <c r="AA9" s="328"/>
    </row>
    <row r="10" spans="1:27" ht="14.25" customHeight="1" x14ac:dyDescent="0.25">
      <c r="A10" s="496" t="s">
        <v>23</v>
      </c>
      <c r="B10" s="497" t="s">
        <v>269</v>
      </c>
      <c r="C10" s="86"/>
      <c r="D10" s="86"/>
      <c r="E10" s="86"/>
      <c r="F10" s="86"/>
      <c r="G10" s="86"/>
      <c r="H10" s="86"/>
      <c r="I10" s="86"/>
      <c r="J10" s="86"/>
      <c r="K10" s="496" t="s">
        <v>23</v>
      </c>
      <c r="L10" s="497" t="s">
        <v>269</v>
      </c>
      <c r="M10" s="86"/>
      <c r="N10" s="86"/>
      <c r="O10" s="86"/>
      <c r="P10" s="86"/>
      <c r="Q10" s="86"/>
      <c r="R10" s="86"/>
      <c r="S10" s="86"/>
      <c r="T10" s="86"/>
      <c r="AA10" s="407"/>
    </row>
    <row r="11" spans="1:27" ht="14.25" customHeight="1" x14ac:dyDescent="0.2">
      <c r="A11" s="480" t="s">
        <v>24</v>
      </c>
      <c r="B11" s="481" t="s">
        <v>236</v>
      </c>
      <c r="C11" s="393" t="s">
        <v>235</v>
      </c>
      <c r="D11" s="86"/>
      <c r="E11" s="86"/>
      <c r="F11" s="86"/>
      <c r="G11" s="86"/>
      <c r="H11" s="86"/>
      <c r="I11" s="86"/>
      <c r="K11" s="480" t="s">
        <v>24</v>
      </c>
      <c r="L11" s="481" t="s">
        <v>236</v>
      </c>
      <c r="M11" s="393" t="s">
        <v>235</v>
      </c>
    </row>
    <row r="12" spans="1:27" ht="14.25" customHeight="1" x14ac:dyDescent="0.25">
      <c r="AA12" s="407"/>
    </row>
    <row r="13" spans="1:27" ht="14.25" customHeight="1" x14ac:dyDescent="0.25">
      <c r="A13" s="86" t="s">
        <v>318</v>
      </c>
      <c r="B13" s="158">
        <f>SUM(Turbinas!F19)</f>
        <v>3059054.46</v>
      </c>
      <c r="C13" s="86" t="s">
        <v>339</v>
      </c>
      <c r="D13" s="86"/>
      <c r="E13" s="498"/>
      <c r="F13" s="86"/>
      <c r="G13" s="86"/>
      <c r="H13" s="86"/>
      <c r="I13" s="86"/>
      <c r="J13" s="86"/>
      <c r="K13" s="86" t="s">
        <v>318</v>
      </c>
      <c r="L13" s="158">
        <f>SUM(Turbinas!G19)</f>
        <v>1423551.7799999998</v>
      </c>
      <c r="M13" s="86" t="s">
        <v>339</v>
      </c>
      <c r="N13" s="86"/>
      <c r="O13" s="498"/>
      <c r="P13" s="86"/>
      <c r="Q13" s="86"/>
      <c r="R13" s="86"/>
      <c r="S13" s="86"/>
      <c r="T13" s="86"/>
      <c r="AA13" s="407"/>
    </row>
    <row r="14" spans="1:27" ht="14.25" customHeight="1" x14ac:dyDescent="0.25">
      <c r="A14" s="86" t="s">
        <v>88</v>
      </c>
      <c r="B14" s="158">
        <f>Turbinas!U17</f>
        <v>0.01</v>
      </c>
      <c r="C14" s="86"/>
      <c r="D14" s="86"/>
      <c r="E14" s="86"/>
      <c r="F14" s="86"/>
      <c r="G14" s="86"/>
      <c r="H14" s="86"/>
      <c r="I14" s="86"/>
      <c r="J14" s="86"/>
      <c r="K14" s="86" t="s">
        <v>88</v>
      </c>
      <c r="L14" s="158">
        <f>Turbinas!V17</f>
        <v>0.01</v>
      </c>
      <c r="M14" s="86"/>
      <c r="N14" s="86"/>
      <c r="O14" s="86"/>
      <c r="P14" s="86"/>
      <c r="Q14" s="86"/>
      <c r="R14" s="86"/>
      <c r="S14" s="86"/>
      <c r="T14" s="86"/>
      <c r="V14">
        <f>(73.96+0.003*25+0.0006*298)*2.2046*0.138</f>
        <v>22.578420600240001</v>
      </c>
      <c r="W14" t="s">
        <v>116</v>
      </c>
      <c r="AA14" s="407"/>
    </row>
    <row r="15" spans="1:27" ht="14.25" customHeight="1" x14ac:dyDescent="0.25">
      <c r="AA15" s="407"/>
    </row>
    <row r="16" spans="1:27" ht="14.25" customHeight="1" x14ac:dyDescent="0.25">
      <c r="AA16" s="407"/>
    </row>
    <row r="17" spans="1:27" ht="14.25" customHeight="1" x14ac:dyDescent="0.25">
      <c r="A17" s="86" t="s">
        <v>89</v>
      </c>
      <c r="B17" s="86"/>
      <c r="C17" s="86"/>
      <c r="D17" s="86"/>
      <c r="E17" s="86"/>
      <c r="F17" s="86"/>
      <c r="G17" s="86"/>
      <c r="H17" s="86"/>
      <c r="I17" s="86"/>
      <c r="J17" s="86"/>
      <c r="K17" s="86" t="s">
        <v>89</v>
      </c>
      <c r="L17" s="86"/>
      <c r="M17" s="86"/>
      <c r="N17" s="86"/>
      <c r="O17" s="86"/>
      <c r="P17" s="86"/>
      <c r="Q17" s="86"/>
      <c r="R17" s="86"/>
      <c r="S17" s="86"/>
      <c r="T17" s="86"/>
      <c r="AA17" s="459"/>
    </row>
    <row r="19" spans="1:27" ht="14.25" customHeight="1" x14ac:dyDescent="0.2">
      <c r="A19" s="202" t="s">
        <v>90</v>
      </c>
      <c r="B19" s="399">
        <v>1.2E-2</v>
      </c>
      <c r="C19" s="387" t="s">
        <v>91</v>
      </c>
      <c r="D19" s="397">
        <f>B13</f>
        <v>3059054.46</v>
      </c>
      <c r="E19" s="387" t="s">
        <v>340</v>
      </c>
      <c r="F19" s="399">
        <v>0.13800000000000001</v>
      </c>
      <c r="G19" s="387" t="s">
        <v>93</v>
      </c>
      <c r="H19" s="399">
        <v>1</v>
      </c>
      <c r="I19" s="469" t="s">
        <v>94</v>
      </c>
      <c r="J19" s="402"/>
      <c r="K19" s="202" t="s">
        <v>90</v>
      </c>
      <c r="L19" s="399">
        <v>1.2E-2</v>
      </c>
      <c r="M19" s="387" t="s">
        <v>91</v>
      </c>
      <c r="N19" s="397">
        <f>L13</f>
        <v>1423551.7799999998</v>
      </c>
      <c r="O19" s="387" t="s">
        <v>340</v>
      </c>
      <c r="P19" s="399">
        <v>0.13800000000000001</v>
      </c>
      <c r="Q19" s="387" t="s">
        <v>93</v>
      </c>
      <c r="R19" s="399">
        <v>1</v>
      </c>
      <c r="S19" s="469" t="s">
        <v>94</v>
      </c>
      <c r="T19" s="402"/>
    </row>
    <row r="20" spans="1:27" ht="14.25" customHeight="1" x14ac:dyDescent="0.2">
      <c r="A20" s="86"/>
      <c r="B20" s="499"/>
      <c r="C20" s="404" t="s">
        <v>93</v>
      </c>
      <c r="D20" s="499"/>
      <c r="E20" s="404" t="s">
        <v>64</v>
      </c>
      <c r="F20" s="499"/>
      <c r="G20" s="404" t="s">
        <v>92</v>
      </c>
      <c r="H20" s="213">
        <v>2000</v>
      </c>
      <c r="I20" s="86" t="s">
        <v>91</v>
      </c>
      <c r="J20" s="402"/>
      <c r="K20" s="86"/>
      <c r="L20" s="499"/>
      <c r="M20" s="404" t="s">
        <v>93</v>
      </c>
      <c r="N20" s="499"/>
      <c r="O20" s="404" t="s">
        <v>64</v>
      </c>
      <c r="P20" s="499"/>
      <c r="Q20" s="404" t="s">
        <v>92</v>
      </c>
      <c r="R20" s="213">
        <v>2000</v>
      </c>
      <c r="S20" s="86" t="s">
        <v>91</v>
      </c>
      <c r="T20" s="402"/>
    </row>
    <row r="21" spans="1:27" ht="14.25" customHeight="1" x14ac:dyDescent="0.2">
      <c r="A21" s="86"/>
      <c r="B21" s="86"/>
      <c r="C21" s="86"/>
      <c r="D21" s="86"/>
      <c r="E21" s="86"/>
      <c r="F21" s="86"/>
      <c r="G21" s="86"/>
      <c r="H21" s="86"/>
      <c r="I21" s="86"/>
      <c r="J21" s="198"/>
      <c r="K21" s="86"/>
      <c r="L21" s="86"/>
      <c r="M21" s="86"/>
      <c r="N21" s="86"/>
      <c r="O21" s="86"/>
      <c r="P21" s="86"/>
      <c r="Q21" s="86"/>
      <c r="R21" s="86"/>
      <c r="S21" s="86"/>
      <c r="T21" s="198"/>
    </row>
    <row r="22" spans="1:27" ht="14.25" customHeight="1" x14ac:dyDescent="0.2">
      <c r="A22" s="202" t="s">
        <v>90</v>
      </c>
      <c r="B22" s="500">
        <f>(B19*D19*F19)/H20</f>
        <v>2.5328970928800003</v>
      </c>
      <c r="C22" s="206" t="s">
        <v>94</v>
      </c>
      <c r="D22" s="86"/>
      <c r="E22" s="86"/>
      <c r="F22" s="86"/>
      <c r="G22" s="86"/>
      <c r="H22" s="86"/>
      <c r="I22" s="86"/>
      <c r="J22" s="198"/>
      <c r="K22" s="202" t="s">
        <v>90</v>
      </c>
      <c r="L22" s="500">
        <f>(L19*N19*P19)/R20</f>
        <v>1.17870087384</v>
      </c>
      <c r="M22" s="206" t="s">
        <v>94</v>
      </c>
      <c r="N22" s="86"/>
      <c r="O22" s="86"/>
      <c r="P22" s="86"/>
      <c r="Q22" s="86"/>
      <c r="R22" s="86"/>
      <c r="S22" s="86"/>
      <c r="T22" s="198"/>
    </row>
    <row r="23" spans="1:27" ht="14.25" customHeight="1" x14ac:dyDescent="0.2">
      <c r="A23" s="86"/>
      <c r="B23" s="86"/>
      <c r="C23" s="198" t="s">
        <v>64</v>
      </c>
      <c r="D23" s="86"/>
      <c r="E23" s="86"/>
      <c r="F23" s="86"/>
      <c r="G23" s="86"/>
      <c r="H23" s="86"/>
      <c r="I23" s="86"/>
      <c r="J23" s="198"/>
      <c r="K23" s="86"/>
      <c r="L23" s="86"/>
      <c r="M23" s="198" t="s">
        <v>64</v>
      </c>
      <c r="N23" s="86"/>
      <c r="O23" s="86"/>
      <c r="P23" s="86"/>
      <c r="Q23" s="86"/>
      <c r="R23" s="86"/>
      <c r="S23" s="86"/>
      <c r="T23" s="198"/>
    </row>
    <row r="24" spans="1:27" ht="14.25" customHeight="1" x14ac:dyDescent="0.2">
      <c r="A24" s="86"/>
      <c r="B24" s="86"/>
      <c r="C24" s="86"/>
      <c r="D24" s="86"/>
      <c r="E24" s="86"/>
      <c r="F24" s="86"/>
      <c r="G24" s="86"/>
      <c r="H24" s="86"/>
      <c r="I24" s="86"/>
      <c r="J24" s="198"/>
      <c r="K24" s="86"/>
      <c r="L24" s="86"/>
      <c r="M24" s="86"/>
      <c r="N24" s="86"/>
      <c r="O24" s="86"/>
      <c r="P24" s="86"/>
      <c r="Q24" s="86"/>
      <c r="R24" s="86"/>
      <c r="S24" s="86"/>
      <c r="T24" s="198"/>
    </row>
    <row r="25" spans="1:27" ht="14.25" customHeight="1" x14ac:dyDescent="0.2">
      <c r="A25" s="86"/>
      <c r="B25" s="86"/>
      <c r="C25" s="86"/>
      <c r="D25" s="86"/>
      <c r="E25" s="86"/>
      <c r="F25" s="86"/>
      <c r="G25" s="86"/>
      <c r="H25" s="86"/>
      <c r="I25" s="86"/>
      <c r="J25" s="198"/>
      <c r="K25" s="86"/>
      <c r="L25" s="86"/>
      <c r="M25" s="86"/>
      <c r="N25" s="86"/>
      <c r="O25" s="86"/>
      <c r="P25" s="86"/>
      <c r="Q25" s="86"/>
      <c r="R25" s="86"/>
      <c r="S25" s="86"/>
      <c r="T25" s="198"/>
    </row>
    <row r="26" spans="1:27" ht="14.25" customHeight="1" x14ac:dyDescent="0.2">
      <c r="A26" s="86" t="s">
        <v>96</v>
      </c>
      <c r="B26" s="86"/>
      <c r="C26" s="86"/>
      <c r="D26" s="86"/>
      <c r="E26" s="86"/>
      <c r="F26" s="86"/>
      <c r="G26" s="86"/>
      <c r="H26" s="86"/>
      <c r="I26" s="86"/>
      <c r="J26" s="198"/>
      <c r="K26" s="86" t="s">
        <v>96</v>
      </c>
      <c r="L26" s="86"/>
      <c r="M26" s="86"/>
      <c r="N26" s="86"/>
      <c r="O26" s="86"/>
      <c r="P26" s="86"/>
      <c r="Q26" s="86"/>
      <c r="R26" s="86"/>
      <c r="S26" s="86"/>
      <c r="T26" s="198"/>
    </row>
    <row r="27" spans="1:27" ht="14.25" customHeight="1" x14ac:dyDescent="0.2">
      <c r="A27" s="86"/>
      <c r="B27" s="86"/>
      <c r="C27" s="86"/>
      <c r="D27" s="86"/>
      <c r="E27" s="86"/>
      <c r="F27" s="86"/>
      <c r="G27" s="86"/>
      <c r="H27" s="86"/>
      <c r="I27" s="86"/>
      <c r="J27" s="198"/>
      <c r="K27" s="86"/>
      <c r="L27" s="86"/>
      <c r="M27" s="86"/>
      <c r="N27" s="86"/>
      <c r="O27" s="86"/>
      <c r="P27" s="86"/>
      <c r="Q27" s="86"/>
      <c r="R27" s="86"/>
      <c r="S27" s="86"/>
      <c r="T27" s="198"/>
    </row>
    <row r="28" spans="1:27" ht="14.25" customHeight="1" x14ac:dyDescent="0.2">
      <c r="A28" s="202" t="s">
        <v>90</v>
      </c>
      <c r="B28" s="409">
        <f>1.01*B14</f>
        <v>1.01E-2</v>
      </c>
      <c r="C28" s="387" t="s">
        <v>91</v>
      </c>
      <c r="D28" s="397">
        <f>B13</f>
        <v>3059054.46</v>
      </c>
      <c r="E28" s="387" t="s">
        <v>340</v>
      </c>
      <c r="F28" s="399">
        <v>0.13800000000000001</v>
      </c>
      <c r="G28" s="387" t="s">
        <v>93</v>
      </c>
      <c r="H28" s="399">
        <v>1</v>
      </c>
      <c r="I28" s="469" t="s">
        <v>94</v>
      </c>
      <c r="J28" s="402"/>
      <c r="K28" s="202" t="s">
        <v>90</v>
      </c>
      <c r="L28" s="409">
        <f>1.01*L14</f>
        <v>1.01E-2</v>
      </c>
      <c r="M28" s="387" t="s">
        <v>91</v>
      </c>
      <c r="N28" s="397">
        <f>L13</f>
        <v>1423551.7799999998</v>
      </c>
      <c r="O28" s="387" t="s">
        <v>340</v>
      </c>
      <c r="P28" s="399">
        <v>0.13800000000000001</v>
      </c>
      <c r="Q28" s="387" t="s">
        <v>93</v>
      </c>
      <c r="R28" s="399">
        <v>1</v>
      </c>
      <c r="S28" s="469" t="s">
        <v>94</v>
      </c>
      <c r="T28" s="402"/>
    </row>
    <row r="29" spans="1:27" ht="14.25" customHeight="1" x14ac:dyDescent="0.2">
      <c r="A29" s="86"/>
      <c r="B29" s="499"/>
      <c r="C29" s="404" t="s">
        <v>93</v>
      </c>
      <c r="D29" s="499"/>
      <c r="E29" s="404" t="s">
        <v>64</v>
      </c>
      <c r="F29" s="499"/>
      <c r="G29" s="404" t="s">
        <v>92</v>
      </c>
      <c r="H29" s="213">
        <v>2000</v>
      </c>
      <c r="I29" s="86" t="s">
        <v>91</v>
      </c>
      <c r="J29" s="402"/>
      <c r="K29" s="86"/>
      <c r="L29" s="499"/>
      <c r="M29" s="404" t="s">
        <v>93</v>
      </c>
      <c r="N29" s="499"/>
      <c r="O29" s="404" t="s">
        <v>64</v>
      </c>
      <c r="P29" s="499"/>
      <c r="Q29" s="404" t="s">
        <v>92</v>
      </c>
      <c r="R29" s="213">
        <v>2000</v>
      </c>
      <c r="S29" s="86" t="s">
        <v>91</v>
      </c>
      <c r="T29" s="402"/>
    </row>
    <row r="30" spans="1:27" ht="14.25" customHeight="1" x14ac:dyDescent="0.2">
      <c r="A30" s="86"/>
      <c r="B30" s="86"/>
      <c r="C30" s="86"/>
      <c r="D30" s="86"/>
      <c r="E30" s="86"/>
      <c r="F30" s="86"/>
      <c r="G30" s="86"/>
      <c r="H30" s="86"/>
      <c r="I30" s="86"/>
      <c r="J30" s="198"/>
      <c r="K30" s="86"/>
      <c r="L30" s="86"/>
      <c r="M30" s="86"/>
      <c r="N30" s="86"/>
      <c r="O30" s="86"/>
      <c r="P30" s="86"/>
      <c r="Q30" s="86"/>
      <c r="R30" s="86"/>
      <c r="S30" s="86"/>
      <c r="T30" s="198"/>
    </row>
    <row r="31" spans="1:27" ht="14.25" customHeight="1" x14ac:dyDescent="0.2">
      <c r="A31" s="202" t="s">
        <v>90</v>
      </c>
      <c r="B31" s="501">
        <f>(B28*D28*F28)/H29</f>
        <v>2.1318550531740001</v>
      </c>
      <c r="C31" s="206" t="s">
        <v>94</v>
      </c>
      <c r="D31" s="86"/>
      <c r="E31" s="86"/>
      <c r="F31" s="86"/>
      <c r="G31" s="86"/>
      <c r="H31" s="86"/>
      <c r="I31" s="86"/>
      <c r="J31" s="198"/>
      <c r="K31" s="202" t="s">
        <v>90</v>
      </c>
      <c r="L31" s="501">
        <f>(L28*N28*P28)/R29</f>
        <v>0.99207323548199999</v>
      </c>
      <c r="M31" s="206" t="s">
        <v>94</v>
      </c>
      <c r="N31" s="86"/>
      <c r="O31" s="86"/>
      <c r="P31" s="86"/>
      <c r="Q31" s="86"/>
      <c r="R31" s="86"/>
      <c r="S31" s="86"/>
      <c r="T31" s="198"/>
    </row>
    <row r="32" spans="1:27" ht="14.25" customHeight="1" x14ac:dyDescent="0.2">
      <c r="A32" s="86"/>
      <c r="B32" s="86"/>
      <c r="C32" s="198" t="s">
        <v>64</v>
      </c>
      <c r="D32" s="86"/>
      <c r="E32" s="86"/>
      <c r="F32" s="86"/>
      <c r="G32" s="86"/>
      <c r="H32" s="86"/>
      <c r="I32" s="86"/>
      <c r="J32" s="198"/>
      <c r="K32" s="86"/>
      <c r="L32" s="86"/>
      <c r="M32" s="198" t="s">
        <v>64</v>
      </c>
      <c r="N32" s="86"/>
      <c r="O32" s="86"/>
      <c r="P32" s="86"/>
      <c r="Q32" s="86"/>
      <c r="R32" s="86"/>
      <c r="S32" s="86"/>
      <c r="T32" s="198"/>
    </row>
    <row r="33" spans="1:20" ht="14.25" customHeight="1" x14ac:dyDescent="0.2">
      <c r="A33" s="86"/>
      <c r="B33" s="86"/>
      <c r="C33" s="86"/>
      <c r="D33" s="86"/>
      <c r="E33" s="86"/>
      <c r="F33" s="86"/>
      <c r="G33" s="86"/>
      <c r="H33" s="86"/>
      <c r="I33" s="86"/>
      <c r="J33" s="198"/>
      <c r="K33" s="86"/>
      <c r="L33" s="86"/>
      <c r="M33" s="86"/>
      <c r="N33" s="86"/>
      <c r="O33" s="86"/>
      <c r="P33" s="86"/>
      <c r="Q33" s="86"/>
      <c r="R33" s="86"/>
      <c r="S33" s="86"/>
      <c r="T33" s="198"/>
    </row>
    <row r="34" spans="1:20" ht="14.25" customHeight="1" x14ac:dyDescent="0.2">
      <c r="A34" s="86"/>
      <c r="B34" s="86"/>
      <c r="C34" s="86"/>
      <c r="D34" s="86"/>
      <c r="E34" s="86"/>
      <c r="F34" s="86"/>
      <c r="G34" s="86"/>
      <c r="H34" s="86"/>
      <c r="I34" s="86"/>
      <c r="J34" s="198"/>
      <c r="K34" s="86"/>
      <c r="L34" s="86"/>
      <c r="M34" s="86"/>
      <c r="N34" s="86"/>
      <c r="O34" s="86"/>
      <c r="P34" s="86"/>
      <c r="Q34" s="86"/>
      <c r="R34" s="86"/>
      <c r="S34" s="86"/>
      <c r="T34" s="198"/>
    </row>
    <row r="35" spans="1:20" ht="14.25" customHeight="1" x14ac:dyDescent="0.2">
      <c r="A35" s="86" t="s">
        <v>97</v>
      </c>
      <c r="B35" s="86"/>
      <c r="C35" s="86"/>
      <c r="D35" s="86"/>
      <c r="E35" s="86"/>
      <c r="F35" s="86"/>
      <c r="G35" s="86"/>
      <c r="H35" s="86"/>
      <c r="I35" s="86"/>
      <c r="J35" s="198"/>
      <c r="K35" s="86" t="s">
        <v>97</v>
      </c>
      <c r="L35" s="86"/>
      <c r="M35" s="86"/>
      <c r="N35" s="86"/>
      <c r="O35" s="86"/>
      <c r="P35" s="86"/>
      <c r="Q35" s="86"/>
      <c r="R35" s="86"/>
      <c r="S35" s="86"/>
      <c r="T35" s="198"/>
    </row>
    <row r="36" spans="1:20" ht="14.25" customHeight="1" x14ac:dyDescent="0.2">
      <c r="A36" s="86"/>
      <c r="B36" s="86"/>
      <c r="C36" s="86"/>
      <c r="D36" s="86"/>
      <c r="E36" s="86"/>
      <c r="F36" s="86"/>
      <c r="G36" s="86"/>
      <c r="H36" s="86"/>
      <c r="I36" s="86"/>
      <c r="J36" s="198"/>
      <c r="K36" s="86"/>
      <c r="L36" s="86"/>
      <c r="M36" s="86"/>
      <c r="N36" s="86"/>
      <c r="O36" s="86"/>
      <c r="P36" s="86"/>
      <c r="Q36" s="86"/>
      <c r="R36" s="86"/>
      <c r="S36" s="86"/>
      <c r="T36" s="198"/>
    </row>
    <row r="37" spans="1:20" ht="14.25" customHeight="1" x14ac:dyDescent="0.2">
      <c r="A37" s="202" t="s">
        <v>90</v>
      </c>
      <c r="B37" s="399">
        <v>0.88</v>
      </c>
      <c r="C37" s="387" t="s">
        <v>91</v>
      </c>
      <c r="D37" s="397">
        <f>B13</f>
        <v>3059054.46</v>
      </c>
      <c r="E37" s="387" t="s">
        <v>340</v>
      </c>
      <c r="F37" s="399">
        <v>0.13800000000000001</v>
      </c>
      <c r="G37" s="387" t="s">
        <v>93</v>
      </c>
      <c r="H37" s="399">
        <v>1</v>
      </c>
      <c r="I37" s="469" t="s">
        <v>94</v>
      </c>
      <c r="J37" s="402"/>
      <c r="K37" s="202" t="s">
        <v>90</v>
      </c>
      <c r="L37" s="399">
        <v>0.88</v>
      </c>
      <c r="M37" s="387" t="s">
        <v>91</v>
      </c>
      <c r="N37" s="397">
        <f>L13</f>
        <v>1423551.7799999998</v>
      </c>
      <c r="O37" s="387" t="s">
        <v>340</v>
      </c>
      <c r="P37" s="399">
        <v>0.13800000000000001</v>
      </c>
      <c r="Q37" s="387" t="s">
        <v>93</v>
      </c>
      <c r="R37" s="399">
        <v>1</v>
      </c>
      <c r="S37" s="469" t="s">
        <v>94</v>
      </c>
      <c r="T37" s="402"/>
    </row>
    <row r="38" spans="1:20" ht="14.25" customHeight="1" x14ac:dyDescent="0.2">
      <c r="A38" s="86"/>
      <c r="B38" s="499"/>
      <c r="C38" s="404" t="s">
        <v>93</v>
      </c>
      <c r="D38" s="499"/>
      <c r="E38" s="404" t="s">
        <v>64</v>
      </c>
      <c r="F38" s="499"/>
      <c r="G38" s="404" t="s">
        <v>92</v>
      </c>
      <c r="H38" s="213">
        <v>2000</v>
      </c>
      <c r="I38" s="86" t="s">
        <v>91</v>
      </c>
      <c r="J38" s="402"/>
      <c r="K38" s="86"/>
      <c r="L38" s="499"/>
      <c r="M38" s="404" t="s">
        <v>93</v>
      </c>
      <c r="N38" s="499"/>
      <c r="O38" s="404" t="s">
        <v>64</v>
      </c>
      <c r="P38" s="499"/>
      <c r="Q38" s="404" t="s">
        <v>92</v>
      </c>
      <c r="R38" s="213">
        <v>2000</v>
      </c>
      <c r="S38" s="86" t="s">
        <v>91</v>
      </c>
      <c r="T38" s="402"/>
    </row>
    <row r="39" spans="1:20" ht="14.25" customHeight="1" x14ac:dyDescent="0.2">
      <c r="A39" s="86"/>
      <c r="B39" s="86"/>
      <c r="C39" s="86"/>
      <c r="D39" s="86"/>
      <c r="E39" s="86"/>
      <c r="F39" s="86"/>
      <c r="G39" s="86"/>
      <c r="H39" s="86"/>
      <c r="I39" s="86"/>
      <c r="J39" s="198"/>
      <c r="K39" s="86"/>
      <c r="L39" s="86"/>
      <c r="M39" s="86"/>
      <c r="N39" s="86"/>
      <c r="O39" s="86"/>
      <c r="P39" s="86"/>
      <c r="Q39" s="86"/>
      <c r="R39" s="86"/>
      <c r="S39" s="86"/>
      <c r="T39" s="198"/>
    </row>
    <row r="40" spans="1:20" ht="14.25" customHeight="1" x14ac:dyDescent="0.2">
      <c r="A40" s="202" t="s">
        <v>90</v>
      </c>
      <c r="B40" s="502">
        <f>(B37*D37*F37)/H38</f>
        <v>185.74578681120002</v>
      </c>
      <c r="C40" s="206" t="s">
        <v>94</v>
      </c>
      <c r="D40" s="86"/>
      <c r="E40" s="86"/>
      <c r="F40" s="86"/>
      <c r="G40" s="86"/>
      <c r="H40" s="86"/>
      <c r="I40" s="86"/>
      <c r="J40" s="198"/>
      <c r="K40" s="202" t="s">
        <v>90</v>
      </c>
      <c r="L40" s="502">
        <f>(L37*N37*P37)/R38</f>
        <v>86.43806408159999</v>
      </c>
      <c r="M40" s="206" t="s">
        <v>94</v>
      </c>
      <c r="N40" s="86"/>
      <c r="O40" s="86"/>
      <c r="P40" s="86"/>
      <c r="Q40" s="86"/>
      <c r="R40" s="86"/>
      <c r="S40" s="86"/>
      <c r="T40" s="198"/>
    </row>
    <row r="41" spans="1:20" ht="14.25" customHeight="1" x14ac:dyDescent="0.2">
      <c r="A41" s="86"/>
      <c r="B41" s="86"/>
      <c r="C41" s="198" t="s">
        <v>64</v>
      </c>
      <c r="D41" s="86"/>
      <c r="E41" s="86"/>
      <c r="F41" s="86"/>
      <c r="G41" s="86"/>
      <c r="H41" s="86"/>
      <c r="I41" s="86"/>
      <c r="J41" s="198"/>
      <c r="K41" s="86"/>
      <c r="L41" s="86"/>
      <c r="M41" s="198" t="s">
        <v>64</v>
      </c>
      <c r="N41" s="86"/>
      <c r="O41" s="86"/>
      <c r="P41" s="86"/>
      <c r="Q41" s="86"/>
      <c r="R41" s="86"/>
      <c r="S41" s="86"/>
      <c r="T41" s="198"/>
    </row>
    <row r="42" spans="1:20" ht="14.25" customHeight="1" x14ac:dyDescent="0.2">
      <c r="A42" s="86"/>
      <c r="B42" s="86"/>
      <c r="C42" s="86"/>
      <c r="D42" s="86"/>
      <c r="E42" s="86"/>
      <c r="F42" s="86"/>
      <c r="G42" s="86"/>
      <c r="H42" s="86"/>
      <c r="I42" s="86"/>
      <c r="J42" s="198"/>
      <c r="K42" s="86"/>
      <c r="L42" s="86"/>
      <c r="M42" s="86"/>
      <c r="N42" s="86"/>
      <c r="O42" s="86"/>
      <c r="P42" s="86"/>
      <c r="Q42" s="86"/>
      <c r="R42" s="86"/>
      <c r="S42" s="86"/>
      <c r="T42" s="198"/>
    </row>
    <row r="43" spans="1:20" ht="14.25" customHeight="1" x14ac:dyDescent="0.2">
      <c r="A43" s="86"/>
      <c r="B43" s="86"/>
      <c r="C43" s="86"/>
      <c r="D43" s="86"/>
      <c r="E43" s="86"/>
      <c r="F43" s="86"/>
      <c r="G43" s="86"/>
      <c r="H43" s="86"/>
      <c r="I43" s="86"/>
      <c r="J43" s="198"/>
      <c r="K43" s="86"/>
      <c r="L43" s="86"/>
      <c r="M43" s="86"/>
      <c r="N43" s="86"/>
      <c r="O43" s="86"/>
      <c r="P43" s="86"/>
      <c r="Q43" s="86"/>
      <c r="R43" s="86"/>
      <c r="S43" s="86"/>
      <c r="T43" s="198"/>
    </row>
    <row r="44" spans="1:20" ht="14.25" customHeight="1" x14ac:dyDescent="0.2">
      <c r="A44" s="86" t="s">
        <v>98</v>
      </c>
      <c r="B44" s="86"/>
      <c r="C44" s="86"/>
      <c r="D44" s="86"/>
      <c r="E44" s="86"/>
      <c r="F44" s="86"/>
      <c r="G44" s="86"/>
      <c r="H44" s="86"/>
      <c r="I44" s="86"/>
      <c r="J44" s="198"/>
      <c r="K44" s="86" t="s">
        <v>98</v>
      </c>
      <c r="L44" s="86"/>
      <c r="M44" s="86"/>
      <c r="N44" s="86"/>
      <c r="O44" s="86"/>
      <c r="P44" s="86"/>
      <c r="Q44" s="86"/>
      <c r="R44" s="86"/>
      <c r="S44" s="86"/>
      <c r="T44" s="198"/>
    </row>
    <row r="45" spans="1:20" ht="14.25" customHeight="1" x14ac:dyDescent="0.2">
      <c r="A45" s="86"/>
      <c r="B45" s="86"/>
      <c r="C45" s="86"/>
      <c r="D45" s="86"/>
      <c r="E45" s="86"/>
      <c r="F45" s="86"/>
      <c r="G45" s="86"/>
      <c r="H45" s="86"/>
      <c r="I45" s="86"/>
      <c r="J45" s="198"/>
      <c r="K45" s="86"/>
      <c r="L45" s="86"/>
      <c r="M45" s="86"/>
      <c r="N45" s="86"/>
      <c r="O45" s="86"/>
      <c r="P45" s="86"/>
      <c r="Q45" s="86"/>
      <c r="R45" s="86"/>
      <c r="S45" s="86"/>
      <c r="T45" s="198"/>
    </row>
    <row r="46" spans="1:20" ht="14.25" customHeight="1" x14ac:dyDescent="0.2">
      <c r="A46" s="202" t="s">
        <v>90</v>
      </c>
      <c r="B46" s="399">
        <v>4.0999999999999999E-4</v>
      </c>
      <c r="C46" s="387" t="s">
        <v>91</v>
      </c>
      <c r="D46" s="397">
        <f>B13</f>
        <v>3059054.46</v>
      </c>
      <c r="E46" s="387" t="s">
        <v>340</v>
      </c>
      <c r="F46" s="399">
        <v>0.13800000000000001</v>
      </c>
      <c r="G46" s="387" t="s">
        <v>93</v>
      </c>
      <c r="H46" s="399">
        <v>1</v>
      </c>
      <c r="I46" s="469" t="s">
        <v>94</v>
      </c>
      <c r="J46" s="402"/>
      <c r="K46" s="202" t="s">
        <v>90</v>
      </c>
      <c r="L46" s="399">
        <v>4.0999999999999999E-4</v>
      </c>
      <c r="M46" s="387" t="s">
        <v>91</v>
      </c>
      <c r="N46" s="397">
        <f>L13</f>
        <v>1423551.7799999998</v>
      </c>
      <c r="O46" s="387" t="s">
        <v>340</v>
      </c>
      <c r="P46" s="399">
        <v>0.13800000000000001</v>
      </c>
      <c r="Q46" s="387" t="s">
        <v>93</v>
      </c>
      <c r="R46" s="399">
        <v>1</v>
      </c>
      <c r="S46" s="469" t="s">
        <v>94</v>
      </c>
      <c r="T46" s="402"/>
    </row>
    <row r="47" spans="1:20" ht="14.25" customHeight="1" x14ac:dyDescent="0.2">
      <c r="A47" s="86"/>
      <c r="C47" s="404" t="s">
        <v>93</v>
      </c>
      <c r="D47" s="499"/>
      <c r="E47" s="404" t="s">
        <v>64</v>
      </c>
      <c r="F47" s="499"/>
      <c r="G47" s="404" t="s">
        <v>92</v>
      </c>
      <c r="H47" s="213">
        <v>2000</v>
      </c>
      <c r="I47" s="86" t="s">
        <v>91</v>
      </c>
      <c r="J47" s="402"/>
      <c r="K47" s="86"/>
      <c r="L47" s="499"/>
      <c r="M47" s="404" t="s">
        <v>93</v>
      </c>
      <c r="N47" s="499"/>
      <c r="O47" s="404" t="s">
        <v>64</v>
      </c>
      <c r="P47" s="499"/>
      <c r="Q47" s="404" t="s">
        <v>92</v>
      </c>
      <c r="R47" s="213">
        <v>2000</v>
      </c>
      <c r="S47" s="86" t="s">
        <v>91</v>
      </c>
      <c r="T47" s="402"/>
    </row>
    <row r="48" spans="1:20" ht="14.25" customHeight="1" x14ac:dyDescent="0.2">
      <c r="A48" s="86"/>
      <c r="B48" s="86"/>
      <c r="C48" s="86"/>
      <c r="D48" s="86"/>
      <c r="E48" s="86"/>
      <c r="F48" s="86"/>
      <c r="G48" s="86"/>
      <c r="H48" s="86"/>
      <c r="I48" s="86"/>
      <c r="J48" s="198"/>
      <c r="K48" s="86"/>
      <c r="L48" s="86"/>
      <c r="M48" s="86"/>
      <c r="N48" s="86"/>
      <c r="O48" s="86"/>
      <c r="P48" s="86"/>
      <c r="Q48" s="86"/>
      <c r="R48" s="86"/>
      <c r="S48" s="86"/>
      <c r="T48" s="198"/>
    </row>
    <row r="49" spans="1:20" ht="14.25" customHeight="1" x14ac:dyDescent="0.2">
      <c r="A49" s="202" t="s">
        <v>90</v>
      </c>
      <c r="B49" s="501">
        <f>(B46*D46*F46)/H47</f>
        <v>8.6540650673399999E-2</v>
      </c>
      <c r="C49" s="206" t="s">
        <v>94</v>
      </c>
      <c r="D49" s="86"/>
      <c r="E49" s="86"/>
      <c r="F49" s="86"/>
      <c r="G49" s="86"/>
      <c r="H49" s="86"/>
      <c r="I49" s="86"/>
      <c r="J49" s="198"/>
      <c r="K49" s="202" t="s">
        <v>90</v>
      </c>
      <c r="L49" s="501">
        <f>(L46*N46*P46)/R47</f>
        <v>4.0272279856199994E-2</v>
      </c>
      <c r="M49" s="206" t="s">
        <v>94</v>
      </c>
      <c r="N49" s="86"/>
      <c r="O49" s="86"/>
      <c r="P49" s="86"/>
      <c r="Q49" s="86"/>
      <c r="R49" s="86"/>
      <c r="S49" s="86"/>
      <c r="T49" s="198"/>
    </row>
    <row r="50" spans="1:20" ht="14.25" customHeight="1" x14ac:dyDescent="0.2">
      <c r="A50" s="86"/>
      <c r="B50" s="86"/>
      <c r="C50" s="198" t="s">
        <v>64</v>
      </c>
      <c r="D50" s="86"/>
      <c r="E50" s="86"/>
      <c r="F50" s="86"/>
      <c r="G50" s="86"/>
      <c r="H50" s="86"/>
      <c r="I50" s="86"/>
      <c r="J50" s="198"/>
      <c r="K50" s="86"/>
      <c r="L50" s="86"/>
      <c r="M50" s="198" t="s">
        <v>64</v>
      </c>
      <c r="N50" s="86"/>
      <c r="O50" s="86"/>
      <c r="P50" s="86"/>
      <c r="Q50" s="86"/>
      <c r="R50" s="86"/>
      <c r="S50" s="86"/>
      <c r="T50" s="198"/>
    </row>
    <row r="51" spans="1:20" ht="14.25" customHeight="1" x14ac:dyDescent="0.2">
      <c r="A51" s="86"/>
      <c r="B51" s="86"/>
      <c r="C51" s="198"/>
      <c r="D51" s="86"/>
      <c r="E51" s="86"/>
      <c r="F51" s="86"/>
      <c r="G51" s="86"/>
      <c r="H51" s="86"/>
      <c r="I51" s="86"/>
      <c r="J51" s="198"/>
      <c r="K51" s="86"/>
      <c r="L51" s="86"/>
      <c r="M51" s="198"/>
      <c r="N51" s="86"/>
      <c r="O51" s="86"/>
      <c r="P51" s="86"/>
      <c r="Q51" s="86"/>
      <c r="R51" s="86"/>
      <c r="S51" s="86"/>
      <c r="T51" s="198"/>
    </row>
    <row r="52" spans="1:20" ht="14.25" customHeight="1" x14ac:dyDescent="0.2">
      <c r="A52" s="86"/>
      <c r="B52" s="86"/>
      <c r="C52" s="198"/>
      <c r="D52" s="86"/>
      <c r="E52" s="86"/>
      <c r="F52" s="86"/>
      <c r="G52" s="86"/>
      <c r="H52" s="86"/>
      <c r="I52" s="86"/>
      <c r="J52" s="198"/>
      <c r="K52" s="86"/>
      <c r="L52" s="86"/>
      <c r="M52" s="198"/>
      <c r="N52" s="86"/>
      <c r="O52" s="86"/>
      <c r="P52" s="86"/>
      <c r="Q52" s="86"/>
      <c r="R52" s="86"/>
      <c r="S52" s="86"/>
      <c r="T52" s="198"/>
    </row>
    <row r="53" spans="1:20" ht="14.25" customHeight="1" x14ac:dyDescent="0.2">
      <c r="A53" s="86"/>
      <c r="B53" s="86"/>
      <c r="C53" s="198"/>
      <c r="D53" s="86"/>
      <c r="E53" s="86"/>
      <c r="F53" s="86"/>
      <c r="G53" s="86"/>
      <c r="H53" s="86"/>
      <c r="I53" s="86"/>
      <c r="J53" s="198"/>
      <c r="K53" s="86"/>
      <c r="L53" s="86"/>
      <c r="M53" s="198"/>
      <c r="N53" s="86"/>
      <c r="O53" s="86"/>
      <c r="P53" s="86"/>
      <c r="Q53" s="86"/>
      <c r="R53" s="86"/>
      <c r="S53" s="86"/>
      <c r="T53" s="198"/>
    </row>
    <row r="54" spans="1:20" ht="14.25" customHeight="1" x14ac:dyDescent="0.2">
      <c r="A54" s="86"/>
      <c r="B54" s="86"/>
      <c r="C54" s="198"/>
      <c r="D54" s="86"/>
      <c r="E54" s="86"/>
      <c r="F54" s="86"/>
      <c r="G54" s="86"/>
      <c r="H54" s="86"/>
      <c r="I54" s="86"/>
      <c r="J54" s="198"/>
      <c r="K54" s="86"/>
      <c r="L54" s="86"/>
      <c r="M54" s="198"/>
      <c r="N54" s="86"/>
      <c r="O54" s="86"/>
      <c r="P54" s="86"/>
      <c r="Q54" s="86"/>
      <c r="R54" s="86"/>
      <c r="S54" s="86"/>
      <c r="T54" s="198"/>
    </row>
    <row r="55" spans="1:20" ht="14.25" customHeight="1" x14ac:dyDescent="0.2">
      <c r="A55" s="86"/>
      <c r="B55" s="86"/>
      <c r="C55" s="86"/>
      <c r="D55" s="86"/>
      <c r="E55" s="86"/>
      <c r="F55" s="86"/>
      <c r="G55" s="86"/>
      <c r="H55" s="86"/>
      <c r="I55" s="86"/>
      <c r="J55" s="198"/>
      <c r="K55" s="86"/>
      <c r="L55" s="86"/>
      <c r="M55" s="86"/>
      <c r="N55" s="86"/>
      <c r="O55" s="86"/>
      <c r="P55" s="86"/>
      <c r="Q55" s="86"/>
      <c r="R55" s="86"/>
      <c r="S55" s="86"/>
      <c r="T55" s="198"/>
    </row>
    <row r="56" spans="1:20" ht="14.25" customHeight="1" x14ac:dyDescent="0.2">
      <c r="A56" s="86"/>
      <c r="B56" s="86"/>
      <c r="C56" s="86"/>
      <c r="D56" s="86"/>
      <c r="E56" s="86"/>
      <c r="F56" s="86"/>
      <c r="G56" s="86"/>
      <c r="H56" s="86"/>
      <c r="I56" s="86"/>
      <c r="J56" s="198"/>
      <c r="K56" s="86"/>
      <c r="L56" s="86"/>
      <c r="M56" s="86"/>
      <c r="N56" s="86"/>
      <c r="O56" s="86"/>
      <c r="P56" s="86"/>
      <c r="Q56" s="86"/>
      <c r="R56" s="86"/>
      <c r="S56" s="86"/>
      <c r="T56" s="198"/>
    </row>
    <row r="57" spans="1:20" ht="14.25" customHeight="1" x14ac:dyDescent="0.2">
      <c r="A57" s="86" t="s">
        <v>99</v>
      </c>
      <c r="B57" s="86"/>
      <c r="C57" s="86"/>
      <c r="D57" s="86"/>
      <c r="E57" s="86"/>
      <c r="F57" s="86"/>
      <c r="G57" s="86"/>
      <c r="H57" s="86"/>
      <c r="I57" s="86"/>
      <c r="J57" s="198"/>
      <c r="K57" s="86" t="s">
        <v>99</v>
      </c>
      <c r="L57" s="86"/>
      <c r="M57" s="86"/>
      <c r="N57" s="86"/>
      <c r="O57" s="86"/>
      <c r="P57" s="86"/>
      <c r="Q57" s="86"/>
      <c r="R57" s="86"/>
      <c r="S57" s="86"/>
      <c r="T57" s="198"/>
    </row>
    <row r="58" spans="1:20" ht="14.25" customHeight="1" x14ac:dyDescent="0.2">
      <c r="A58" s="86"/>
      <c r="B58" s="86"/>
      <c r="C58" s="86"/>
      <c r="D58" s="86"/>
      <c r="E58" s="86"/>
      <c r="F58" s="86"/>
      <c r="G58" s="86"/>
      <c r="H58" s="86"/>
      <c r="I58" s="86"/>
      <c r="J58" s="198"/>
      <c r="K58" s="86"/>
      <c r="L58" s="86"/>
      <c r="M58" s="86"/>
      <c r="N58" s="86"/>
      <c r="O58" s="86"/>
      <c r="P58" s="86"/>
      <c r="Q58" s="86"/>
      <c r="R58" s="86"/>
      <c r="S58" s="86"/>
      <c r="T58" s="198"/>
    </row>
    <row r="59" spans="1:20" ht="14.25" customHeight="1" x14ac:dyDescent="0.2">
      <c r="A59" s="202" t="s">
        <v>90</v>
      </c>
      <c r="B59" s="399">
        <v>3.3E-3</v>
      </c>
      <c r="C59" s="387" t="s">
        <v>91</v>
      </c>
      <c r="D59" s="397">
        <f>B13</f>
        <v>3059054.46</v>
      </c>
      <c r="E59" s="387" t="s">
        <v>340</v>
      </c>
      <c r="F59" s="399">
        <v>0.13800000000000001</v>
      </c>
      <c r="G59" s="387" t="s">
        <v>93</v>
      </c>
      <c r="H59" s="399">
        <v>1</v>
      </c>
      <c r="I59" s="469" t="s">
        <v>94</v>
      </c>
      <c r="J59" s="402"/>
      <c r="K59" s="202" t="s">
        <v>90</v>
      </c>
      <c r="L59" s="399">
        <v>3.3E-3</v>
      </c>
      <c r="M59" s="387" t="s">
        <v>91</v>
      </c>
      <c r="N59" s="397">
        <f>L13</f>
        <v>1423551.7799999998</v>
      </c>
      <c r="O59" s="387" t="s">
        <v>340</v>
      </c>
      <c r="P59" s="399">
        <v>0.13800000000000001</v>
      </c>
      <c r="Q59" s="387" t="s">
        <v>93</v>
      </c>
      <c r="R59" s="399">
        <v>1</v>
      </c>
      <c r="S59" s="469" t="s">
        <v>94</v>
      </c>
      <c r="T59" s="402"/>
    </row>
    <row r="60" spans="1:20" ht="14.25" customHeight="1" x14ac:dyDescent="0.2">
      <c r="A60" s="86"/>
      <c r="B60" s="499"/>
      <c r="C60" s="404" t="s">
        <v>93</v>
      </c>
      <c r="D60" s="499"/>
      <c r="E60" s="404" t="s">
        <v>64</v>
      </c>
      <c r="F60" s="499"/>
      <c r="G60" s="404" t="s">
        <v>92</v>
      </c>
      <c r="H60" s="213">
        <v>2000</v>
      </c>
      <c r="I60" s="86" t="s">
        <v>91</v>
      </c>
      <c r="J60" s="402"/>
      <c r="K60" s="86"/>
      <c r="L60" s="499"/>
      <c r="M60" s="404" t="s">
        <v>93</v>
      </c>
      <c r="N60" s="499"/>
      <c r="O60" s="404" t="s">
        <v>64</v>
      </c>
      <c r="P60" s="499"/>
      <c r="Q60" s="404" t="s">
        <v>92</v>
      </c>
      <c r="R60" s="213">
        <v>2000</v>
      </c>
      <c r="S60" s="86" t="s">
        <v>91</v>
      </c>
      <c r="T60" s="402"/>
    </row>
    <row r="61" spans="1:20" ht="14.25" customHeight="1" x14ac:dyDescent="0.2">
      <c r="A61" s="86"/>
      <c r="B61" s="86"/>
      <c r="C61" s="86"/>
      <c r="D61" s="86"/>
      <c r="E61" s="86"/>
      <c r="F61" s="86"/>
      <c r="G61" s="86"/>
      <c r="H61" s="86"/>
      <c r="I61" s="86"/>
      <c r="J61" s="198"/>
      <c r="K61" s="86"/>
      <c r="L61" s="86"/>
      <c r="M61" s="86"/>
      <c r="N61" s="86"/>
      <c r="O61" s="86"/>
      <c r="P61" s="86"/>
      <c r="Q61" s="86"/>
      <c r="R61" s="86"/>
      <c r="S61" s="86"/>
      <c r="T61" s="198"/>
    </row>
    <row r="62" spans="1:20" ht="14.25" customHeight="1" x14ac:dyDescent="0.2">
      <c r="A62" s="202" t="s">
        <v>90</v>
      </c>
      <c r="B62" s="501">
        <f>(B59*D59*F59)/H60</f>
        <v>0.69654670054200007</v>
      </c>
      <c r="C62" s="206" t="s">
        <v>94</v>
      </c>
      <c r="D62" s="86"/>
      <c r="E62" s="86"/>
      <c r="F62" s="86"/>
      <c r="G62" s="86"/>
      <c r="H62" s="86"/>
      <c r="I62" s="86"/>
      <c r="J62" s="198"/>
      <c r="K62" s="202" t="s">
        <v>90</v>
      </c>
      <c r="L62" s="501">
        <f>(L59*N59*P59)/R60</f>
        <v>0.32414274030599999</v>
      </c>
      <c r="M62" s="206" t="s">
        <v>94</v>
      </c>
      <c r="N62" s="86"/>
      <c r="O62" s="86"/>
      <c r="P62" s="86"/>
      <c r="Q62" s="86"/>
      <c r="R62" s="86"/>
      <c r="S62" s="86"/>
      <c r="T62" s="198"/>
    </row>
    <row r="63" spans="1:20" ht="14.25" customHeight="1" x14ac:dyDescent="0.2">
      <c r="A63" s="86"/>
      <c r="B63" s="86"/>
      <c r="C63" s="198" t="s">
        <v>64</v>
      </c>
      <c r="D63" s="86"/>
      <c r="E63" s="86"/>
      <c r="F63" s="86"/>
      <c r="G63" s="86"/>
      <c r="H63" s="86"/>
      <c r="I63" s="86"/>
      <c r="J63" s="198"/>
      <c r="K63" s="86"/>
      <c r="L63" s="86"/>
      <c r="M63" s="198" t="s">
        <v>64</v>
      </c>
      <c r="N63" s="86"/>
      <c r="O63" s="86"/>
      <c r="P63" s="86"/>
      <c r="Q63" s="86"/>
      <c r="R63" s="86"/>
      <c r="S63" s="86"/>
      <c r="T63" s="198"/>
    </row>
    <row r="64" spans="1:20" ht="14.25" customHeight="1" x14ac:dyDescent="0.2">
      <c r="A64" s="86"/>
      <c r="B64" s="86"/>
      <c r="C64" s="86"/>
      <c r="D64" s="86"/>
      <c r="E64" s="86"/>
      <c r="F64" s="86"/>
      <c r="G64" s="86"/>
      <c r="H64" s="86"/>
      <c r="I64" s="86"/>
      <c r="J64" s="198"/>
      <c r="K64" s="86"/>
      <c r="L64" s="86"/>
      <c r="M64" s="86"/>
      <c r="N64" s="86"/>
      <c r="O64" s="86"/>
      <c r="P64" s="86"/>
      <c r="Q64" s="86"/>
      <c r="R64" s="86"/>
      <c r="S64" s="86"/>
      <c r="T64" s="198"/>
    </row>
    <row r="65" spans="1:20" ht="14.25" customHeight="1" x14ac:dyDescent="0.2">
      <c r="A65" s="86"/>
      <c r="B65" s="86"/>
      <c r="C65" s="86"/>
      <c r="D65" s="86"/>
      <c r="E65" s="86"/>
      <c r="F65" s="86"/>
      <c r="G65" s="86"/>
      <c r="H65" s="86"/>
      <c r="I65" s="86"/>
      <c r="J65" s="198"/>
      <c r="K65" s="86"/>
      <c r="L65" s="86"/>
      <c r="M65" s="86"/>
      <c r="N65" s="86"/>
      <c r="O65" s="86"/>
      <c r="P65" s="86"/>
      <c r="Q65" s="86"/>
      <c r="R65" s="86"/>
      <c r="S65" s="86"/>
      <c r="T65" s="198"/>
    </row>
    <row r="66" spans="1:20" ht="14.25" customHeight="1" x14ac:dyDescent="0.2">
      <c r="A66" s="86" t="s">
        <v>100</v>
      </c>
      <c r="B66" s="86"/>
      <c r="C66" s="86"/>
      <c r="D66" s="86"/>
      <c r="E66" s="86"/>
      <c r="F66" s="86"/>
      <c r="G66" s="86"/>
      <c r="H66" s="86"/>
      <c r="I66" s="86"/>
      <c r="J66" s="198"/>
      <c r="K66" s="86" t="s">
        <v>100</v>
      </c>
      <c r="L66" s="86"/>
      <c r="M66" s="86"/>
      <c r="N66" s="86"/>
      <c r="O66" s="86"/>
      <c r="P66" s="86"/>
      <c r="Q66" s="86"/>
      <c r="R66" s="86"/>
      <c r="S66" s="86"/>
      <c r="T66" s="198"/>
    </row>
    <row r="67" spans="1:20" ht="14.25" customHeight="1" x14ac:dyDescent="0.2">
      <c r="A67" s="86"/>
      <c r="B67" s="86"/>
      <c r="C67" s="86"/>
      <c r="D67" s="86"/>
      <c r="E67" s="86"/>
      <c r="F67" s="86"/>
      <c r="G67" s="86"/>
      <c r="H67" s="86"/>
      <c r="I67" s="86"/>
      <c r="J67" s="198"/>
      <c r="K67" s="86"/>
      <c r="L67" s="86"/>
      <c r="M67" s="86"/>
      <c r="N67" s="86"/>
      <c r="O67" s="86"/>
      <c r="P67" s="86"/>
      <c r="Q67" s="86"/>
      <c r="R67" s="86"/>
      <c r="S67" s="86"/>
      <c r="T67" s="198"/>
    </row>
    <row r="68" spans="1:20" ht="14.25" customHeight="1" x14ac:dyDescent="0.2">
      <c r="A68" s="202" t="s">
        <v>90</v>
      </c>
      <c r="B68" s="399">
        <v>1.4E-5</v>
      </c>
      <c r="C68" s="387" t="s">
        <v>91</v>
      </c>
      <c r="D68" s="397">
        <f>B13</f>
        <v>3059054.46</v>
      </c>
      <c r="E68" s="387" t="s">
        <v>340</v>
      </c>
      <c r="F68" s="399">
        <v>0.13800000000000001</v>
      </c>
      <c r="G68" s="387" t="s">
        <v>93</v>
      </c>
      <c r="H68" s="399">
        <v>1</v>
      </c>
      <c r="I68" s="469" t="s">
        <v>94</v>
      </c>
      <c r="J68" s="402"/>
      <c r="K68" s="202" t="s">
        <v>90</v>
      </c>
      <c r="L68" s="399">
        <v>1.4E-5</v>
      </c>
      <c r="M68" s="387" t="s">
        <v>91</v>
      </c>
      <c r="N68" s="397">
        <f>L13</f>
        <v>1423551.7799999998</v>
      </c>
      <c r="O68" s="387" t="s">
        <v>340</v>
      </c>
      <c r="P68" s="399">
        <v>0.13800000000000001</v>
      </c>
      <c r="Q68" s="387" t="s">
        <v>93</v>
      </c>
      <c r="R68" s="399">
        <v>1</v>
      </c>
      <c r="S68" s="469" t="s">
        <v>94</v>
      </c>
      <c r="T68" s="402"/>
    </row>
    <row r="69" spans="1:20" ht="14.25" customHeight="1" x14ac:dyDescent="0.2">
      <c r="A69" s="86"/>
      <c r="B69" s="499"/>
      <c r="C69" s="404" t="s">
        <v>93</v>
      </c>
      <c r="D69" s="499"/>
      <c r="E69" s="404" t="s">
        <v>64</v>
      </c>
      <c r="F69" s="499"/>
      <c r="G69" s="404" t="s">
        <v>92</v>
      </c>
      <c r="H69" s="213">
        <v>2000</v>
      </c>
      <c r="I69" s="86" t="s">
        <v>91</v>
      </c>
      <c r="J69" s="402"/>
      <c r="K69" s="86"/>
      <c r="L69" s="499"/>
      <c r="M69" s="404" t="s">
        <v>93</v>
      </c>
      <c r="N69" s="499"/>
      <c r="O69" s="404" t="s">
        <v>64</v>
      </c>
      <c r="P69" s="499"/>
      <c r="Q69" s="404" t="s">
        <v>92</v>
      </c>
      <c r="R69" s="213">
        <v>2000</v>
      </c>
      <c r="S69" s="86" t="s">
        <v>91</v>
      </c>
      <c r="T69" s="402"/>
    </row>
    <row r="71" spans="1:20" ht="14.25" customHeight="1" x14ac:dyDescent="0.2">
      <c r="A71" s="202" t="s">
        <v>90</v>
      </c>
      <c r="B71" s="501">
        <f>(B68*D68*F68)/H69</f>
        <v>2.9550466083600002E-3</v>
      </c>
      <c r="C71" s="206" t="s">
        <v>94</v>
      </c>
      <c r="D71" s="86"/>
      <c r="E71" s="86"/>
      <c r="F71" s="86"/>
      <c r="G71" s="86"/>
      <c r="H71" s="86"/>
      <c r="I71" s="86"/>
      <c r="J71" s="86"/>
      <c r="K71" s="202" t="s">
        <v>90</v>
      </c>
      <c r="L71" s="501">
        <f>(L68*N68*P68)/R69</f>
        <v>1.3751510194800001E-3</v>
      </c>
      <c r="M71" s="206" t="s">
        <v>94</v>
      </c>
      <c r="N71" s="86"/>
      <c r="O71" s="86"/>
      <c r="P71" s="86"/>
      <c r="Q71" s="86"/>
      <c r="R71" s="86"/>
      <c r="S71" s="86"/>
      <c r="T71" s="86"/>
    </row>
    <row r="72" spans="1:20" ht="14.25" customHeight="1" x14ac:dyDescent="0.2">
      <c r="A72" s="86"/>
      <c r="B72" s="86"/>
      <c r="C72" s="198" t="s">
        <v>64</v>
      </c>
      <c r="D72" s="86"/>
      <c r="E72" s="86"/>
      <c r="F72" s="86"/>
      <c r="G72" s="86"/>
      <c r="H72" s="86"/>
      <c r="I72" s="86"/>
      <c r="J72" s="86"/>
      <c r="K72" s="86"/>
      <c r="L72" s="86"/>
      <c r="M72" s="198" t="s">
        <v>64</v>
      </c>
      <c r="N72" s="86"/>
      <c r="O72" s="86"/>
      <c r="P72" s="86"/>
      <c r="Q72" s="86"/>
      <c r="R72" s="86"/>
      <c r="S72" s="86"/>
      <c r="T72" s="86"/>
    </row>
    <row r="75" spans="1:20" ht="14.25" customHeight="1" x14ac:dyDescent="0.2">
      <c r="A75" s="86" t="s">
        <v>101</v>
      </c>
      <c r="B75" s="86"/>
      <c r="C75" s="86"/>
      <c r="D75" s="86"/>
      <c r="E75" s="86"/>
      <c r="F75" s="86"/>
      <c r="G75" s="86"/>
      <c r="K75" s="86" t="s">
        <v>101</v>
      </c>
      <c r="L75" s="86"/>
      <c r="M75" s="86"/>
      <c r="N75" s="86"/>
      <c r="O75" s="86"/>
      <c r="P75" s="86"/>
      <c r="Q75" s="86"/>
    </row>
    <row r="77" spans="1:20" ht="14.25" customHeight="1" x14ac:dyDescent="0.2">
      <c r="A77" s="202" t="s">
        <v>90</v>
      </c>
      <c r="B77" s="482">
        <f>V14</f>
        <v>22.578420600240001</v>
      </c>
      <c r="C77" s="387" t="s">
        <v>91</v>
      </c>
      <c r="D77" s="400">
        <f>D68</f>
        <v>3059054.46</v>
      </c>
      <c r="E77" s="387" t="s">
        <v>92</v>
      </c>
      <c r="F77" s="398"/>
      <c r="G77" s="401" t="s">
        <v>94</v>
      </c>
      <c r="K77" s="202" t="s">
        <v>90</v>
      </c>
      <c r="L77" s="482">
        <f>V14</f>
        <v>22.578420600240001</v>
      </c>
      <c r="M77" s="387" t="s">
        <v>91</v>
      </c>
      <c r="N77" s="400">
        <f>N68</f>
        <v>1423551.7799999998</v>
      </c>
      <c r="O77" s="387" t="s">
        <v>92</v>
      </c>
      <c r="P77" s="398"/>
      <c r="Q77" s="401" t="s">
        <v>94</v>
      </c>
    </row>
    <row r="78" spans="1:20" ht="14.25" customHeight="1" x14ac:dyDescent="0.25">
      <c r="A78" s="86"/>
      <c r="B78" s="403"/>
      <c r="C78" s="404" t="s">
        <v>92</v>
      </c>
      <c r="D78" s="402"/>
      <c r="E78" s="197" t="s">
        <v>64</v>
      </c>
      <c r="F78" s="213">
        <v>2000</v>
      </c>
      <c r="G78" s="405" t="s">
        <v>91</v>
      </c>
      <c r="K78" s="86"/>
      <c r="L78" s="403"/>
      <c r="M78" s="404" t="s">
        <v>92</v>
      </c>
      <c r="N78" s="402"/>
      <c r="O78" s="197" t="s">
        <v>64</v>
      </c>
      <c r="P78" s="213">
        <v>2000</v>
      </c>
      <c r="Q78" s="405" t="s">
        <v>91</v>
      </c>
    </row>
    <row r="81" spans="1:17" ht="14.25" customHeight="1" x14ac:dyDescent="0.2">
      <c r="A81" s="202" t="s">
        <v>90</v>
      </c>
      <c r="B81" s="410">
        <f>B77*D77/F78</f>
        <v>34534.309118460027</v>
      </c>
      <c r="C81" s="206" t="s">
        <v>94</v>
      </c>
      <c r="D81" s="202" t="s">
        <v>90</v>
      </c>
      <c r="E81" s="410">
        <f>B81*(2000/8760)</f>
        <v>7884.5454608356222</v>
      </c>
      <c r="F81" s="206" t="s">
        <v>91</v>
      </c>
      <c r="G81" s="86"/>
      <c r="K81" s="202" t="s">
        <v>90</v>
      </c>
      <c r="L81" s="410">
        <f>L77*N77/P78</f>
        <v>16070.775417530158</v>
      </c>
      <c r="M81" s="206" t="s">
        <v>94</v>
      </c>
      <c r="N81" s="202" t="s">
        <v>90</v>
      </c>
      <c r="O81" s="410">
        <f>L81*(2000/8760)</f>
        <v>3669.1268076552869</v>
      </c>
      <c r="P81" s="206" t="s">
        <v>91</v>
      </c>
      <c r="Q81" s="86"/>
    </row>
    <row r="82" spans="1:17" ht="14.25" customHeight="1" x14ac:dyDescent="0.2">
      <c r="A82" s="86"/>
      <c r="B82" s="86"/>
      <c r="C82" s="198" t="s">
        <v>64</v>
      </c>
      <c r="D82" s="86"/>
      <c r="E82" s="86"/>
      <c r="F82" s="198" t="s">
        <v>95</v>
      </c>
      <c r="G82" s="86"/>
      <c r="K82" s="86"/>
      <c r="L82" s="86"/>
      <c r="M82" s="198" t="s">
        <v>64</v>
      </c>
      <c r="N82" s="86"/>
      <c r="O82" s="86"/>
      <c r="P82" s="198" t="s">
        <v>95</v>
      </c>
      <c r="Q82" s="86"/>
    </row>
  </sheetData>
  <mergeCells count="4">
    <mergeCell ref="A2:J2"/>
    <mergeCell ref="K2:T2"/>
    <mergeCell ref="A4:B4"/>
    <mergeCell ref="K4:L4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W76"/>
  <sheetViews>
    <sheetView zoomScaleNormal="100" workbookViewId="0">
      <selection sqref="A1:O1"/>
    </sheetView>
  </sheetViews>
  <sheetFormatPr defaultColWidth="8.7109375" defaultRowHeight="12.75" x14ac:dyDescent="0.2"/>
  <cols>
    <col min="1" max="1" width="11.5703125" customWidth="1"/>
    <col min="2" max="2" width="14.42578125" customWidth="1"/>
    <col min="4" max="4" width="9.7109375" customWidth="1"/>
    <col min="10" max="10" width="21.7109375" customWidth="1"/>
    <col min="11" max="11" width="11.85546875" customWidth="1"/>
    <col min="12" max="12" width="12" customWidth="1"/>
    <col min="14" max="14" width="9.7109375" customWidth="1"/>
  </cols>
  <sheetData>
    <row r="1" spans="1:23" ht="14.25" customHeight="1" x14ac:dyDescent="0.2">
      <c r="A1" s="592" t="s">
        <v>341</v>
      </c>
      <c r="B1" s="592"/>
      <c r="C1" s="592"/>
      <c r="D1" s="592"/>
      <c r="E1" s="592"/>
      <c r="F1" s="592"/>
      <c r="G1" s="592"/>
      <c r="H1" s="592"/>
      <c r="I1" s="592"/>
      <c r="K1" s="592" t="s">
        <v>342</v>
      </c>
      <c r="L1" s="592"/>
      <c r="M1" s="592"/>
      <c r="N1" s="592"/>
      <c r="O1" s="592"/>
      <c r="P1" s="592"/>
      <c r="Q1" s="592"/>
      <c r="R1" s="592"/>
      <c r="S1" s="592"/>
    </row>
    <row r="3" spans="1:23" ht="14.25" customHeight="1" x14ac:dyDescent="0.25">
      <c r="A3" s="622" t="s">
        <v>343</v>
      </c>
      <c r="B3" s="622"/>
      <c r="C3" s="622"/>
      <c r="D3" s="622"/>
      <c r="K3" s="622" t="s">
        <v>343</v>
      </c>
      <c r="L3" s="622"/>
      <c r="M3" s="622"/>
      <c r="N3" s="622"/>
    </row>
    <row r="4" spans="1:23" ht="14.25" customHeight="1" x14ac:dyDescent="0.25">
      <c r="A4" s="623" t="s">
        <v>344</v>
      </c>
      <c r="B4" s="623"/>
      <c r="C4" s="623"/>
      <c r="D4" s="623"/>
      <c r="K4" s="623" t="s">
        <v>344</v>
      </c>
      <c r="L4" s="623"/>
      <c r="M4" s="623"/>
      <c r="N4" s="623"/>
    </row>
    <row r="5" spans="1:23" ht="14.25" customHeight="1" x14ac:dyDescent="0.25">
      <c r="A5" s="503" t="s">
        <v>18</v>
      </c>
      <c r="B5" s="504">
        <v>1.2E-2</v>
      </c>
      <c r="C5" s="505" t="s">
        <v>345</v>
      </c>
      <c r="D5" s="506"/>
      <c r="K5" s="503" t="s">
        <v>18</v>
      </c>
      <c r="L5" s="504">
        <v>1.2E-2</v>
      </c>
      <c r="M5" s="505" t="s">
        <v>345</v>
      </c>
      <c r="N5" s="506"/>
    </row>
    <row r="6" spans="1:23" ht="14.25" customHeight="1" x14ac:dyDescent="0.25">
      <c r="A6" s="507" t="s">
        <v>41</v>
      </c>
      <c r="B6" s="508">
        <v>1.01</v>
      </c>
      <c r="C6" s="509" t="s">
        <v>346</v>
      </c>
      <c r="D6" s="510"/>
      <c r="K6" s="507" t="s">
        <v>41</v>
      </c>
      <c r="L6" s="508">
        <v>1.01</v>
      </c>
      <c r="M6" s="509" t="s">
        <v>346</v>
      </c>
      <c r="N6" s="510"/>
    </row>
    <row r="7" spans="1:23" ht="14.25" customHeight="1" x14ac:dyDescent="0.25">
      <c r="A7" s="507" t="s">
        <v>20</v>
      </c>
      <c r="B7" s="508">
        <v>0.88</v>
      </c>
      <c r="C7" s="509" t="s">
        <v>345</v>
      </c>
      <c r="D7" s="510"/>
      <c r="K7" s="507" t="s">
        <v>20</v>
      </c>
      <c r="L7" s="508">
        <v>0.88</v>
      </c>
      <c r="M7" s="509" t="s">
        <v>345</v>
      </c>
      <c r="N7" s="510"/>
    </row>
    <row r="8" spans="1:23" ht="14.25" customHeight="1" x14ac:dyDescent="0.25">
      <c r="A8" s="507" t="s">
        <v>22</v>
      </c>
      <c r="B8" s="508">
        <v>4.0999999999999999E-4</v>
      </c>
      <c r="C8" s="509" t="s">
        <v>345</v>
      </c>
      <c r="D8" s="510"/>
      <c r="K8" s="507" t="s">
        <v>22</v>
      </c>
      <c r="L8" s="508">
        <v>4.0999999999999999E-4</v>
      </c>
      <c r="M8" s="509" t="s">
        <v>345</v>
      </c>
      <c r="N8" s="510"/>
    </row>
    <row r="9" spans="1:23" ht="14.25" customHeight="1" x14ac:dyDescent="0.25">
      <c r="A9" s="507" t="s">
        <v>21</v>
      </c>
      <c r="B9" s="508">
        <v>3.3E-3</v>
      </c>
      <c r="C9" s="509" t="s">
        <v>345</v>
      </c>
      <c r="D9" s="510"/>
      <c r="K9" s="507" t="s">
        <v>21</v>
      </c>
      <c r="L9" s="508">
        <v>3.3E-3</v>
      </c>
      <c r="M9" s="509" t="s">
        <v>345</v>
      </c>
      <c r="N9" s="510"/>
    </row>
    <row r="10" spans="1:23" ht="14.25" customHeight="1" x14ac:dyDescent="0.25">
      <c r="A10" s="511" t="s">
        <v>23</v>
      </c>
      <c r="B10" s="512">
        <v>1.4E-5</v>
      </c>
      <c r="C10" s="513" t="s">
        <v>345</v>
      </c>
      <c r="D10" s="514"/>
      <c r="K10" s="511" t="s">
        <v>23</v>
      </c>
      <c r="L10" s="512">
        <v>1.4E-5</v>
      </c>
      <c r="M10" s="513" t="s">
        <v>345</v>
      </c>
      <c r="N10" s="514"/>
    </row>
    <row r="11" spans="1:23" ht="14.25" customHeight="1" x14ac:dyDescent="0.2">
      <c r="A11" s="480" t="s">
        <v>24</v>
      </c>
      <c r="B11" s="481" t="s">
        <v>236</v>
      </c>
      <c r="C11" s="393" t="s">
        <v>235</v>
      </c>
      <c r="D11" s="86"/>
      <c r="E11" s="86"/>
      <c r="F11" s="86"/>
      <c r="G11" s="86"/>
      <c r="H11" s="86"/>
      <c r="I11" s="86"/>
      <c r="K11" s="480" t="s">
        <v>24</v>
      </c>
      <c r="L11" s="481" t="s">
        <v>236</v>
      </c>
      <c r="M11" s="393" t="s">
        <v>235</v>
      </c>
    </row>
    <row r="13" spans="1:23" ht="14.25" customHeight="1" x14ac:dyDescent="0.25">
      <c r="A13" s="459" t="s">
        <v>318</v>
      </c>
      <c r="B13" s="142">
        <f>SUM(Turbinas!J19)</f>
        <v>0</v>
      </c>
      <c r="C13" t="s">
        <v>87</v>
      </c>
      <c r="D13" s="621" t="s">
        <v>347</v>
      </c>
      <c r="E13" s="621"/>
      <c r="F13" s="621"/>
      <c r="G13" s="621"/>
      <c r="H13" s="621"/>
      <c r="K13" s="459" t="s">
        <v>318</v>
      </c>
      <c r="L13" s="142">
        <f>SUM(Turbinas!K19)</f>
        <v>2043173.16</v>
      </c>
      <c r="M13" t="s">
        <v>87</v>
      </c>
      <c r="N13" s="621" t="s">
        <v>347</v>
      </c>
      <c r="O13" s="621"/>
      <c r="P13" s="621"/>
      <c r="Q13" s="621"/>
      <c r="R13" s="621"/>
    </row>
    <row r="14" spans="1:23" ht="14.25" customHeight="1" x14ac:dyDescent="0.25">
      <c r="A14" s="459" t="s">
        <v>62</v>
      </c>
      <c r="B14" s="142">
        <f>Turbinas!AE17</f>
        <v>0.01</v>
      </c>
      <c r="K14" s="459" t="s">
        <v>62</v>
      </c>
      <c r="L14" s="142">
        <f>Turbinas!AF17</f>
        <v>0.01</v>
      </c>
      <c r="V14">
        <f>(73.96+0.003*25+0.0006*298)*2.2046*0.138</f>
        <v>22.578420600240001</v>
      </c>
      <c r="W14" t="s">
        <v>116</v>
      </c>
    </row>
    <row r="15" spans="1:23" ht="14.25" customHeight="1" x14ac:dyDescent="0.25">
      <c r="A15" s="459"/>
      <c r="B15" s="142"/>
      <c r="K15" s="459"/>
      <c r="L15" s="142"/>
    </row>
    <row r="17" spans="1:19" ht="14.25" customHeight="1" x14ac:dyDescent="0.25">
      <c r="A17" s="459" t="s">
        <v>186</v>
      </c>
      <c r="K17" s="459" t="s">
        <v>186</v>
      </c>
    </row>
    <row r="19" spans="1:19" ht="14.25" customHeight="1" x14ac:dyDescent="0.25">
      <c r="A19" s="88" t="s">
        <v>90</v>
      </c>
      <c r="B19" s="515">
        <v>1.2E-2</v>
      </c>
      <c r="C19" s="516" t="s">
        <v>91</v>
      </c>
      <c r="D19" s="517">
        <f>B13</f>
        <v>0</v>
      </c>
      <c r="E19" s="516" t="s">
        <v>92</v>
      </c>
      <c r="F19" s="515">
        <v>0.13800000000000001</v>
      </c>
      <c r="G19" s="516" t="s">
        <v>93</v>
      </c>
      <c r="H19" s="619" t="s">
        <v>94</v>
      </c>
      <c r="I19" s="619"/>
      <c r="K19" s="88" t="s">
        <v>90</v>
      </c>
      <c r="L19" s="515">
        <v>1.2E-2</v>
      </c>
      <c r="M19" s="516" t="s">
        <v>91</v>
      </c>
      <c r="N19" s="517">
        <f>L13</f>
        <v>2043173.16</v>
      </c>
      <c r="O19" s="516" t="s">
        <v>92</v>
      </c>
      <c r="P19" s="515">
        <v>0.13800000000000001</v>
      </c>
      <c r="Q19" s="516" t="s">
        <v>93</v>
      </c>
      <c r="R19" s="619" t="s">
        <v>94</v>
      </c>
      <c r="S19" s="619"/>
    </row>
    <row r="20" spans="1:19" ht="14.25" customHeight="1" x14ac:dyDescent="0.25">
      <c r="B20" s="620" t="s">
        <v>93</v>
      </c>
      <c r="C20" s="620"/>
      <c r="D20" s="620" t="s">
        <v>64</v>
      </c>
      <c r="E20" s="620"/>
      <c r="F20" s="620" t="s">
        <v>92</v>
      </c>
      <c r="G20" s="620"/>
      <c r="H20" s="518">
        <v>2000</v>
      </c>
      <c r="I20" t="s">
        <v>91</v>
      </c>
      <c r="L20" s="620" t="s">
        <v>93</v>
      </c>
      <c r="M20" s="620"/>
      <c r="N20" s="620" t="s">
        <v>64</v>
      </c>
      <c r="O20" s="620"/>
      <c r="P20" s="620" t="s">
        <v>92</v>
      </c>
      <c r="Q20" s="620"/>
      <c r="R20" s="518">
        <v>2000</v>
      </c>
      <c r="S20" t="s">
        <v>91</v>
      </c>
    </row>
    <row r="22" spans="1:19" ht="14.25" customHeight="1" x14ac:dyDescent="0.25">
      <c r="A22" s="88" t="s">
        <v>90</v>
      </c>
      <c r="B22" s="100">
        <f>(B19*D19*F19)/H20</f>
        <v>0</v>
      </c>
      <c r="C22" s="94" t="s">
        <v>94</v>
      </c>
      <c r="D22" s="88" t="s">
        <v>90</v>
      </c>
      <c r="E22" s="100">
        <f>B22*2000/8760</f>
        <v>0</v>
      </c>
      <c r="F22" s="206" t="s">
        <v>91</v>
      </c>
      <c r="H22" s="82"/>
      <c r="K22" s="88" t="s">
        <v>90</v>
      </c>
      <c r="L22" s="100">
        <f>(L19*N19*P19)/R20</f>
        <v>1.6917473764800002</v>
      </c>
      <c r="M22" s="94" t="s">
        <v>94</v>
      </c>
      <c r="N22" s="88" t="s">
        <v>90</v>
      </c>
      <c r="O22" s="100">
        <f>L22*2000/8760</f>
        <v>0.38624369326027402</v>
      </c>
      <c r="P22" s="206" t="s">
        <v>91</v>
      </c>
      <c r="R22" s="82"/>
    </row>
    <row r="23" spans="1:19" ht="14.25" customHeight="1" x14ac:dyDescent="0.25">
      <c r="C23" s="97" t="s">
        <v>64</v>
      </c>
      <c r="F23" s="198" t="s">
        <v>95</v>
      </c>
      <c r="M23" s="97" t="s">
        <v>64</v>
      </c>
      <c r="P23" s="198" t="s">
        <v>95</v>
      </c>
    </row>
    <row r="25" spans="1:19" ht="14.25" customHeight="1" x14ac:dyDescent="0.25">
      <c r="A25" s="459" t="s">
        <v>96</v>
      </c>
      <c r="K25" s="459" t="s">
        <v>96</v>
      </c>
    </row>
    <row r="27" spans="1:19" ht="14.25" customHeight="1" x14ac:dyDescent="0.25">
      <c r="A27" s="88" t="s">
        <v>90</v>
      </c>
      <c r="B27" s="519">
        <f>(B6*B14)</f>
        <v>1.01E-2</v>
      </c>
      <c r="C27" s="516" t="s">
        <v>91</v>
      </c>
      <c r="D27" s="517">
        <f>B13</f>
        <v>0</v>
      </c>
      <c r="E27" s="516" t="s">
        <v>92</v>
      </c>
      <c r="F27" s="515">
        <v>0.13800000000000001</v>
      </c>
      <c r="G27" s="516" t="s">
        <v>93</v>
      </c>
      <c r="H27" s="619" t="s">
        <v>94</v>
      </c>
      <c r="I27" s="619"/>
      <c r="K27" s="88" t="s">
        <v>90</v>
      </c>
      <c r="L27" s="519">
        <f>L6*L14</f>
        <v>1.01E-2</v>
      </c>
      <c r="M27" s="516" t="s">
        <v>91</v>
      </c>
      <c r="N27" s="517">
        <f>L13</f>
        <v>2043173.16</v>
      </c>
      <c r="O27" s="516" t="s">
        <v>92</v>
      </c>
      <c r="P27" s="515">
        <v>0.13800000000000001</v>
      </c>
      <c r="Q27" s="516" t="s">
        <v>93</v>
      </c>
      <c r="R27" s="619" t="s">
        <v>94</v>
      </c>
      <c r="S27" s="619"/>
    </row>
    <row r="28" spans="1:19" ht="14.25" customHeight="1" x14ac:dyDescent="0.25">
      <c r="B28" s="620" t="s">
        <v>93</v>
      </c>
      <c r="C28" s="620"/>
      <c r="D28" s="620" t="s">
        <v>64</v>
      </c>
      <c r="E28" s="620"/>
      <c r="F28" s="620" t="s">
        <v>92</v>
      </c>
      <c r="G28" s="620"/>
      <c r="H28" s="518">
        <v>2000</v>
      </c>
      <c r="I28" t="s">
        <v>91</v>
      </c>
      <c r="L28" s="620" t="s">
        <v>93</v>
      </c>
      <c r="M28" s="620"/>
      <c r="N28" s="620" t="s">
        <v>64</v>
      </c>
      <c r="O28" s="620"/>
      <c r="P28" s="620" t="s">
        <v>92</v>
      </c>
      <c r="Q28" s="620"/>
      <c r="R28" s="518">
        <v>2000</v>
      </c>
      <c r="S28" t="s">
        <v>91</v>
      </c>
    </row>
    <row r="30" spans="1:19" ht="14.25" customHeight="1" x14ac:dyDescent="0.25">
      <c r="A30" s="88" t="s">
        <v>90</v>
      </c>
      <c r="B30" s="93">
        <f>(B27*D27*F27)/H28</f>
        <v>0</v>
      </c>
      <c r="C30" s="94" t="s">
        <v>94</v>
      </c>
      <c r="D30" s="88" t="s">
        <v>90</v>
      </c>
      <c r="E30" s="100">
        <f>B30*2000/8760</f>
        <v>0</v>
      </c>
      <c r="F30" s="206" t="s">
        <v>91</v>
      </c>
      <c r="H30" s="82"/>
      <c r="K30" s="88" t="s">
        <v>90</v>
      </c>
      <c r="L30" s="93">
        <f>(L27*N27*P27)/R28</f>
        <v>1.4238873752040002</v>
      </c>
      <c r="M30" s="94" t="s">
        <v>94</v>
      </c>
      <c r="N30" s="88" t="s">
        <v>90</v>
      </c>
      <c r="O30" s="100">
        <f>L30*2000/8760</f>
        <v>0.32508844182739727</v>
      </c>
      <c r="P30" s="206" t="s">
        <v>91</v>
      </c>
      <c r="R30" s="82"/>
    </row>
    <row r="31" spans="1:19" ht="14.25" customHeight="1" x14ac:dyDescent="0.25">
      <c r="C31" s="97" t="s">
        <v>64</v>
      </c>
      <c r="F31" s="198" t="s">
        <v>95</v>
      </c>
      <c r="M31" s="97" t="s">
        <v>64</v>
      </c>
      <c r="P31" s="198" t="s">
        <v>95</v>
      </c>
    </row>
    <row r="32" spans="1:19" ht="14.25" customHeight="1" x14ac:dyDescent="0.25">
      <c r="C32" s="97"/>
      <c r="F32" s="198"/>
      <c r="M32" s="97"/>
      <c r="P32" s="198"/>
    </row>
    <row r="33" spans="1:19" ht="14.25" customHeight="1" x14ac:dyDescent="0.25">
      <c r="C33" s="97"/>
      <c r="F33" s="198"/>
      <c r="M33" s="97"/>
      <c r="P33" s="198"/>
    </row>
    <row r="34" spans="1:19" ht="14.25" customHeight="1" x14ac:dyDescent="0.2">
      <c r="A34" s="82"/>
      <c r="B34" s="82"/>
      <c r="C34" s="82"/>
      <c r="D34" s="82"/>
      <c r="E34" s="82"/>
      <c r="F34" s="82"/>
      <c r="G34" s="82"/>
      <c r="H34" s="82"/>
      <c r="I34" s="82"/>
      <c r="K34" s="82"/>
      <c r="L34" s="82"/>
      <c r="M34" s="82"/>
      <c r="N34" s="82"/>
      <c r="O34" s="82"/>
      <c r="P34" s="82"/>
      <c r="Q34" s="82"/>
      <c r="R34" s="82"/>
      <c r="S34" s="82"/>
    </row>
    <row r="35" spans="1:19" ht="14.25" customHeight="1" x14ac:dyDescent="0.25">
      <c r="A35" s="459" t="s">
        <v>97</v>
      </c>
      <c r="K35" s="459" t="s">
        <v>97</v>
      </c>
    </row>
    <row r="37" spans="1:19" ht="14.25" customHeight="1" x14ac:dyDescent="0.25">
      <c r="A37" s="88" t="s">
        <v>90</v>
      </c>
      <c r="B37" s="515">
        <v>0.88</v>
      </c>
      <c r="C37" s="516" t="s">
        <v>91</v>
      </c>
      <c r="D37" s="517">
        <f>B13</f>
        <v>0</v>
      </c>
      <c r="E37" s="516" t="s">
        <v>92</v>
      </c>
      <c r="F37" s="515">
        <v>0.13800000000000001</v>
      </c>
      <c r="G37" s="516" t="s">
        <v>93</v>
      </c>
      <c r="H37" s="619" t="s">
        <v>94</v>
      </c>
      <c r="I37" s="619"/>
      <c r="K37" s="88" t="s">
        <v>90</v>
      </c>
      <c r="L37" s="515">
        <v>0.88</v>
      </c>
      <c r="M37" s="516" t="s">
        <v>91</v>
      </c>
      <c r="N37" s="517">
        <f>L13</f>
        <v>2043173.16</v>
      </c>
      <c r="O37" s="516" t="s">
        <v>92</v>
      </c>
      <c r="P37" s="515">
        <v>0.13800000000000001</v>
      </c>
      <c r="Q37" s="516" t="s">
        <v>93</v>
      </c>
      <c r="R37" s="619" t="s">
        <v>94</v>
      </c>
      <c r="S37" s="619"/>
    </row>
    <row r="38" spans="1:19" ht="14.25" customHeight="1" x14ac:dyDescent="0.25">
      <c r="B38" s="620" t="s">
        <v>93</v>
      </c>
      <c r="C38" s="620"/>
      <c r="D38" s="620" t="s">
        <v>64</v>
      </c>
      <c r="E38" s="620"/>
      <c r="F38" s="620" t="s">
        <v>92</v>
      </c>
      <c r="G38" s="620"/>
      <c r="H38" s="518">
        <v>2000</v>
      </c>
      <c r="I38" t="s">
        <v>91</v>
      </c>
      <c r="L38" s="620" t="s">
        <v>93</v>
      </c>
      <c r="M38" s="620"/>
      <c r="N38" s="620" t="s">
        <v>64</v>
      </c>
      <c r="O38" s="620"/>
      <c r="P38" s="620" t="s">
        <v>92</v>
      </c>
      <c r="Q38" s="620"/>
      <c r="R38" s="518">
        <v>2000</v>
      </c>
      <c r="S38" t="s">
        <v>91</v>
      </c>
    </row>
    <row r="40" spans="1:19" ht="14.25" customHeight="1" x14ac:dyDescent="0.25">
      <c r="A40" s="88" t="s">
        <v>90</v>
      </c>
      <c r="B40" s="93">
        <f>(B37*D37*F37)/H38</f>
        <v>0</v>
      </c>
      <c r="C40" s="94" t="s">
        <v>94</v>
      </c>
      <c r="D40" s="88" t="s">
        <v>90</v>
      </c>
      <c r="E40" s="93">
        <f>B40*2000/8760</f>
        <v>0</v>
      </c>
      <c r="F40" s="206" t="s">
        <v>91</v>
      </c>
      <c r="H40" s="82"/>
      <c r="K40" s="88" t="s">
        <v>90</v>
      </c>
      <c r="L40" s="93">
        <f>(L37*N37*P37)/R38</f>
        <v>124.0614742752</v>
      </c>
      <c r="M40" s="94" t="s">
        <v>94</v>
      </c>
      <c r="N40" s="88" t="s">
        <v>90</v>
      </c>
      <c r="O40" s="93">
        <f>L40*2000/8760</f>
        <v>28.324537505753426</v>
      </c>
      <c r="P40" s="206" t="s">
        <v>91</v>
      </c>
      <c r="R40" s="82"/>
    </row>
    <row r="41" spans="1:19" ht="14.25" customHeight="1" x14ac:dyDescent="0.25">
      <c r="C41" s="97" t="s">
        <v>64</v>
      </c>
      <c r="F41" s="198" t="s">
        <v>95</v>
      </c>
      <c r="M41" s="97" t="s">
        <v>64</v>
      </c>
      <c r="P41" s="198" t="s">
        <v>95</v>
      </c>
    </row>
    <row r="42" spans="1:19" ht="14.25" customHeight="1" x14ac:dyDescent="0.25">
      <c r="C42" s="97"/>
      <c r="D42" s="88"/>
      <c r="E42" s="102"/>
      <c r="F42" s="198"/>
      <c r="H42" s="82"/>
      <c r="M42" s="97"/>
      <c r="N42" s="88"/>
      <c r="O42" s="102"/>
      <c r="P42" s="198"/>
      <c r="R42" s="82"/>
    </row>
    <row r="43" spans="1:19" ht="14.25" customHeight="1" x14ac:dyDescent="0.25">
      <c r="A43" s="459" t="s">
        <v>98</v>
      </c>
      <c r="K43" s="459" t="s">
        <v>98</v>
      </c>
    </row>
    <row r="45" spans="1:19" ht="14.25" customHeight="1" x14ac:dyDescent="0.25">
      <c r="A45" s="88" t="s">
        <v>90</v>
      </c>
      <c r="B45" s="515">
        <v>4.0999999999999999E-4</v>
      </c>
      <c r="C45" s="516" t="s">
        <v>91</v>
      </c>
      <c r="D45" s="517">
        <f>B13</f>
        <v>0</v>
      </c>
      <c r="E45" s="516" t="s">
        <v>92</v>
      </c>
      <c r="F45" s="515">
        <v>0.13800000000000001</v>
      </c>
      <c r="G45" s="516" t="s">
        <v>93</v>
      </c>
      <c r="H45" s="619" t="s">
        <v>94</v>
      </c>
      <c r="I45" s="619"/>
      <c r="K45" s="88" t="s">
        <v>90</v>
      </c>
      <c r="L45" s="515">
        <v>4.0999999999999999E-4</v>
      </c>
      <c r="M45" s="516" t="s">
        <v>91</v>
      </c>
      <c r="N45" s="517">
        <f>L13</f>
        <v>2043173.16</v>
      </c>
      <c r="O45" s="516" t="s">
        <v>92</v>
      </c>
      <c r="P45" s="515">
        <v>0.13800000000000001</v>
      </c>
      <c r="Q45" s="516" t="s">
        <v>93</v>
      </c>
      <c r="R45" s="619" t="s">
        <v>94</v>
      </c>
      <c r="S45" s="619"/>
    </row>
    <row r="46" spans="1:19" ht="14.25" customHeight="1" x14ac:dyDescent="0.25">
      <c r="B46" s="620" t="s">
        <v>93</v>
      </c>
      <c r="C46" s="620"/>
      <c r="D46" s="620" t="s">
        <v>64</v>
      </c>
      <c r="E46" s="620"/>
      <c r="F46" s="620" t="s">
        <v>92</v>
      </c>
      <c r="G46" s="620"/>
      <c r="H46" s="518">
        <v>2000</v>
      </c>
      <c r="I46" t="s">
        <v>91</v>
      </c>
      <c r="L46" s="620" t="s">
        <v>93</v>
      </c>
      <c r="M46" s="620"/>
      <c r="N46" s="620" t="s">
        <v>64</v>
      </c>
      <c r="O46" s="620"/>
      <c r="P46" s="620" t="s">
        <v>92</v>
      </c>
      <c r="Q46" s="620"/>
      <c r="R46" s="518">
        <v>2000</v>
      </c>
      <c r="S46" t="s">
        <v>91</v>
      </c>
    </row>
    <row r="48" spans="1:19" ht="14.25" customHeight="1" x14ac:dyDescent="0.25">
      <c r="A48" s="88" t="s">
        <v>90</v>
      </c>
      <c r="B48" s="100">
        <f>(B45*D45*F45)/H46</f>
        <v>0</v>
      </c>
      <c r="C48" s="94" t="s">
        <v>94</v>
      </c>
      <c r="D48" s="88" t="s">
        <v>90</v>
      </c>
      <c r="E48" s="100">
        <f>B48*(2000/8760)</f>
        <v>0</v>
      </c>
      <c r="F48" s="206" t="s">
        <v>91</v>
      </c>
      <c r="H48" s="82"/>
      <c r="K48" s="88" t="s">
        <v>90</v>
      </c>
      <c r="L48" s="100">
        <f>(L45*N45*P45)/R46</f>
        <v>5.7801368696399999E-2</v>
      </c>
      <c r="M48" s="94" t="s">
        <v>94</v>
      </c>
      <c r="N48" s="88" t="s">
        <v>90</v>
      </c>
      <c r="O48" s="100">
        <f>L48*2000/8760</f>
        <v>1.3196659519726027E-2</v>
      </c>
      <c r="P48" s="206" t="s">
        <v>91</v>
      </c>
      <c r="R48" s="82"/>
    </row>
    <row r="49" spans="1:19" ht="14.25" customHeight="1" x14ac:dyDescent="0.25">
      <c r="C49" s="97" t="s">
        <v>64</v>
      </c>
      <c r="F49" s="198" t="s">
        <v>95</v>
      </c>
      <c r="M49" s="97" t="s">
        <v>64</v>
      </c>
      <c r="P49" s="198" t="s">
        <v>95</v>
      </c>
    </row>
    <row r="50" spans="1:19" ht="14.25" customHeight="1" x14ac:dyDescent="0.25">
      <c r="D50" s="88"/>
      <c r="E50" s="102"/>
      <c r="F50" s="198"/>
      <c r="H50" s="82"/>
      <c r="N50" s="88"/>
      <c r="O50" s="102"/>
      <c r="P50" s="198"/>
      <c r="R50" s="82"/>
    </row>
    <row r="51" spans="1:19" ht="14.25" customHeight="1" x14ac:dyDescent="0.25">
      <c r="A51" s="459" t="s">
        <v>99</v>
      </c>
      <c r="D51" s="88"/>
      <c r="E51" s="102"/>
      <c r="H51" s="82"/>
      <c r="K51" s="459" t="s">
        <v>99</v>
      </c>
      <c r="N51" s="88"/>
      <c r="O51" s="102"/>
      <c r="R51" s="82"/>
    </row>
    <row r="53" spans="1:19" ht="14.25" customHeight="1" x14ac:dyDescent="0.25">
      <c r="A53" s="88" t="s">
        <v>90</v>
      </c>
      <c r="B53" s="515">
        <v>3.3E-3</v>
      </c>
      <c r="C53" s="516" t="s">
        <v>91</v>
      </c>
      <c r="D53" s="517">
        <f>B13</f>
        <v>0</v>
      </c>
      <c r="E53" s="516" t="s">
        <v>92</v>
      </c>
      <c r="F53" s="515">
        <v>0.13800000000000001</v>
      </c>
      <c r="G53" s="516" t="s">
        <v>93</v>
      </c>
      <c r="H53" s="619" t="s">
        <v>94</v>
      </c>
      <c r="I53" s="619"/>
      <c r="K53" s="88" t="s">
        <v>90</v>
      </c>
      <c r="L53" s="515">
        <v>3.3E-3</v>
      </c>
      <c r="M53" s="516" t="s">
        <v>91</v>
      </c>
      <c r="N53" s="517">
        <f>L13</f>
        <v>2043173.16</v>
      </c>
      <c r="O53" s="516" t="s">
        <v>92</v>
      </c>
      <c r="P53" s="515">
        <v>0.13800000000000001</v>
      </c>
      <c r="Q53" s="516" t="s">
        <v>93</v>
      </c>
      <c r="R53" s="619" t="s">
        <v>94</v>
      </c>
      <c r="S53" s="619"/>
    </row>
    <row r="54" spans="1:19" ht="14.25" customHeight="1" x14ac:dyDescent="0.25">
      <c r="B54" s="620" t="s">
        <v>93</v>
      </c>
      <c r="C54" s="620"/>
      <c r="D54" s="620" t="s">
        <v>64</v>
      </c>
      <c r="E54" s="620"/>
      <c r="F54" s="620" t="s">
        <v>92</v>
      </c>
      <c r="G54" s="620"/>
      <c r="H54" s="518">
        <v>2000</v>
      </c>
      <c r="I54" t="s">
        <v>91</v>
      </c>
      <c r="L54" s="620" t="s">
        <v>93</v>
      </c>
      <c r="M54" s="620"/>
      <c r="N54" s="620" t="s">
        <v>64</v>
      </c>
      <c r="O54" s="620"/>
      <c r="P54" s="620" t="s">
        <v>92</v>
      </c>
      <c r="Q54" s="620"/>
      <c r="R54" s="518">
        <v>2000</v>
      </c>
      <c r="S54" t="s">
        <v>91</v>
      </c>
    </row>
    <row r="56" spans="1:19" ht="14.25" customHeight="1" x14ac:dyDescent="0.25">
      <c r="A56" s="88" t="s">
        <v>90</v>
      </c>
      <c r="B56" s="100">
        <f>(B53*D53*F53)/H54</f>
        <v>0</v>
      </c>
      <c r="C56" s="94" t="s">
        <v>94</v>
      </c>
      <c r="D56" s="88" t="s">
        <v>90</v>
      </c>
      <c r="E56" s="100">
        <f>B56*2000/8760</f>
        <v>0</v>
      </c>
      <c r="F56" s="206" t="s">
        <v>91</v>
      </c>
      <c r="H56" s="82"/>
      <c r="K56" s="88" t="s">
        <v>90</v>
      </c>
      <c r="L56" s="100">
        <f>(L53*N53*P53)/R54</f>
        <v>0.46523052853200003</v>
      </c>
      <c r="M56" s="94" t="s">
        <v>94</v>
      </c>
      <c r="N56" s="88" t="s">
        <v>90</v>
      </c>
      <c r="O56" s="100">
        <f>L56*2000/8760</f>
        <v>0.10621701564657536</v>
      </c>
      <c r="P56" s="206" t="s">
        <v>91</v>
      </c>
      <c r="R56" s="82"/>
    </row>
    <row r="57" spans="1:19" ht="14.25" customHeight="1" x14ac:dyDescent="0.25">
      <c r="C57" s="97" t="s">
        <v>64</v>
      </c>
      <c r="F57" s="198" t="s">
        <v>95</v>
      </c>
      <c r="M57" s="97" t="s">
        <v>64</v>
      </c>
      <c r="P57" s="198" t="s">
        <v>95</v>
      </c>
    </row>
    <row r="58" spans="1:19" ht="14.2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K58" s="3"/>
      <c r="L58" s="3"/>
      <c r="M58" s="3"/>
      <c r="N58" s="3"/>
      <c r="O58" s="3"/>
      <c r="P58" s="3"/>
      <c r="Q58" s="3"/>
      <c r="R58" s="3"/>
      <c r="S58" s="3"/>
    </row>
    <row r="59" spans="1:19" ht="14.25" customHeight="1" x14ac:dyDescent="0.25">
      <c r="A59" s="459" t="s">
        <v>100</v>
      </c>
      <c r="K59" s="459" t="s">
        <v>100</v>
      </c>
    </row>
    <row r="61" spans="1:19" ht="14.25" customHeight="1" x14ac:dyDescent="0.25">
      <c r="A61" s="88" t="s">
        <v>90</v>
      </c>
      <c r="B61" s="515">
        <v>1.4E-5</v>
      </c>
      <c r="C61" s="516" t="s">
        <v>91</v>
      </c>
      <c r="D61" s="517">
        <f>B13</f>
        <v>0</v>
      </c>
      <c r="E61" s="516" t="s">
        <v>92</v>
      </c>
      <c r="F61" s="515">
        <v>0.13800000000000001</v>
      </c>
      <c r="G61" s="516" t="s">
        <v>93</v>
      </c>
      <c r="H61" s="619" t="s">
        <v>94</v>
      </c>
      <c r="I61" s="619"/>
      <c r="K61" s="88" t="s">
        <v>90</v>
      </c>
      <c r="L61" s="515">
        <v>1.4E-5</v>
      </c>
      <c r="M61" s="516" t="s">
        <v>91</v>
      </c>
      <c r="N61" s="517">
        <f>L13</f>
        <v>2043173.16</v>
      </c>
      <c r="O61" s="516" t="s">
        <v>92</v>
      </c>
      <c r="P61" s="515">
        <v>0.13800000000000001</v>
      </c>
      <c r="Q61" s="516" t="s">
        <v>93</v>
      </c>
      <c r="R61" s="619" t="s">
        <v>94</v>
      </c>
      <c r="S61" s="619"/>
    </row>
    <row r="62" spans="1:19" ht="14.25" customHeight="1" x14ac:dyDescent="0.25">
      <c r="B62" s="620" t="s">
        <v>93</v>
      </c>
      <c r="C62" s="620"/>
      <c r="D62" s="620" t="s">
        <v>64</v>
      </c>
      <c r="E62" s="620"/>
      <c r="F62" s="620" t="s">
        <v>92</v>
      </c>
      <c r="G62" s="620"/>
      <c r="H62" s="518">
        <v>2000</v>
      </c>
      <c r="I62" t="s">
        <v>91</v>
      </c>
      <c r="L62" s="620" t="s">
        <v>93</v>
      </c>
      <c r="M62" s="620"/>
      <c r="N62" s="620" t="s">
        <v>64</v>
      </c>
      <c r="O62" s="620"/>
      <c r="P62" s="620" t="s">
        <v>92</v>
      </c>
      <c r="Q62" s="620"/>
      <c r="R62" s="518">
        <v>2000</v>
      </c>
      <c r="S62" t="s">
        <v>91</v>
      </c>
    </row>
    <row r="64" spans="1:19" ht="14.25" customHeight="1" x14ac:dyDescent="0.25">
      <c r="A64" s="88" t="s">
        <v>90</v>
      </c>
      <c r="B64" s="100">
        <f>(B61*D61*F61)/H62</f>
        <v>0</v>
      </c>
      <c r="C64" s="94" t="s">
        <v>94</v>
      </c>
      <c r="D64" s="88" t="s">
        <v>90</v>
      </c>
      <c r="E64" s="100">
        <f>B64*2000/8760</f>
        <v>0</v>
      </c>
      <c r="F64" s="206" t="s">
        <v>91</v>
      </c>
      <c r="H64" s="82"/>
      <c r="K64" s="88" t="s">
        <v>90</v>
      </c>
      <c r="L64" s="100">
        <f>(L61*N61*P61)/R62</f>
        <v>1.9737052725600003E-3</v>
      </c>
      <c r="M64" s="94" t="s">
        <v>94</v>
      </c>
      <c r="N64" s="88" t="s">
        <v>90</v>
      </c>
      <c r="O64" s="100">
        <f>L64*2000/8760</f>
        <v>4.5061764213698632E-4</v>
      </c>
      <c r="P64" s="206" t="s">
        <v>91</v>
      </c>
      <c r="R64" s="82"/>
    </row>
    <row r="65" spans="1:17" ht="14.25" customHeight="1" x14ac:dyDescent="0.25">
      <c r="A65" s="88"/>
      <c r="B65" s="520"/>
      <c r="C65" s="97" t="s">
        <v>64</v>
      </c>
      <c r="F65" s="198" t="s">
        <v>95</v>
      </c>
      <c r="K65" s="88"/>
      <c r="L65" s="520"/>
      <c r="M65" s="97" t="s">
        <v>64</v>
      </c>
      <c r="P65" s="198" t="s">
        <v>95</v>
      </c>
    </row>
    <row r="69" spans="1:17" ht="14.25" customHeight="1" x14ac:dyDescent="0.2">
      <c r="A69" s="82" t="s">
        <v>101</v>
      </c>
      <c r="B69" s="86"/>
      <c r="C69" s="86"/>
      <c r="D69" s="86"/>
      <c r="E69" s="86"/>
      <c r="F69" s="86"/>
      <c r="G69" s="86"/>
      <c r="K69" s="82" t="s">
        <v>101</v>
      </c>
      <c r="L69" s="86"/>
      <c r="M69" s="86"/>
      <c r="N69" s="86"/>
      <c r="O69" s="86"/>
      <c r="P69" s="86"/>
      <c r="Q69" s="86"/>
    </row>
    <row r="71" spans="1:17" ht="14.25" customHeight="1" x14ac:dyDescent="0.2">
      <c r="A71" s="202" t="s">
        <v>90</v>
      </c>
      <c r="B71" s="482">
        <f>V14</f>
        <v>22.578420600240001</v>
      </c>
      <c r="C71" s="387" t="s">
        <v>91</v>
      </c>
      <c r="D71" s="400">
        <f>D61</f>
        <v>0</v>
      </c>
      <c r="E71" s="387" t="s">
        <v>92</v>
      </c>
      <c r="F71" s="398"/>
      <c r="G71" s="401" t="s">
        <v>94</v>
      </c>
      <c r="K71" s="202" t="s">
        <v>90</v>
      </c>
      <c r="L71" s="482">
        <f>V14</f>
        <v>22.578420600240001</v>
      </c>
      <c r="M71" s="387" t="s">
        <v>91</v>
      </c>
      <c r="N71" s="400">
        <f>N61</f>
        <v>2043173.16</v>
      </c>
      <c r="O71" s="387" t="s">
        <v>92</v>
      </c>
      <c r="P71" s="398"/>
      <c r="Q71" s="401" t="s">
        <v>94</v>
      </c>
    </row>
    <row r="72" spans="1:17" ht="14.25" customHeight="1" x14ac:dyDescent="0.25">
      <c r="A72" s="86"/>
      <c r="B72" s="403"/>
      <c r="C72" s="404" t="s">
        <v>92</v>
      </c>
      <c r="D72" s="402"/>
      <c r="E72" s="197" t="s">
        <v>64</v>
      </c>
      <c r="F72" s="213">
        <v>2000</v>
      </c>
      <c r="G72" s="405" t="s">
        <v>91</v>
      </c>
      <c r="K72" s="86"/>
      <c r="L72" s="403"/>
      <c r="M72" s="404" t="s">
        <v>92</v>
      </c>
      <c r="N72" s="402"/>
      <c r="O72" s="197" t="s">
        <v>64</v>
      </c>
      <c r="P72" s="213">
        <v>2000</v>
      </c>
      <c r="Q72" s="405" t="s">
        <v>91</v>
      </c>
    </row>
    <row r="75" spans="1:17" ht="14.25" customHeight="1" x14ac:dyDescent="0.2">
      <c r="A75" s="202" t="s">
        <v>90</v>
      </c>
      <c r="B75" s="410">
        <f>B71*D71/F72</f>
        <v>0</v>
      </c>
      <c r="C75" s="206" t="s">
        <v>94</v>
      </c>
      <c r="D75" s="202" t="s">
        <v>90</v>
      </c>
      <c r="E75" s="410">
        <f>B75*(2000/8760)</f>
        <v>0</v>
      </c>
      <c r="F75" s="206" t="s">
        <v>91</v>
      </c>
      <c r="G75" s="86"/>
      <c r="K75" s="202" t="s">
        <v>90</v>
      </c>
      <c r="L75" s="410">
        <f>L71*N71/P72</f>
        <v>23065.811482800731</v>
      </c>
      <c r="M75" s="206" t="s">
        <v>94</v>
      </c>
      <c r="N75" s="202" t="s">
        <v>90</v>
      </c>
      <c r="O75" s="410">
        <f>L75*(2000/8760)</f>
        <v>5266.1670052056461</v>
      </c>
      <c r="P75" s="206" t="s">
        <v>91</v>
      </c>
      <c r="Q75" s="86"/>
    </row>
    <row r="76" spans="1:17" ht="14.25" customHeight="1" x14ac:dyDescent="0.2">
      <c r="A76" s="86"/>
      <c r="B76" s="86"/>
      <c r="C76" s="198" t="s">
        <v>64</v>
      </c>
      <c r="D76" s="86"/>
      <c r="E76" s="86"/>
      <c r="F76" s="198" t="s">
        <v>95</v>
      </c>
      <c r="G76" s="86"/>
      <c r="K76" s="86"/>
      <c r="L76" s="86"/>
      <c r="M76" s="198" t="s">
        <v>64</v>
      </c>
      <c r="N76" s="86"/>
      <c r="O76" s="86"/>
      <c r="P76" s="198" t="s">
        <v>95</v>
      </c>
      <c r="Q76" s="86"/>
    </row>
  </sheetData>
  <mergeCells count="56">
    <mergeCell ref="A1:I1"/>
    <mergeCell ref="K1:S1"/>
    <mergeCell ref="A3:D3"/>
    <mergeCell ref="K3:N3"/>
    <mergeCell ref="A4:D4"/>
    <mergeCell ref="K4:N4"/>
    <mergeCell ref="D13:H13"/>
    <mergeCell ref="N13:R13"/>
    <mergeCell ref="H19:I19"/>
    <mergeCell ref="R19:S19"/>
    <mergeCell ref="B20:C20"/>
    <mergeCell ref="D20:E20"/>
    <mergeCell ref="F20:G20"/>
    <mergeCell ref="L20:M20"/>
    <mergeCell ref="N20:O20"/>
    <mergeCell ref="P20:Q20"/>
    <mergeCell ref="H27:I27"/>
    <mergeCell ref="R27:S27"/>
    <mergeCell ref="B28:C28"/>
    <mergeCell ref="D28:E28"/>
    <mergeCell ref="F28:G28"/>
    <mergeCell ref="L28:M28"/>
    <mergeCell ref="N28:O28"/>
    <mergeCell ref="P28:Q28"/>
    <mergeCell ref="H37:I37"/>
    <mergeCell ref="R37:S37"/>
    <mergeCell ref="B38:C38"/>
    <mergeCell ref="D38:E38"/>
    <mergeCell ref="F38:G38"/>
    <mergeCell ref="L38:M38"/>
    <mergeCell ref="N38:O38"/>
    <mergeCell ref="P38:Q38"/>
    <mergeCell ref="H45:I45"/>
    <mergeCell ref="R45:S45"/>
    <mergeCell ref="B46:C46"/>
    <mergeCell ref="D46:E46"/>
    <mergeCell ref="F46:G46"/>
    <mergeCell ref="L46:M46"/>
    <mergeCell ref="N46:O46"/>
    <mergeCell ref="P46:Q46"/>
    <mergeCell ref="H53:I53"/>
    <mergeCell ref="R53:S53"/>
    <mergeCell ref="B54:C54"/>
    <mergeCell ref="D54:E54"/>
    <mergeCell ref="F54:G54"/>
    <mergeCell ref="L54:M54"/>
    <mergeCell ref="N54:O54"/>
    <mergeCell ref="P54:Q54"/>
    <mergeCell ref="H61:I61"/>
    <mergeCell ref="R61:S61"/>
    <mergeCell ref="B62:C62"/>
    <mergeCell ref="D62:E62"/>
    <mergeCell ref="F62:G62"/>
    <mergeCell ref="L62:M62"/>
    <mergeCell ref="N62:O62"/>
    <mergeCell ref="P62:Q62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W84"/>
  <sheetViews>
    <sheetView zoomScaleNormal="100" workbookViewId="0">
      <selection sqref="A1:O1"/>
    </sheetView>
  </sheetViews>
  <sheetFormatPr defaultColWidth="8.7109375" defaultRowHeight="12.75" x14ac:dyDescent="0.2"/>
  <cols>
    <col min="1" max="1" width="16.140625" customWidth="1"/>
    <col min="2" max="2" width="12.140625" customWidth="1"/>
    <col min="4" max="4" width="9.85546875" customWidth="1"/>
    <col min="10" max="10" width="4" customWidth="1"/>
    <col min="11" max="11" width="11.42578125" customWidth="1"/>
    <col min="14" max="14" width="9.85546875" customWidth="1"/>
    <col min="19" max="19" width="6.7109375" customWidth="1"/>
  </cols>
  <sheetData>
    <row r="1" spans="1:23" ht="14.25" customHeight="1" x14ac:dyDescent="0.2">
      <c r="A1" s="592" t="s">
        <v>348</v>
      </c>
      <c r="B1" s="592"/>
      <c r="C1" s="592"/>
      <c r="D1" s="592"/>
      <c r="E1" s="592"/>
      <c r="F1" s="592"/>
      <c r="G1" s="592"/>
      <c r="H1" s="592"/>
      <c r="I1" s="592"/>
      <c r="J1" s="592"/>
      <c r="K1" s="592" t="s">
        <v>349</v>
      </c>
      <c r="L1" s="592"/>
      <c r="M1" s="592"/>
      <c r="N1" s="592"/>
      <c r="O1" s="592"/>
      <c r="P1" s="592"/>
      <c r="Q1" s="592"/>
      <c r="R1" s="592"/>
      <c r="S1" s="592"/>
      <c r="T1" s="82"/>
    </row>
    <row r="3" spans="1:23" ht="14.25" customHeight="1" x14ac:dyDescent="0.2">
      <c r="A3" s="624" t="s">
        <v>350</v>
      </c>
      <c r="B3" s="624"/>
      <c r="C3" s="624"/>
      <c r="D3" s="624"/>
      <c r="E3" s="86"/>
      <c r="F3" s="86"/>
      <c r="G3" s="86"/>
      <c r="H3" s="86"/>
      <c r="I3" s="86"/>
      <c r="J3" s="86"/>
      <c r="K3" s="624" t="s">
        <v>350</v>
      </c>
      <c r="L3" s="624"/>
      <c r="M3" s="624"/>
      <c r="N3" s="624"/>
      <c r="O3" s="86"/>
      <c r="P3" s="86"/>
      <c r="Q3" s="86"/>
      <c r="R3" s="86"/>
      <c r="S3" s="86"/>
      <c r="T3" s="86"/>
    </row>
    <row r="4" spans="1:23" ht="14.25" customHeight="1" x14ac:dyDescent="0.2">
      <c r="A4" s="625" t="s">
        <v>344</v>
      </c>
      <c r="B4" s="625"/>
      <c r="C4" s="625"/>
      <c r="D4" s="625"/>
      <c r="E4" s="86"/>
      <c r="F4" s="86"/>
      <c r="G4" s="86"/>
      <c r="H4" s="86"/>
      <c r="I4" s="86"/>
      <c r="J4" s="86"/>
      <c r="K4" s="625" t="s">
        <v>344</v>
      </c>
      <c r="L4" s="625"/>
      <c r="M4" s="625"/>
      <c r="N4" s="625"/>
      <c r="O4" s="86"/>
      <c r="P4" s="86"/>
      <c r="Q4" s="86"/>
      <c r="R4" s="86"/>
      <c r="S4" s="86"/>
      <c r="T4" s="86"/>
    </row>
    <row r="5" spans="1:23" ht="14.25" customHeight="1" x14ac:dyDescent="0.2">
      <c r="A5" s="521" t="s">
        <v>18</v>
      </c>
      <c r="B5" s="522">
        <v>1.2E-2</v>
      </c>
      <c r="C5" s="522" t="s">
        <v>345</v>
      </c>
      <c r="D5" s="309"/>
      <c r="E5" s="86"/>
      <c r="F5" s="86"/>
      <c r="G5" s="86"/>
      <c r="H5" s="86"/>
      <c r="I5" s="86"/>
      <c r="J5" s="86"/>
      <c r="K5" s="521" t="s">
        <v>18</v>
      </c>
      <c r="L5" s="522">
        <v>1.2E-2</v>
      </c>
      <c r="M5" s="522" t="s">
        <v>345</v>
      </c>
      <c r="N5" s="309"/>
      <c r="O5" s="86"/>
      <c r="P5" s="86"/>
      <c r="Q5" s="86"/>
      <c r="R5" s="86"/>
      <c r="S5" s="86"/>
      <c r="T5" s="86"/>
    </row>
    <row r="6" spans="1:23" ht="14.25" customHeight="1" x14ac:dyDescent="0.2">
      <c r="A6" s="523" t="s">
        <v>41</v>
      </c>
      <c r="B6" s="389">
        <v>1.01</v>
      </c>
      <c r="C6" s="389" t="s">
        <v>346</v>
      </c>
      <c r="D6" s="313"/>
      <c r="E6" s="86"/>
      <c r="F6" s="86"/>
      <c r="G6" s="86"/>
      <c r="H6" s="86"/>
      <c r="I6" s="86"/>
      <c r="J6" s="86"/>
      <c r="K6" s="523" t="s">
        <v>41</v>
      </c>
      <c r="L6" s="389">
        <v>1.01</v>
      </c>
      <c r="M6" s="389" t="s">
        <v>346</v>
      </c>
      <c r="N6" s="313"/>
      <c r="O6" s="86"/>
      <c r="P6" s="86"/>
      <c r="Q6" s="86"/>
      <c r="R6" s="86"/>
      <c r="S6" s="86"/>
      <c r="T6" s="86"/>
    </row>
    <row r="7" spans="1:23" ht="14.25" customHeight="1" x14ac:dyDescent="0.2">
      <c r="A7" s="523" t="s">
        <v>20</v>
      </c>
      <c r="B7" s="389">
        <v>0.88</v>
      </c>
      <c r="C7" s="389" t="s">
        <v>345</v>
      </c>
      <c r="D7" s="313"/>
      <c r="E7" s="86"/>
      <c r="F7" s="86"/>
      <c r="G7" s="86"/>
      <c r="H7" s="86"/>
      <c r="I7" s="86"/>
      <c r="J7" s="86"/>
      <c r="K7" s="523" t="s">
        <v>20</v>
      </c>
      <c r="L7" s="389">
        <v>0.88</v>
      </c>
      <c r="M7" s="389" t="s">
        <v>345</v>
      </c>
      <c r="N7" s="313"/>
      <c r="O7" s="86"/>
      <c r="P7" s="86"/>
      <c r="Q7" s="86"/>
      <c r="R7" s="86"/>
      <c r="S7" s="86"/>
      <c r="T7" s="86"/>
    </row>
    <row r="8" spans="1:23" ht="14.25" customHeight="1" x14ac:dyDescent="0.2">
      <c r="A8" s="523" t="s">
        <v>22</v>
      </c>
      <c r="B8" s="389">
        <v>4.0999999999999999E-4</v>
      </c>
      <c r="C8" s="389" t="s">
        <v>345</v>
      </c>
      <c r="D8" s="313"/>
      <c r="E8" s="86"/>
      <c r="F8" s="86"/>
      <c r="G8" s="86"/>
      <c r="H8" s="86"/>
      <c r="I8" s="86"/>
      <c r="J8" s="86"/>
      <c r="K8" s="523" t="s">
        <v>22</v>
      </c>
      <c r="L8" s="389">
        <v>4.0999999999999999E-4</v>
      </c>
      <c r="M8" s="389" t="s">
        <v>345</v>
      </c>
      <c r="N8" s="313"/>
      <c r="O8" s="86"/>
      <c r="P8" s="86"/>
      <c r="Q8" s="86"/>
      <c r="R8" s="86"/>
      <c r="S8" s="86"/>
      <c r="T8" s="86"/>
    </row>
    <row r="9" spans="1:23" ht="14.25" customHeight="1" x14ac:dyDescent="0.2">
      <c r="A9" s="523" t="s">
        <v>21</v>
      </c>
      <c r="B9" s="389">
        <v>3.3E-3</v>
      </c>
      <c r="C9" s="389" t="s">
        <v>345</v>
      </c>
      <c r="D9" s="313"/>
      <c r="E9" s="86"/>
      <c r="F9" s="86"/>
      <c r="G9" s="86"/>
      <c r="H9" s="86"/>
      <c r="I9" s="86"/>
      <c r="J9" s="86"/>
      <c r="K9" s="523" t="s">
        <v>21</v>
      </c>
      <c r="L9" s="389">
        <v>3.3E-3</v>
      </c>
      <c r="M9" s="389" t="s">
        <v>345</v>
      </c>
      <c r="N9" s="313"/>
      <c r="O9" s="86"/>
      <c r="P9" s="86"/>
      <c r="Q9" s="86"/>
      <c r="R9" s="86"/>
      <c r="S9" s="86"/>
      <c r="T9" s="86"/>
    </row>
    <row r="10" spans="1:23" ht="14.25" customHeight="1" x14ac:dyDescent="0.2">
      <c r="A10" s="524" t="s">
        <v>23</v>
      </c>
      <c r="B10" s="390">
        <v>1.4E-5</v>
      </c>
      <c r="C10" s="390" t="s">
        <v>345</v>
      </c>
      <c r="D10" s="319"/>
      <c r="E10" s="86"/>
      <c r="F10" s="86"/>
      <c r="G10" s="86"/>
      <c r="H10" s="86"/>
      <c r="I10" s="86"/>
      <c r="J10" s="86"/>
      <c r="K10" s="524" t="s">
        <v>23</v>
      </c>
      <c r="L10" s="390">
        <v>1.4E-5</v>
      </c>
      <c r="M10" s="390" t="s">
        <v>345</v>
      </c>
      <c r="N10" s="319"/>
      <c r="O10" s="86"/>
      <c r="P10" s="86"/>
      <c r="Q10" s="86"/>
      <c r="R10" s="86"/>
      <c r="S10" s="86"/>
      <c r="T10" s="86"/>
    </row>
    <row r="11" spans="1:23" ht="14.25" customHeight="1" x14ac:dyDescent="0.2">
      <c r="A11" s="480" t="s">
        <v>24</v>
      </c>
      <c r="B11" s="481" t="s">
        <v>236</v>
      </c>
      <c r="C11" s="393" t="s">
        <v>235</v>
      </c>
      <c r="D11" s="86"/>
      <c r="E11" s="86"/>
      <c r="F11" s="86"/>
      <c r="G11" s="86"/>
      <c r="H11" s="86"/>
      <c r="I11" s="86"/>
      <c r="K11" s="480" t="s">
        <v>24</v>
      </c>
      <c r="L11" s="481" t="s">
        <v>236</v>
      </c>
      <c r="M11" s="393" t="s">
        <v>235</v>
      </c>
    </row>
    <row r="13" spans="1:23" ht="14.25" customHeight="1" x14ac:dyDescent="0.2">
      <c r="A13" s="86" t="s">
        <v>318</v>
      </c>
      <c r="B13" s="498">
        <f>Turbinas!B17</f>
        <v>0</v>
      </c>
      <c r="C13" s="86" t="s">
        <v>87</v>
      </c>
      <c r="D13" s="86"/>
      <c r="E13" s="86"/>
      <c r="F13" s="86"/>
      <c r="G13" s="86"/>
      <c r="H13" s="86"/>
      <c r="I13" s="86"/>
      <c r="J13" s="86"/>
      <c r="K13" s="86" t="s">
        <v>318</v>
      </c>
      <c r="L13" s="498">
        <f>Turbinas!C17</f>
        <v>0</v>
      </c>
      <c r="M13" s="86" t="s">
        <v>87</v>
      </c>
      <c r="N13" s="86"/>
      <c r="O13" s="86"/>
      <c r="P13" s="86"/>
      <c r="Q13" s="86"/>
      <c r="R13" s="86"/>
      <c r="S13" s="86"/>
      <c r="T13" s="86"/>
    </row>
    <row r="14" spans="1:23" ht="14.25" customHeight="1" x14ac:dyDescent="0.2">
      <c r="A14" s="86" t="s">
        <v>62</v>
      </c>
      <c r="B14" s="200">
        <f>Turbinas!AC17</f>
        <v>0.01</v>
      </c>
      <c r="C14" s="86"/>
      <c r="D14" s="86"/>
      <c r="E14" s="86"/>
      <c r="F14" s="86"/>
      <c r="G14" s="86"/>
      <c r="H14" s="86"/>
      <c r="I14" s="86"/>
      <c r="J14" s="86"/>
      <c r="K14" s="86" t="s">
        <v>62</v>
      </c>
      <c r="L14" s="200">
        <f>Turbinas!AD17</f>
        <v>0.01</v>
      </c>
      <c r="M14" s="86"/>
      <c r="N14" s="86"/>
      <c r="O14" s="86"/>
      <c r="P14" s="86"/>
      <c r="Q14" s="86"/>
      <c r="R14" s="86"/>
      <c r="S14" s="86"/>
      <c r="T14" s="86"/>
      <c r="V14">
        <f>(73.96+0.003*25+0.0006*298)*2.2046*0.138</f>
        <v>22.578420600240001</v>
      </c>
      <c r="W14" t="s">
        <v>116</v>
      </c>
    </row>
    <row r="17" spans="1:20" ht="14.25" customHeight="1" x14ac:dyDescent="0.2">
      <c r="A17" s="86" t="s">
        <v>186</v>
      </c>
      <c r="B17" s="86"/>
      <c r="C17" s="86"/>
      <c r="D17" s="86"/>
      <c r="E17" s="86"/>
      <c r="F17" s="86"/>
      <c r="G17" s="86"/>
      <c r="H17" s="86"/>
      <c r="I17" s="86"/>
      <c r="J17" s="86"/>
      <c r="K17" s="86" t="s">
        <v>186</v>
      </c>
      <c r="L17" s="86"/>
      <c r="M17" s="86"/>
      <c r="N17" s="86"/>
      <c r="O17" s="86"/>
      <c r="P17" s="86"/>
      <c r="Q17" s="86"/>
      <c r="R17" s="86"/>
      <c r="S17" s="86"/>
      <c r="T17" s="86"/>
    </row>
    <row r="19" spans="1:20" ht="14.25" customHeight="1" x14ac:dyDescent="0.2">
      <c r="A19" s="202" t="s">
        <v>90</v>
      </c>
      <c r="B19" s="399">
        <v>1.2E-2</v>
      </c>
      <c r="C19" s="387" t="s">
        <v>91</v>
      </c>
      <c r="D19" s="400">
        <f>B13</f>
        <v>0</v>
      </c>
      <c r="E19" s="387" t="s">
        <v>92</v>
      </c>
      <c r="F19" s="399">
        <v>0.13800000000000001</v>
      </c>
      <c r="G19" s="387" t="s">
        <v>93</v>
      </c>
      <c r="H19" s="609" t="s">
        <v>94</v>
      </c>
      <c r="I19" s="609"/>
      <c r="J19" s="86"/>
      <c r="K19" s="202" t="s">
        <v>90</v>
      </c>
      <c r="L19" s="399">
        <v>1.2E-2</v>
      </c>
      <c r="M19" s="387" t="s">
        <v>91</v>
      </c>
      <c r="N19" s="400">
        <f>L13</f>
        <v>0</v>
      </c>
      <c r="O19" s="387" t="s">
        <v>92</v>
      </c>
      <c r="P19" s="399">
        <v>0.13800000000000001</v>
      </c>
      <c r="Q19" s="387" t="s">
        <v>93</v>
      </c>
      <c r="R19" s="609" t="s">
        <v>94</v>
      </c>
      <c r="S19" s="609"/>
      <c r="T19" s="86"/>
    </row>
    <row r="20" spans="1:20" ht="14.25" customHeight="1" x14ac:dyDescent="0.2">
      <c r="A20" s="86"/>
      <c r="B20" s="610" t="s">
        <v>93</v>
      </c>
      <c r="C20" s="610"/>
      <c r="D20" s="610" t="s">
        <v>64</v>
      </c>
      <c r="E20" s="610"/>
      <c r="F20" s="610" t="s">
        <v>92</v>
      </c>
      <c r="G20" s="610"/>
      <c r="H20" s="213">
        <v>2000</v>
      </c>
      <c r="I20" s="86" t="s">
        <v>91</v>
      </c>
      <c r="J20" s="86"/>
      <c r="K20" s="86"/>
      <c r="L20" s="610" t="s">
        <v>93</v>
      </c>
      <c r="M20" s="610"/>
      <c r="N20" s="610" t="s">
        <v>64</v>
      </c>
      <c r="O20" s="610"/>
      <c r="P20" s="610" t="s">
        <v>92</v>
      </c>
      <c r="Q20" s="610"/>
      <c r="R20" s="213">
        <v>2000</v>
      </c>
      <c r="S20" s="86" t="s">
        <v>91</v>
      </c>
      <c r="T20" s="86"/>
    </row>
    <row r="23" spans="1:20" ht="14.25" customHeight="1" x14ac:dyDescent="0.2">
      <c r="A23" s="202" t="s">
        <v>90</v>
      </c>
      <c r="B23" s="406">
        <f>(B19*D19*F19)/H20</f>
        <v>0</v>
      </c>
      <c r="C23" s="206" t="s">
        <v>94</v>
      </c>
      <c r="D23" s="86"/>
      <c r="E23" s="86" t="s">
        <v>90</v>
      </c>
      <c r="F23" s="406">
        <f>B23*2000/8760</f>
        <v>0</v>
      </c>
      <c r="G23" s="387" t="s">
        <v>132</v>
      </c>
      <c r="H23" s="86"/>
      <c r="I23" s="86"/>
      <c r="J23" s="86"/>
      <c r="K23" s="202" t="s">
        <v>90</v>
      </c>
      <c r="L23" s="406">
        <f>(L19*N19*P19)/R20</f>
        <v>0</v>
      </c>
      <c r="M23" s="206" t="s">
        <v>94</v>
      </c>
      <c r="N23" s="86"/>
      <c r="O23" s="86" t="s">
        <v>90</v>
      </c>
      <c r="P23" s="406">
        <f>L23*2000/8760</f>
        <v>0</v>
      </c>
      <c r="Q23" s="387" t="s">
        <v>132</v>
      </c>
      <c r="R23" s="86"/>
      <c r="S23" s="86"/>
      <c r="T23" s="86"/>
    </row>
    <row r="24" spans="1:20" ht="14.25" customHeight="1" x14ac:dyDescent="0.2">
      <c r="A24" s="86"/>
      <c r="B24" s="86"/>
      <c r="C24" s="198" t="s">
        <v>64</v>
      </c>
      <c r="D24" s="86"/>
      <c r="E24" s="86"/>
      <c r="F24" s="86"/>
      <c r="G24" s="473" t="s">
        <v>95</v>
      </c>
      <c r="H24" s="86"/>
      <c r="I24" s="86"/>
      <c r="J24" s="86"/>
      <c r="K24" s="86"/>
      <c r="L24" s="86"/>
      <c r="M24" s="198" t="s">
        <v>64</v>
      </c>
      <c r="N24" s="86"/>
      <c r="O24" s="86"/>
      <c r="P24" s="86"/>
      <c r="Q24" s="473" t="s">
        <v>95</v>
      </c>
      <c r="R24" s="86"/>
      <c r="S24" s="86"/>
      <c r="T24" s="86"/>
    </row>
    <row r="27" spans="1:20" ht="14.25" customHeight="1" x14ac:dyDescent="0.2">
      <c r="A27" s="86" t="s">
        <v>96</v>
      </c>
      <c r="B27" s="86"/>
      <c r="C27" s="86"/>
      <c r="D27" s="86"/>
      <c r="E27" s="86"/>
      <c r="F27" s="86"/>
      <c r="G27" s="86"/>
      <c r="H27" s="86"/>
      <c r="I27" s="86"/>
      <c r="J27" s="86"/>
      <c r="K27" s="86" t="s">
        <v>96</v>
      </c>
      <c r="L27" s="86"/>
      <c r="M27" s="86"/>
      <c r="N27" s="86"/>
      <c r="O27" s="86"/>
      <c r="P27" s="86"/>
      <c r="Q27" s="86"/>
      <c r="R27" s="86"/>
      <c r="S27" s="86"/>
      <c r="T27" s="86"/>
    </row>
    <row r="29" spans="1:20" ht="14.25" customHeight="1" x14ac:dyDescent="0.2">
      <c r="A29" s="202" t="s">
        <v>90</v>
      </c>
      <c r="B29" s="409">
        <f>B6*B14</f>
        <v>1.01E-2</v>
      </c>
      <c r="C29" s="387" t="s">
        <v>91</v>
      </c>
      <c r="D29" s="400">
        <f>B13</f>
        <v>0</v>
      </c>
      <c r="E29" s="387" t="s">
        <v>92</v>
      </c>
      <c r="F29" s="399">
        <v>0.13800000000000001</v>
      </c>
      <c r="G29" s="387" t="s">
        <v>93</v>
      </c>
      <c r="H29" s="609" t="s">
        <v>94</v>
      </c>
      <c r="I29" s="609"/>
      <c r="J29" s="86"/>
      <c r="K29" s="202" t="s">
        <v>90</v>
      </c>
      <c r="L29" s="409">
        <f>L6*L14</f>
        <v>1.01E-2</v>
      </c>
      <c r="M29" s="387" t="s">
        <v>91</v>
      </c>
      <c r="N29" s="400">
        <f>L13</f>
        <v>0</v>
      </c>
      <c r="O29" s="387" t="s">
        <v>92</v>
      </c>
      <c r="P29" s="399">
        <v>0.13800000000000001</v>
      </c>
      <c r="Q29" s="387" t="s">
        <v>93</v>
      </c>
      <c r="R29" s="609" t="s">
        <v>94</v>
      </c>
      <c r="S29" s="609"/>
      <c r="T29" s="86"/>
    </row>
    <row r="30" spans="1:20" ht="14.25" customHeight="1" x14ac:dyDescent="0.2">
      <c r="A30" s="86"/>
      <c r="B30" s="610" t="s">
        <v>93</v>
      </c>
      <c r="C30" s="610"/>
      <c r="D30" s="610" t="s">
        <v>64</v>
      </c>
      <c r="E30" s="610"/>
      <c r="F30" s="610" t="s">
        <v>92</v>
      </c>
      <c r="G30" s="610"/>
      <c r="H30" s="213">
        <v>2000</v>
      </c>
      <c r="I30" s="86" t="s">
        <v>91</v>
      </c>
      <c r="J30" s="86"/>
      <c r="K30" s="86"/>
      <c r="L30" s="610" t="s">
        <v>93</v>
      </c>
      <c r="M30" s="610"/>
      <c r="N30" s="610" t="s">
        <v>64</v>
      </c>
      <c r="O30" s="610"/>
      <c r="P30" s="610" t="s">
        <v>92</v>
      </c>
      <c r="Q30" s="610"/>
      <c r="R30" s="213">
        <v>2000</v>
      </c>
      <c r="S30" s="86" t="s">
        <v>91</v>
      </c>
      <c r="T30" s="86"/>
    </row>
    <row r="33" spans="1:20" ht="14.25" customHeight="1" x14ac:dyDescent="0.2">
      <c r="A33" s="202" t="s">
        <v>90</v>
      </c>
      <c r="B33" s="406">
        <f>(B29*D29*F29)/H30</f>
        <v>0</v>
      </c>
      <c r="C33" s="206" t="s">
        <v>94</v>
      </c>
      <c r="D33" s="86"/>
      <c r="E33" s="86" t="s">
        <v>90</v>
      </c>
      <c r="F33" s="406">
        <f>B33*2000/8760</f>
        <v>0</v>
      </c>
      <c r="G33" s="387" t="s">
        <v>132</v>
      </c>
      <c r="H33" s="86"/>
      <c r="I33" s="86"/>
      <c r="J33" s="86"/>
      <c r="K33" s="202" t="s">
        <v>90</v>
      </c>
      <c r="L33" s="406">
        <f>(L29*N29*P29)/R30</f>
        <v>0</v>
      </c>
      <c r="M33" s="206" t="s">
        <v>94</v>
      </c>
      <c r="N33" s="86"/>
      <c r="O33" s="86" t="s">
        <v>90</v>
      </c>
      <c r="P33" s="406">
        <f>L33*2000/8760</f>
        <v>0</v>
      </c>
      <c r="Q33" s="387" t="s">
        <v>132</v>
      </c>
      <c r="R33" s="86"/>
      <c r="S33" s="86"/>
      <c r="T33" s="86"/>
    </row>
    <row r="34" spans="1:20" ht="14.25" customHeight="1" x14ac:dyDescent="0.2">
      <c r="A34" s="86"/>
      <c r="B34" s="86"/>
      <c r="C34" s="198" t="s">
        <v>64</v>
      </c>
      <c r="D34" s="86"/>
      <c r="E34" s="86"/>
      <c r="F34" s="86"/>
      <c r="G34" s="473" t="s">
        <v>95</v>
      </c>
      <c r="H34" s="86"/>
      <c r="I34" s="86"/>
      <c r="J34" s="86"/>
      <c r="K34" s="86"/>
      <c r="L34" s="86"/>
      <c r="M34" s="198" t="s">
        <v>64</v>
      </c>
      <c r="N34" s="86"/>
      <c r="O34" s="86"/>
      <c r="P34" s="86"/>
      <c r="Q34" s="473" t="s">
        <v>95</v>
      </c>
      <c r="R34" s="86"/>
      <c r="S34" s="86"/>
      <c r="T34" s="86"/>
    </row>
    <row r="37" spans="1:20" ht="14.25" customHeight="1" x14ac:dyDescent="0.2">
      <c r="A37" s="86" t="s">
        <v>97</v>
      </c>
      <c r="B37" s="86"/>
      <c r="C37" s="86"/>
      <c r="D37" s="86"/>
      <c r="E37" s="86"/>
      <c r="F37" s="86"/>
      <c r="G37" s="86"/>
      <c r="H37" s="86"/>
      <c r="I37" s="86"/>
      <c r="J37" s="86"/>
      <c r="K37" s="86" t="s">
        <v>97</v>
      </c>
      <c r="L37" s="86"/>
      <c r="M37" s="86"/>
      <c r="N37" s="86"/>
      <c r="O37" s="86"/>
      <c r="P37" s="86"/>
      <c r="Q37" s="86"/>
      <c r="R37" s="86"/>
      <c r="S37" s="86"/>
      <c r="T37" s="86"/>
    </row>
    <row r="39" spans="1:20" ht="14.25" customHeight="1" x14ac:dyDescent="0.2">
      <c r="A39" s="202" t="s">
        <v>90</v>
      </c>
      <c r="B39" s="399">
        <v>0.88</v>
      </c>
      <c r="C39" s="387" t="s">
        <v>91</v>
      </c>
      <c r="D39" s="400">
        <f>B13</f>
        <v>0</v>
      </c>
      <c r="E39" s="387" t="s">
        <v>92</v>
      </c>
      <c r="F39" s="399">
        <v>0.13800000000000001</v>
      </c>
      <c r="G39" s="387" t="s">
        <v>93</v>
      </c>
      <c r="H39" s="609" t="s">
        <v>94</v>
      </c>
      <c r="I39" s="609"/>
      <c r="J39" s="86"/>
      <c r="K39" s="202" t="s">
        <v>90</v>
      </c>
      <c r="L39" s="399">
        <v>0.88</v>
      </c>
      <c r="M39" s="387" t="s">
        <v>91</v>
      </c>
      <c r="N39" s="400">
        <f>L13</f>
        <v>0</v>
      </c>
      <c r="O39" s="387" t="s">
        <v>92</v>
      </c>
      <c r="P39" s="399">
        <v>0.13800000000000001</v>
      </c>
      <c r="Q39" s="387" t="s">
        <v>93</v>
      </c>
      <c r="R39" s="609" t="s">
        <v>94</v>
      </c>
      <c r="S39" s="609"/>
      <c r="T39" s="86"/>
    </row>
    <row r="40" spans="1:20" ht="14.25" customHeight="1" x14ac:dyDescent="0.2">
      <c r="A40" s="86"/>
      <c r="B40" s="610" t="s">
        <v>93</v>
      </c>
      <c r="C40" s="610"/>
      <c r="D40" s="610" t="s">
        <v>64</v>
      </c>
      <c r="E40" s="610"/>
      <c r="F40" s="610" t="s">
        <v>92</v>
      </c>
      <c r="G40" s="610"/>
      <c r="H40" s="213">
        <v>2000</v>
      </c>
      <c r="I40" s="86" t="s">
        <v>91</v>
      </c>
      <c r="J40" s="86"/>
      <c r="K40" s="86"/>
      <c r="L40" s="610" t="s">
        <v>93</v>
      </c>
      <c r="M40" s="610"/>
      <c r="N40" s="610" t="s">
        <v>64</v>
      </c>
      <c r="O40" s="610"/>
      <c r="P40" s="610" t="s">
        <v>92</v>
      </c>
      <c r="Q40" s="610"/>
      <c r="R40" s="213">
        <v>2000</v>
      </c>
      <c r="S40" s="86" t="s">
        <v>91</v>
      </c>
      <c r="T40" s="86"/>
    </row>
    <row r="43" spans="1:20" ht="14.25" customHeight="1" x14ac:dyDescent="0.2">
      <c r="A43" s="202" t="s">
        <v>90</v>
      </c>
      <c r="B43" s="406">
        <f>(B39*D39*F39)/H40</f>
        <v>0</v>
      </c>
      <c r="C43" s="206" t="s">
        <v>94</v>
      </c>
      <c r="D43" s="86"/>
      <c r="E43" s="86" t="s">
        <v>90</v>
      </c>
      <c r="F43" s="406">
        <f>B43*2000/8760</f>
        <v>0</v>
      </c>
      <c r="G43" s="387" t="s">
        <v>132</v>
      </c>
      <c r="H43" s="86"/>
      <c r="I43" s="86"/>
      <c r="J43" s="86"/>
      <c r="K43" s="202" t="s">
        <v>90</v>
      </c>
      <c r="L43" s="406">
        <f>(L39*N39*P39)/R40</f>
        <v>0</v>
      </c>
      <c r="M43" s="206" t="s">
        <v>94</v>
      </c>
      <c r="N43" s="86"/>
      <c r="O43" s="86" t="s">
        <v>90</v>
      </c>
      <c r="P43" s="406">
        <f>L43*2000/8760</f>
        <v>0</v>
      </c>
      <c r="Q43" s="387" t="s">
        <v>132</v>
      </c>
      <c r="R43" s="86"/>
      <c r="S43" s="86"/>
      <c r="T43" s="86"/>
    </row>
    <row r="44" spans="1:20" ht="14.25" customHeight="1" x14ac:dyDescent="0.2">
      <c r="A44" s="86"/>
      <c r="B44" s="86"/>
      <c r="C44" s="198" t="s">
        <v>64</v>
      </c>
      <c r="D44" s="86"/>
      <c r="E44" s="86"/>
      <c r="F44" s="86"/>
      <c r="G44" s="473" t="s">
        <v>95</v>
      </c>
      <c r="H44" s="86"/>
      <c r="I44" s="86"/>
      <c r="J44" s="86"/>
      <c r="K44" s="86"/>
      <c r="L44" s="86"/>
      <c r="M44" s="198" t="s">
        <v>64</v>
      </c>
      <c r="N44" s="86"/>
      <c r="O44" s="86"/>
      <c r="P44" s="86"/>
      <c r="Q44" s="473" t="s">
        <v>95</v>
      </c>
      <c r="R44" s="86"/>
      <c r="S44" s="86"/>
      <c r="T44" s="86"/>
    </row>
    <row r="45" spans="1:20" ht="14.25" customHeight="1" x14ac:dyDescent="0.2">
      <c r="A45" s="86"/>
      <c r="B45" s="86"/>
      <c r="C45" s="198"/>
      <c r="D45" s="86"/>
      <c r="E45" s="86"/>
      <c r="F45" s="86"/>
      <c r="G45" s="86"/>
      <c r="H45" s="86"/>
      <c r="I45" s="86"/>
      <c r="J45" s="86"/>
      <c r="K45" s="86"/>
      <c r="L45" s="86"/>
      <c r="M45" s="198"/>
      <c r="N45" s="86"/>
      <c r="O45" s="86"/>
      <c r="P45" s="86"/>
      <c r="Q45" s="86"/>
      <c r="R45" s="86"/>
      <c r="S45" s="86"/>
      <c r="T45" s="86"/>
    </row>
    <row r="47" spans="1:20" ht="14.25" customHeight="1" x14ac:dyDescent="0.2">
      <c r="A47" s="86" t="s">
        <v>98</v>
      </c>
      <c r="B47" s="86"/>
      <c r="C47" s="86"/>
      <c r="D47" s="86"/>
      <c r="E47" s="86"/>
      <c r="F47" s="86"/>
      <c r="G47" s="86"/>
      <c r="H47" s="86"/>
      <c r="I47" s="86"/>
      <c r="J47" s="86"/>
      <c r="K47" s="86" t="s">
        <v>98</v>
      </c>
      <c r="L47" s="86"/>
      <c r="M47" s="86"/>
      <c r="N47" s="86"/>
      <c r="O47" s="86"/>
      <c r="P47" s="86"/>
      <c r="Q47" s="86"/>
      <c r="R47" s="86"/>
      <c r="S47" s="86"/>
      <c r="T47" s="86"/>
    </row>
    <row r="49" spans="1:20" ht="14.25" customHeight="1" x14ac:dyDescent="0.2">
      <c r="A49" s="202" t="s">
        <v>90</v>
      </c>
      <c r="B49" s="399">
        <v>4.0999999999999999E-4</v>
      </c>
      <c r="C49" s="387" t="s">
        <v>91</v>
      </c>
      <c r="D49" s="400">
        <f>B13</f>
        <v>0</v>
      </c>
      <c r="E49" s="387" t="s">
        <v>92</v>
      </c>
      <c r="F49" s="399">
        <v>0.13800000000000001</v>
      </c>
      <c r="G49" s="387" t="s">
        <v>93</v>
      </c>
      <c r="H49" s="609" t="s">
        <v>94</v>
      </c>
      <c r="I49" s="609"/>
      <c r="J49" s="86"/>
      <c r="K49" s="202" t="s">
        <v>90</v>
      </c>
      <c r="L49" s="399">
        <v>4.0999999999999999E-4</v>
      </c>
      <c r="M49" s="387" t="s">
        <v>91</v>
      </c>
      <c r="N49" s="400">
        <f>L13</f>
        <v>0</v>
      </c>
      <c r="O49" s="387" t="s">
        <v>92</v>
      </c>
      <c r="P49" s="399">
        <v>0.13800000000000001</v>
      </c>
      <c r="Q49" s="387" t="s">
        <v>93</v>
      </c>
      <c r="R49" s="609" t="s">
        <v>94</v>
      </c>
      <c r="S49" s="609"/>
      <c r="T49" s="86"/>
    </row>
    <row r="50" spans="1:20" ht="14.25" customHeight="1" x14ac:dyDescent="0.2">
      <c r="A50" s="86"/>
      <c r="B50" s="610" t="s">
        <v>93</v>
      </c>
      <c r="C50" s="610"/>
      <c r="D50" s="610" t="s">
        <v>64</v>
      </c>
      <c r="E50" s="610"/>
      <c r="F50" s="610" t="s">
        <v>92</v>
      </c>
      <c r="G50" s="610"/>
      <c r="H50" s="213">
        <v>2000</v>
      </c>
      <c r="I50" s="86" t="s">
        <v>91</v>
      </c>
      <c r="J50" s="86"/>
      <c r="K50" s="86"/>
      <c r="L50" s="610" t="s">
        <v>93</v>
      </c>
      <c r="M50" s="610"/>
      <c r="N50" s="610" t="s">
        <v>64</v>
      </c>
      <c r="O50" s="610"/>
      <c r="P50" s="610" t="s">
        <v>92</v>
      </c>
      <c r="Q50" s="610"/>
      <c r="R50" s="213">
        <v>2000</v>
      </c>
      <c r="S50" s="86" t="s">
        <v>91</v>
      </c>
      <c r="T50" s="86"/>
    </row>
    <row r="53" spans="1:20" ht="14.25" customHeight="1" x14ac:dyDescent="0.2">
      <c r="A53" s="202" t="s">
        <v>90</v>
      </c>
      <c r="B53" s="406">
        <f>(B49*D49*F49)/H50</f>
        <v>0</v>
      </c>
      <c r="C53" s="206" t="s">
        <v>94</v>
      </c>
      <c r="D53" s="86"/>
      <c r="E53" s="86" t="s">
        <v>90</v>
      </c>
      <c r="F53" s="406">
        <f>B53*2000/8760</f>
        <v>0</v>
      </c>
      <c r="G53" s="387" t="s">
        <v>132</v>
      </c>
      <c r="H53" s="86"/>
      <c r="I53" s="86"/>
      <c r="J53" s="86"/>
      <c r="K53" s="202" t="s">
        <v>90</v>
      </c>
      <c r="L53" s="406">
        <f>(L49*N49*P49)/R50</f>
        <v>0</v>
      </c>
      <c r="M53" s="206" t="s">
        <v>94</v>
      </c>
      <c r="N53" s="86"/>
      <c r="O53" s="86" t="s">
        <v>90</v>
      </c>
      <c r="P53" s="406">
        <f>L53*2000/8760</f>
        <v>0</v>
      </c>
      <c r="Q53" s="387" t="s">
        <v>132</v>
      </c>
      <c r="R53" s="86"/>
      <c r="S53" s="86"/>
      <c r="T53" s="86"/>
    </row>
    <row r="54" spans="1:20" ht="14.25" customHeight="1" x14ac:dyDescent="0.2">
      <c r="A54" s="86"/>
      <c r="B54" s="86"/>
      <c r="C54" s="198" t="s">
        <v>64</v>
      </c>
      <c r="D54" s="86"/>
      <c r="E54" s="86"/>
      <c r="F54" s="86"/>
      <c r="G54" s="473" t="s">
        <v>95</v>
      </c>
      <c r="H54" s="86"/>
      <c r="I54" s="86"/>
      <c r="J54" s="86"/>
      <c r="K54" s="86"/>
      <c r="L54" s="86"/>
      <c r="M54" s="198" t="s">
        <v>64</v>
      </c>
      <c r="N54" s="86"/>
      <c r="O54" s="86"/>
      <c r="P54" s="86"/>
      <c r="Q54" s="473" t="s">
        <v>95</v>
      </c>
      <c r="R54" s="86"/>
      <c r="S54" s="86"/>
      <c r="T54" s="86"/>
    </row>
    <row r="57" spans="1:20" ht="14.25" customHeight="1" x14ac:dyDescent="0.2">
      <c r="A57" s="86" t="s">
        <v>99</v>
      </c>
      <c r="B57" s="86"/>
      <c r="C57" s="86"/>
      <c r="D57" s="86"/>
      <c r="E57" s="86"/>
      <c r="F57" s="86"/>
      <c r="G57" s="86"/>
      <c r="H57" s="86"/>
      <c r="I57" s="86"/>
      <c r="J57" s="86"/>
      <c r="K57" s="86" t="s">
        <v>99</v>
      </c>
      <c r="L57" s="86"/>
      <c r="M57" s="86"/>
      <c r="N57" s="86"/>
      <c r="O57" s="86"/>
      <c r="P57" s="86"/>
      <c r="Q57" s="86"/>
      <c r="R57" s="86"/>
      <c r="S57" s="86"/>
      <c r="T57" s="86"/>
    </row>
    <row r="59" spans="1:20" ht="14.25" customHeight="1" x14ac:dyDescent="0.2">
      <c r="A59" s="202" t="s">
        <v>90</v>
      </c>
      <c r="B59" s="399">
        <v>3.3E-3</v>
      </c>
      <c r="C59" s="387" t="s">
        <v>91</v>
      </c>
      <c r="D59" s="400">
        <f>B13</f>
        <v>0</v>
      </c>
      <c r="E59" s="387" t="s">
        <v>92</v>
      </c>
      <c r="F59" s="399">
        <v>0.13800000000000001</v>
      </c>
      <c r="G59" s="387" t="s">
        <v>93</v>
      </c>
      <c r="H59" s="609" t="s">
        <v>94</v>
      </c>
      <c r="I59" s="609"/>
      <c r="J59" s="86"/>
      <c r="K59" s="202" t="s">
        <v>90</v>
      </c>
      <c r="L59" s="399">
        <v>3.3E-3</v>
      </c>
      <c r="M59" s="387" t="s">
        <v>91</v>
      </c>
      <c r="N59" s="400">
        <f>L13</f>
        <v>0</v>
      </c>
      <c r="O59" s="387" t="s">
        <v>92</v>
      </c>
      <c r="P59" s="399">
        <v>0.13800000000000001</v>
      </c>
      <c r="Q59" s="387" t="s">
        <v>93</v>
      </c>
      <c r="R59" s="609" t="s">
        <v>94</v>
      </c>
      <c r="S59" s="609"/>
      <c r="T59" s="86"/>
    </row>
    <row r="60" spans="1:20" ht="14.25" customHeight="1" x14ac:dyDescent="0.2">
      <c r="A60" s="86"/>
      <c r="B60" s="610" t="s">
        <v>93</v>
      </c>
      <c r="C60" s="610"/>
      <c r="D60" s="610" t="s">
        <v>64</v>
      </c>
      <c r="E60" s="610"/>
      <c r="F60" s="610" t="s">
        <v>92</v>
      </c>
      <c r="G60" s="610"/>
      <c r="H60" s="213">
        <v>2000</v>
      </c>
      <c r="I60" s="86" t="s">
        <v>91</v>
      </c>
      <c r="J60" s="86"/>
      <c r="K60" s="86"/>
      <c r="L60" s="610" t="s">
        <v>93</v>
      </c>
      <c r="M60" s="610"/>
      <c r="N60" s="610" t="s">
        <v>64</v>
      </c>
      <c r="O60" s="610"/>
      <c r="P60" s="610" t="s">
        <v>92</v>
      </c>
      <c r="Q60" s="610"/>
      <c r="R60" s="213">
        <v>2000</v>
      </c>
      <c r="S60" s="86" t="s">
        <v>91</v>
      </c>
      <c r="T60" s="86"/>
    </row>
    <row r="63" spans="1:20" ht="14.25" customHeight="1" x14ac:dyDescent="0.2">
      <c r="A63" s="202" t="s">
        <v>90</v>
      </c>
      <c r="B63" s="406">
        <f>(B59*D59*F59)/H60</f>
        <v>0</v>
      </c>
      <c r="C63" s="206" t="s">
        <v>94</v>
      </c>
      <c r="D63" s="86"/>
      <c r="E63" s="86" t="s">
        <v>90</v>
      </c>
      <c r="F63" s="406">
        <f>B63*2000/8760</f>
        <v>0</v>
      </c>
      <c r="G63" s="387" t="s">
        <v>132</v>
      </c>
      <c r="H63" s="86"/>
      <c r="I63" s="86"/>
      <c r="J63" s="86"/>
      <c r="K63" s="202" t="s">
        <v>90</v>
      </c>
      <c r="L63" s="406">
        <f>(L59*N59*P59)/R60</f>
        <v>0</v>
      </c>
      <c r="M63" s="206" t="s">
        <v>94</v>
      </c>
      <c r="N63" s="86"/>
      <c r="O63" s="86" t="s">
        <v>90</v>
      </c>
      <c r="P63" s="406">
        <f>L63*2000/8760</f>
        <v>0</v>
      </c>
      <c r="Q63" s="387" t="s">
        <v>132</v>
      </c>
      <c r="R63" s="86"/>
      <c r="S63" s="86"/>
      <c r="T63" s="86"/>
    </row>
    <row r="64" spans="1:20" ht="14.25" customHeight="1" x14ac:dyDescent="0.2">
      <c r="A64" s="86"/>
      <c r="B64" s="86"/>
      <c r="C64" s="198" t="s">
        <v>64</v>
      </c>
      <c r="D64" s="86"/>
      <c r="E64" s="86"/>
      <c r="F64" s="86"/>
      <c r="G64" s="473" t="s">
        <v>95</v>
      </c>
      <c r="H64" s="86"/>
      <c r="I64" s="86"/>
      <c r="J64" s="86"/>
      <c r="K64" s="86"/>
      <c r="L64" s="86"/>
      <c r="M64" s="198" t="s">
        <v>64</v>
      </c>
      <c r="N64" s="86"/>
      <c r="O64" s="86"/>
      <c r="P64" s="86"/>
      <c r="Q64" s="473" t="s">
        <v>95</v>
      </c>
      <c r="R64" s="86"/>
      <c r="S64" s="86"/>
      <c r="T64" s="86"/>
    </row>
    <row r="67" spans="1:20" ht="14.25" customHeight="1" x14ac:dyDescent="0.2">
      <c r="A67" s="86" t="s">
        <v>100</v>
      </c>
      <c r="B67" s="86"/>
      <c r="C67" s="86"/>
      <c r="D67" s="86"/>
      <c r="E67" s="86"/>
      <c r="F67" s="86"/>
      <c r="G67" s="86"/>
      <c r="H67" s="86"/>
      <c r="I67" s="86"/>
      <c r="J67" s="86"/>
      <c r="K67" s="86" t="s">
        <v>100</v>
      </c>
      <c r="L67" s="86"/>
      <c r="M67" s="86"/>
      <c r="N67" s="86"/>
      <c r="O67" s="86"/>
      <c r="P67" s="86"/>
      <c r="Q67" s="86"/>
      <c r="R67" s="86"/>
      <c r="S67" s="86"/>
      <c r="T67" s="86"/>
    </row>
    <row r="69" spans="1:20" ht="14.25" customHeight="1" x14ac:dyDescent="0.2">
      <c r="A69" s="202" t="s">
        <v>90</v>
      </c>
      <c r="B69" s="399">
        <v>1.4E-5</v>
      </c>
      <c r="C69" s="387" t="s">
        <v>91</v>
      </c>
      <c r="D69" s="400">
        <f>B13</f>
        <v>0</v>
      </c>
      <c r="E69" s="387" t="s">
        <v>92</v>
      </c>
      <c r="F69" s="399">
        <v>0.13800000000000001</v>
      </c>
      <c r="G69" s="387" t="s">
        <v>93</v>
      </c>
      <c r="H69" s="609" t="s">
        <v>94</v>
      </c>
      <c r="I69" s="609"/>
      <c r="J69" s="86"/>
      <c r="K69" s="202" t="s">
        <v>90</v>
      </c>
      <c r="L69" s="399">
        <v>1.4E-5</v>
      </c>
      <c r="M69" s="387" t="s">
        <v>91</v>
      </c>
      <c r="N69" s="400">
        <f>L13</f>
        <v>0</v>
      </c>
      <c r="O69" s="387" t="s">
        <v>92</v>
      </c>
      <c r="P69" s="399">
        <v>0.13800000000000001</v>
      </c>
      <c r="Q69" s="387" t="s">
        <v>93</v>
      </c>
      <c r="R69" s="609" t="s">
        <v>94</v>
      </c>
      <c r="S69" s="609"/>
      <c r="T69" s="86"/>
    </row>
    <row r="70" spans="1:20" ht="14.25" customHeight="1" x14ac:dyDescent="0.2">
      <c r="A70" s="86"/>
      <c r="B70" s="610" t="s">
        <v>93</v>
      </c>
      <c r="C70" s="610"/>
      <c r="D70" s="610" t="s">
        <v>64</v>
      </c>
      <c r="E70" s="610"/>
      <c r="F70" s="610" t="s">
        <v>92</v>
      </c>
      <c r="G70" s="610"/>
      <c r="H70" s="213">
        <v>2000</v>
      </c>
      <c r="I70" s="86" t="s">
        <v>91</v>
      </c>
      <c r="J70" s="86"/>
      <c r="K70" s="86"/>
      <c r="L70" s="610" t="s">
        <v>93</v>
      </c>
      <c r="M70" s="610"/>
      <c r="N70" s="610" t="s">
        <v>64</v>
      </c>
      <c r="O70" s="610"/>
      <c r="P70" s="610" t="s">
        <v>92</v>
      </c>
      <c r="Q70" s="610"/>
      <c r="R70" s="213">
        <v>2000</v>
      </c>
      <c r="S70" s="86" t="s">
        <v>91</v>
      </c>
      <c r="T70" s="86"/>
    </row>
    <row r="73" spans="1:20" ht="14.25" customHeight="1" x14ac:dyDescent="0.2">
      <c r="A73" s="202" t="s">
        <v>90</v>
      </c>
      <c r="B73" s="406">
        <f>(B69*D69*F69)/H70</f>
        <v>0</v>
      </c>
      <c r="C73" s="206" t="s">
        <v>94</v>
      </c>
      <c r="D73" s="86"/>
      <c r="E73" s="86" t="s">
        <v>90</v>
      </c>
      <c r="F73" s="406">
        <f>B73*2000/8760</f>
        <v>0</v>
      </c>
      <c r="G73" s="387" t="s">
        <v>132</v>
      </c>
      <c r="H73" s="86"/>
      <c r="I73" s="86"/>
      <c r="J73" s="86"/>
      <c r="K73" s="202" t="s">
        <v>90</v>
      </c>
      <c r="L73" s="406">
        <f>(L69*N69*P69)/R70</f>
        <v>0</v>
      </c>
      <c r="M73" s="206" t="s">
        <v>94</v>
      </c>
      <c r="N73" s="86"/>
      <c r="O73" s="86" t="s">
        <v>90</v>
      </c>
      <c r="P73" s="406">
        <f>L73*2000/8760</f>
        <v>0</v>
      </c>
      <c r="Q73" s="387" t="s">
        <v>132</v>
      </c>
      <c r="R73" s="86"/>
      <c r="S73" s="86"/>
      <c r="T73" s="86"/>
    </row>
    <row r="74" spans="1:20" ht="14.25" customHeight="1" x14ac:dyDescent="0.2">
      <c r="A74" s="86"/>
      <c r="B74" s="86"/>
      <c r="C74" s="198" t="s">
        <v>64</v>
      </c>
      <c r="D74" s="86"/>
      <c r="E74" s="86"/>
      <c r="F74" s="86"/>
      <c r="G74" s="473" t="s">
        <v>95</v>
      </c>
      <c r="H74" s="86"/>
      <c r="I74" s="86"/>
      <c r="J74" s="86"/>
      <c r="K74" s="86"/>
      <c r="L74" s="86"/>
      <c r="M74" s="198" t="s">
        <v>64</v>
      </c>
      <c r="N74" s="86"/>
      <c r="O74" s="86"/>
      <c r="P74" s="86"/>
      <c r="Q74" s="473" t="s">
        <v>95</v>
      </c>
      <c r="R74" s="86"/>
      <c r="S74" s="86"/>
      <c r="T74" s="86"/>
    </row>
    <row r="77" spans="1:20" ht="14.25" customHeight="1" x14ac:dyDescent="0.2">
      <c r="A77" s="86" t="s">
        <v>101</v>
      </c>
      <c r="B77" s="86"/>
      <c r="C77" s="86"/>
      <c r="D77" s="86"/>
      <c r="E77" s="86"/>
      <c r="F77" s="86"/>
      <c r="G77" s="86"/>
      <c r="K77" s="86" t="s">
        <v>101</v>
      </c>
      <c r="L77" s="86"/>
      <c r="M77" s="86"/>
      <c r="N77" s="86"/>
      <c r="O77" s="86"/>
      <c r="P77" s="86"/>
      <c r="Q77" s="86"/>
    </row>
    <row r="79" spans="1:20" ht="14.25" customHeight="1" x14ac:dyDescent="0.2">
      <c r="A79" s="202" t="s">
        <v>90</v>
      </c>
      <c r="B79" s="482">
        <f>V14</f>
        <v>22.578420600240001</v>
      </c>
      <c r="C79" s="387" t="s">
        <v>91</v>
      </c>
      <c r="D79" s="400">
        <f>D69</f>
        <v>0</v>
      </c>
      <c r="E79" s="387" t="s">
        <v>92</v>
      </c>
      <c r="F79" s="398"/>
      <c r="G79" s="401" t="s">
        <v>94</v>
      </c>
      <c r="K79" s="202" t="s">
        <v>90</v>
      </c>
      <c r="L79" s="482">
        <f>V14</f>
        <v>22.578420600240001</v>
      </c>
      <c r="M79" s="387" t="s">
        <v>91</v>
      </c>
      <c r="N79" s="400">
        <f>N69</f>
        <v>0</v>
      </c>
      <c r="O79" s="387" t="s">
        <v>92</v>
      </c>
      <c r="P79" s="398"/>
      <c r="Q79" s="401" t="s">
        <v>94</v>
      </c>
    </row>
    <row r="80" spans="1:20" ht="14.25" customHeight="1" x14ac:dyDescent="0.25">
      <c r="A80" s="86"/>
      <c r="B80" s="403"/>
      <c r="C80" s="404" t="s">
        <v>92</v>
      </c>
      <c r="D80" s="402"/>
      <c r="E80" s="197" t="s">
        <v>64</v>
      </c>
      <c r="F80" s="213">
        <v>2000</v>
      </c>
      <c r="G80" s="405" t="s">
        <v>91</v>
      </c>
      <c r="K80" s="86"/>
      <c r="L80" s="403"/>
      <c r="M80" s="404" t="s">
        <v>92</v>
      </c>
      <c r="N80" s="402"/>
      <c r="O80" s="197" t="s">
        <v>64</v>
      </c>
      <c r="P80" s="213">
        <v>2000</v>
      </c>
      <c r="Q80" s="405" t="s">
        <v>91</v>
      </c>
    </row>
    <row r="83" spans="1:17" ht="14.25" customHeight="1" x14ac:dyDescent="0.2">
      <c r="A83" s="202" t="s">
        <v>90</v>
      </c>
      <c r="B83" s="410">
        <f>B79*D79/F80</f>
        <v>0</v>
      </c>
      <c r="C83" s="206" t="s">
        <v>94</v>
      </c>
      <c r="D83" s="202" t="s">
        <v>90</v>
      </c>
      <c r="E83" s="410">
        <f>B83*(2000/8760)</f>
        <v>0</v>
      </c>
      <c r="F83" s="206" t="s">
        <v>91</v>
      </c>
      <c r="G83" s="86"/>
      <c r="K83" s="202" t="s">
        <v>90</v>
      </c>
      <c r="L83" s="410">
        <f>L79*N79/P80</f>
        <v>0</v>
      </c>
      <c r="M83" s="206" t="s">
        <v>94</v>
      </c>
      <c r="N83" s="202" t="s">
        <v>90</v>
      </c>
      <c r="O83" s="410">
        <f>L83*(2000/8760)</f>
        <v>0</v>
      </c>
      <c r="P83" s="206" t="s">
        <v>91</v>
      </c>
      <c r="Q83" s="86"/>
    </row>
    <row r="84" spans="1:17" ht="14.25" customHeight="1" x14ac:dyDescent="0.2">
      <c r="A84" s="86"/>
      <c r="B84" s="86"/>
      <c r="C84" s="198" t="s">
        <v>64</v>
      </c>
      <c r="D84" s="86"/>
      <c r="E84" s="86"/>
      <c r="F84" s="198" t="s">
        <v>95</v>
      </c>
      <c r="G84" s="86"/>
      <c r="K84" s="86"/>
      <c r="L84" s="86"/>
      <c r="M84" s="198" t="s">
        <v>64</v>
      </c>
      <c r="N84" s="86"/>
      <c r="O84" s="86"/>
      <c r="P84" s="198" t="s">
        <v>95</v>
      </c>
      <c r="Q84" s="86"/>
    </row>
  </sheetData>
  <mergeCells count="54">
    <mergeCell ref="A1:J1"/>
    <mergeCell ref="K1:S1"/>
    <mergeCell ref="A3:D3"/>
    <mergeCell ref="K3:N3"/>
    <mergeCell ref="A4:D4"/>
    <mergeCell ref="K4:N4"/>
    <mergeCell ref="H19:I19"/>
    <mergeCell ref="R19:S19"/>
    <mergeCell ref="B20:C20"/>
    <mergeCell ref="D20:E20"/>
    <mergeCell ref="F20:G20"/>
    <mergeCell ref="L20:M20"/>
    <mergeCell ref="N20:O20"/>
    <mergeCell ref="P20:Q20"/>
    <mergeCell ref="H29:I29"/>
    <mergeCell ref="R29:S29"/>
    <mergeCell ref="B30:C30"/>
    <mergeCell ref="D30:E30"/>
    <mergeCell ref="F30:G30"/>
    <mergeCell ref="L30:M30"/>
    <mergeCell ref="N30:O30"/>
    <mergeCell ref="P30:Q30"/>
    <mergeCell ref="H39:I39"/>
    <mergeCell ref="R39:S39"/>
    <mergeCell ref="B40:C40"/>
    <mergeCell ref="D40:E40"/>
    <mergeCell ref="F40:G40"/>
    <mergeCell ref="L40:M40"/>
    <mergeCell ref="N40:O40"/>
    <mergeCell ref="P40:Q40"/>
    <mergeCell ref="H49:I49"/>
    <mergeCell ref="R49:S49"/>
    <mergeCell ref="B50:C50"/>
    <mergeCell ref="D50:E50"/>
    <mergeCell ref="F50:G50"/>
    <mergeCell ref="L50:M50"/>
    <mergeCell ref="N50:O50"/>
    <mergeCell ref="P50:Q50"/>
    <mergeCell ref="H59:I59"/>
    <mergeCell ref="R59:S59"/>
    <mergeCell ref="B60:C60"/>
    <mergeCell ref="D60:E60"/>
    <mergeCell ref="F60:G60"/>
    <mergeCell ref="L60:M60"/>
    <mergeCell ref="N60:O60"/>
    <mergeCell ref="P60:Q60"/>
    <mergeCell ref="H69:I69"/>
    <mergeCell ref="R69:S69"/>
    <mergeCell ref="B70:C70"/>
    <mergeCell ref="D70:E70"/>
    <mergeCell ref="F70:G70"/>
    <mergeCell ref="L70:M70"/>
    <mergeCell ref="N70:O70"/>
    <mergeCell ref="P70:Q70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W84"/>
  <sheetViews>
    <sheetView zoomScaleNormal="100" workbookViewId="0">
      <selection sqref="A1:O1"/>
    </sheetView>
  </sheetViews>
  <sheetFormatPr defaultColWidth="8.7109375" defaultRowHeight="12.75" x14ac:dyDescent="0.2"/>
  <cols>
    <col min="1" max="1" width="14.7109375" customWidth="1"/>
    <col min="2" max="2" width="12.28515625" customWidth="1"/>
    <col min="3" max="3" width="12.42578125" customWidth="1"/>
    <col min="4" max="4" width="9.7109375" customWidth="1"/>
    <col min="11" max="11" width="13.42578125" customWidth="1"/>
    <col min="12" max="12" width="14.42578125" customWidth="1"/>
    <col min="13" max="13" width="12.42578125" customWidth="1"/>
    <col min="19" max="19" width="5.5703125" customWidth="1"/>
  </cols>
  <sheetData>
    <row r="1" spans="1:23" ht="14.25" customHeight="1" x14ac:dyDescent="0.2">
      <c r="A1" s="592" t="s">
        <v>351</v>
      </c>
      <c r="B1" s="592"/>
      <c r="C1" s="592"/>
      <c r="D1" s="592"/>
      <c r="E1" s="592"/>
      <c r="F1" s="592"/>
      <c r="G1" s="592"/>
      <c r="H1" s="592"/>
      <c r="I1" s="592"/>
      <c r="K1" s="592" t="s">
        <v>352</v>
      </c>
      <c r="L1" s="592"/>
      <c r="M1" s="592"/>
      <c r="N1" s="592"/>
      <c r="O1" s="592"/>
      <c r="P1" s="592"/>
      <c r="Q1" s="592"/>
      <c r="R1" s="592"/>
      <c r="S1" s="592"/>
    </row>
    <row r="3" spans="1:23" ht="14.25" customHeight="1" x14ac:dyDescent="0.25">
      <c r="A3" s="622" t="s">
        <v>343</v>
      </c>
      <c r="B3" s="622"/>
      <c r="C3" s="622"/>
      <c r="K3" s="622" t="s">
        <v>343</v>
      </c>
      <c r="L3" s="622"/>
      <c r="M3" s="622"/>
    </row>
    <row r="4" spans="1:23" ht="14.25" customHeight="1" x14ac:dyDescent="0.25">
      <c r="A4" s="623" t="s">
        <v>344</v>
      </c>
      <c r="B4" s="623"/>
      <c r="C4" s="623"/>
      <c r="K4" s="623" t="s">
        <v>344</v>
      </c>
      <c r="L4" s="623"/>
      <c r="M4" s="623"/>
    </row>
    <row r="5" spans="1:23" ht="14.25" customHeight="1" x14ac:dyDescent="0.25">
      <c r="A5" s="503" t="s">
        <v>18</v>
      </c>
      <c r="B5" s="505">
        <v>1.2E-2</v>
      </c>
      <c r="C5" s="506" t="s">
        <v>345</v>
      </c>
      <c r="K5" s="503" t="s">
        <v>18</v>
      </c>
      <c r="L5" s="505">
        <v>1.2E-2</v>
      </c>
      <c r="M5" s="506" t="s">
        <v>345</v>
      </c>
    </row>
    <row r="6" spans="1:23" ht="14.25" customHeight="1" x14ac:dyDescent="0.25">
      <c r="A6" s="507" t="s">
        <v>41</v>
      </c>
      <c r="B6" s="509">
        <v>1.01</v>
      </c>
      <c r="C6" s="510" t="s">
        <v>346</v>
      </c>
      <c r="K6" s="507" t="s">
        <v>41</v>
      </c>
      <c r="L6" s="509">
        <v>1.01</v>
      </c>
      <c r="M6" s="510" t="s">
        <v>346</v>
      </c>
    </row>
    <row r="7" spans="1:23" ht="14.25" customHeight="1" x14ac:dyDescent="0.25">
      <c r="A7" s="507" t="s">
        <v>20</v>
      </c>
      <c r="B7" s="509">
        <v>0.88</v>
      </c>
      <c r="C7" s="510" t="s">
        <v>345</v>
      </c>
      <c r="K7" s="507" t="s">
        <v>20</v>
      </c>
      <c r="L7" s="509">
        <v>0.88</v>
      </c>
      <c r="M7" s="510" t="s">
        <v>345</v>
      </c>
    </row>
    <row r="8" spans="1:23" ht="14.25" customHeight="1" x14ac:dyDescent="0.25">
      <c r="A8" s="507" t="s">
        <v>22</v>
      </c>
      <c r="B8" s="509">
        <v>4.0999999999999999E-4</v>
      </c>
      <c r="C8" s="510" t="s">
        <v>345</v>
      </c>
      <c r="K8" s="507" t="s">
        <v>22</v>
      </c>
      <c r="L8" s="509">
        <v>4.0999999999999999E-4</v>
      </c>
      <c r="M8" s="510" t="s">
        <v>345</v>
      </c>
    </row>
    <row r="9" spans="1:23" ht="14.25" customHeight="1" x14ac:dyDescent="0.25">
      <c r="A9" s="507" t="s">
        <v>21</v>
      </c>
      <c r="B9" s="509">
        <v>3.3E-3</v>
      </c>
      <c r="C9" s="510" t="s">
        <v>345</v>
      </c>
      <c r="K9" s="507" t="s">
        <v>21</v>
      </c>
      <c r="L9" s="509">
        <v>3.3E-3</v>
      </c>
      <c r="M9" s="510" t="s">
        <v>345</v>
      </c>
    </row>
    <row r="10" spans="1:23" ht="14.25" customHeight="1" x14ac:dyDescent="0.25">
      <c r="A10" s="511" t="s">
        <v>23</v>
      </c>
      <c r="B10" s="513">
        <v>1.4E-5</v>
      </c>
      <c r="C10" s="514" t="s">
        <v>345</v>
      </c>
      <c r="K10" s="511" t="s">
        <v>23</v>
      </c>
      <c r="L10" s="513">
        <v>1.4E-5</v>
      </c>
      <c r="M10" s="514" t="s">
        <v>345</v>
      </c>
    </row>
    <row r="11" spans="1:23" ht="14.25" customHeight="1" x14ac:dyDescent="0.2">
      <c r="A11" s="480" t="s">
        <v>24</v>
      </c>
      <c r="B11" s="481" t="s">
        <v>236</v>
      </c>
      <c r="C11" s="393" t="s">
        <v>235</v>
      </c>
      <c r="D11" s="86"/>
      <c r="E11" s="86"/>
      <c r="F11" s="86"/>
      <c r="G11" s="86"/>
      <c r="H11" s="86"/>
      <c r="I11" s="86"/>
      <c r="K11" s="480" t="s">
        <v>24</v>
      </c>
      <c r="L11" s="481" t="s">
        <v>236</v>
      </c>
      <c r="M11" s="393" t="s">
        <v>235</v>
      </c>
    </row>
    <row r="13" spans="1:23" ht="14.25" customHeight="1" x14ac:dyDescent="0.25">
      <c r="A13" t="s">
        <v>318</v>
      </c>
      <c r="B13" s="142">
        <f>SUM(Turbinas!N19)</f>
        <v>0</v>
      </c>
      <c r="C13" t="s">
        <v>87</v>
      </c>
      <c r="D13" s="621" t="s">
        <v>353</v>
      </c>
      <c r="E13" s="621"/>
      <c r="F13" s="621"/>
      <c r="G13" s="621"/>
      <c r="H13" s="621"/>
      <c r="K13" t="s">
        <v>318</v>
      </c>
      <c r="L13" s="142">
        <f>SUM(Turbinas!O19)</f>
        <v>2309476.2599999998</v>
      </c>
      <c r="M13" t="s">
        <v>87</v>
      </c>
      <c r="N13" s="621" t="s">
        <v>353</v>
      </c>
      <c r="O13" s="621"/>
      <c r="P13" s="621"/>
      <c r="Q13" s="621"/>
      <c r="R13" s="621"/>
    </row>
    <row r="14" spans="1:23" ht="14.25" customHeight="1" x14ac:dyDescent="0.25">
      <c r="A14" t="s">
        <v>62</v>
      </c>
      <c r="B14" s="142">
        <f>Turbinas!W17</f>
        <v>0.01</v>
      </c>
      <c r="K14" t="s">
        <v>62</v>
      </c>
      <c r="L14" s="142">
        <f>Turbinas!X17</f>
        <v>0.01</v>
      </c>
      <c r="V14">
        <f>(73.96+0.003*25+0.0006*298)*2.2046*0.138</f>
        <v>22.578420600240001</v>
      </c>
      <c r="W14" t="s">
        <v>116</v>
      </c>
    </row>
    <row r="17" spans="1:19" ht="14.25" customHeight="1" x14ac:dyDescent="0.2">
      <c r="A17" t="s">
        <v>186</v>
      </c>
      <c r="K17" t="s">
        <v>186</v>
      </c>
    </row>
    <row r="19" spans="1:19" ht="14.25" customHeight="1" x14ac:dyDescent="0.25">
      <c r="A19" s="88" t="s">
        <v>90</v>
      </c>
      <c r="B19" s="515">
        <v>1.2E-2</v>
      </c>
      <c r="C19" s="516" t="s">
        <v>91</v>
      </c>
      <c r="D19" s="517">
        <f>B13</f>
        <v>0</v>
      </c>
      <c r="E19" s="516" t="s">
        <v>92</v>
      </c>
      <c r="F19" s="515">
        <v>0.13800000000000001</v>
      </c>
      <c r="G19" s="516" t="s">
        <v>93</v>
      </c>
      <c r="H19" s="619" t="s">
        <v>94</v>
      </c>
      <c r="I19" s="619"/>
      <c r="K19" s="88" t="s">
        <v>90</v>
      </c>
      <c r="L19" s="515">
        <v>1.2E-2</v>
      </c>
      <c r="M19" s="516" t="s">
        <v>91</v>
      </c>
      <c r="N19" s="517">
        <f>L13</f>
        <v>2309476.2599999998</v>
      </c>
      <c r="O19" s="516" t="s">
        <v>92</v>
      </c>
      <c r="P19" s="515">
        <v>0.13800000000000001</v>
      </c>
      <c r="Q19" s="516" t="s">
        <v>93</v>
      </c>
      <c r="R19" s="619" t="s">
        <v>94</v>
      </c>
      <c r="S19" s="619"/>
    </row>
    <row r="20" spans="1:19" ht="14.25" customHeight="1" x14ac:dyDescent="0.25">
      <c r="B20" s="620" t="s">
        <v>93</v>
      </c>
      <c r="C20" s="620"/>
      <c r="D20" s="620" t="s">
        <v>64</v>
      </c>
      <c r="E20" s="620"/>
      <c r="F20" s="620" t="s">
        <v>92</v>
      </c>
      <c r="G20" s="620"/>
      <c r="H20" s="518">
        <v>2000</v>
      </c>
      <c r="I20" t="s">
        <v>91</v>
      </c>
      <c r="L20" s="620" t="s">
        <v>93</v>
      </c>
      <c r="M20" s="620"/>
      <c r="N20" s="620" t="s">
        <v>64</v>
      </c>
      <c r="O20" s="620"/>
      <c r="P20" s="620" t="s">
        <v>92</v>
      </c>
      <c r="Q20" s="620"/>
      <c r="R20" s="518">
        <v>2000</v>
      </c>
      <c r="S20" t="s">
        <v>91</v>
      </c>
    </row>
    <row r="21" spans="1:19" ht="14.25" customHeight="1" x14ac:dyDescent="0.25">
      <c r="B21" s="97"/>
      <c r="C21" s="97"/>
      <c r="D21" s="97"/>
      <c r="E21" s="97"/>
      <c r="F21" s="97"/>
      <c r="G21" s="97"/>
      <c r="L21" s="97"/>
      <c r="M21" s="97"/>
      <c r="N21" s="97"/>
      <c r="O21" s="97"/>
      <c r="P21" s="97"/>
      <c r="Q21" s="97"/>
    </row>
    <row r="23" spans="1:19" ht="14.25" customHeight="1" x14ac:dyDescent="0.25">
      <c r="A23" s="88" t="s">
        <v>90</v>
      </c>
      <c r="B23" s="102">
        <f>(B19*D19*F19)/H20</f>
        <v>0</v>
      </c>
      <c r="C23" s="94" t="s">
        <v>94</v>
      </c>
      <c r="D23" s="88" t="s">
        <v>90</v>
      </c>
      <c r="E23" s="102">
        <f>B23*2000/8760</f>
        <v>0</v>
      </c>
      <c r="F23" s="206" t="s">
        <v>91</v>
      </c>
      <c r="H23" s="82"/>
      <c r="K23" s="88" t="s">
        <v>90</v>
      </c>
      <c r="L23" s="102">
        <f>(L19*N19*P19)/R20</f>
        <v>1.9122463432800001</v>
      </c>
      <c r="M23" s="94" t="s">
        <v>94</v>
      </c>
      <c r="N23" s="88" t="s">
        <v>90</v>
      </c>
      <c r="O23" s="102">
        <f>L23*2000/8760</f>
        <v>0.4365859231232877</v>
      </c>
      <c r="P23" s="206" t="s">
        <v>91</v>
      </c>
      <c r="R23" s="82"/>
    </row>
    <row r="24" spans="1:19" ht="14.25" customHeight="1" x14ac:dyDescent="0.25">
      <c r="C24" s="97" t="s">
        <v>64</v>
      </c>
      <c r="F24" s="198" t="s">
        <v>95</v>
      </c>
      <c r="M24" s="97" t="s">
        <v>64</v>
      </c>
      <c r="P24" s="198" t="s">
        <v>95</v>
      </c>
    </row>
    <row r="25" spans="1:19" ht="14.25" customHeight="1" x14ac:dyDescent="0.25">
      <c r="C25" s="97"/>
      <c r="F25" s="198"/>
      <c r="M25" s="97"/>
      <c r="P25" s="198"/>
    </row>
    <row r="26" spans="1:19" ht="14.25" customHeight="1" x14ac:dyDescent="0.25">
      <c r="C26" s="97"/>
      <c r="F26" s="198"/>
      <c r="M26" s="97"/>
      <c r="P26" s="198"/>
    </row>
    <row r="27" spans="1:19" ht="14.25" customHeight="1" x14ac:dyDescent="0.2">
      <c r="A27" t="s">
        <v>96</v>
      </c>
      <c r="K27" t="s">
        <v>96</v>
      </c>
    </row>
    <row r="29" spans="1:19" ht="14.25" customHeight="1" x14ac:dyDescent="0.25">
      <c r="A29" s="88" t="s">
        <v>90</v>
      </c>
      <c r="B29" s="519">
        <f>B6*B14</f>
        <v>1.01E-2</v>
      </c>
      <c r="C29" s="516" t="s">
        <v>91</v>
      </c>
      <c r="D29" s="517">
        <f>B13</f>
        <v>0</v>
      </c>
      <c r="E29" s="516" t="s">
        <v>92</v>
      </c>
      <c r="F29" s="515">
        <v>0.13800000000000001</v>
      </c>
      <c r="G29" s="516" t="s">
        <v>93</v>
      </c>
      <c r="H29" s="619" t="s">
        <v>94</v>
      </c>
      <c r="I29" s="619"/>
      <c r="K29" s="88" t="s">
        <v>90</v>
      </c>
      <c r="L29" s="519">
        <f>L6*L14</f>
        <v>1.01E-2</v>
      </c>
      <c r="M29" s="516" t="s">
        <v>91</v>
      </c>
      <c r="N29" s="517">
        <f>L13</f>
        <v>2309476.2599999998</v>
      </c>
      <c r="O29" s="516" t="s">
        <v>92</v>
      </c>
      <c r="P29" s="515">
        <v>0.13800000000000001</v>
      </c>
      <c r="Q29" s="516" t="s">
        <v>93</v>
      </c>
      <c r="R29" s="619" t="s">
        <v>94</v>
      </c>
      <c r="S29" s="619"/>
    </row>
    <row r="30" spans="1:19" ht="14.25" customHeight="1" x14ac:dyDescent="0.25">
      <c r="B30" s="620" t="s">
        <v>93</v>
      </c>
      <c r="C30" s="620"/>
      <c r="D30" s="620" t="s">
        <v>64</v>
      </c>
      <c r="E30" s="620"/>
      <c r="F30" s="620" t="s">
        <v>92</v>
      </c>
      <c r="G30" s="620"/>
      <c r="H30" s="518">
        <v>2000</v>
      </c>
      <c r="I30" t="s">
        <v>91</v>
      </c>
      <c r="L30" s="620" t="s">
        <v>93</v>
      </c>
      <c r="M30" s="620"/>
      <c r="N30" s="620" t="s">
        <v>64</v>
      </c>
      <c r="O30" s="620"/>
      <c r="P30" s="620" t="s">
        <v>92</v>
      </c>
      <c r="Q30" s="620"/>
      <c r="R30" s="518">
        <v>2000</v>
      </c>
      <c r="S30" t="s">
        <v>91</v>
      </c>
    </row>
    <row r="31" spans="1:19" ht="14.25" customHeight="1" x14ac:dyDescent="0.25">
      <c r="B31" s="97"/>
      <c r="C31" s="97"/>
      <c r="D31" s="97"/>
      <c r="E31" s="97"/>
      <c r="F31" s="97"/>
      <c r="G31" s="97"/>
      <c r="L31" s="97"/>
      <c r="M31" s="97"/>
      <c r="N31" s="97"/>
      <c r="O31" s="97"/>
      <c r="P31" s="97"/>
      <c r="Q31" s="97"/>
    </row>
    <row r="33" spans="1:19" ht="14.25" customHeight="1" x14ac:dyDescent="0.25">
      <c r="A33" s="88" t="s">
        <v>90</v>
      </c>
      <c r="B33" s="102">
        <f>(B29*D29*F29)/H30</f>
        <v>0</v>
      </c>
      <c r="C33" s="94" t="s">
        <v>94</v>
      </c>
      <c r="D33" s="88" t="s">
        <v>90</v>
      </c>
      <c r="E33" s="102">
        <f>B33*2000/8760</f>
        <v>0</v>
      </c>
      <c r="F33" s="206" t="s">
        <v>91</v>
      </c>
      <c r="H33" s="82"/>
      <c r="K33" s="88" t="s">
        <v>90</v>
      </c>
      <c r="L33" s="100">
        <f>(L29*N29*P29)/R30</f>
        <v>1.609474005594</v>
      </c>
      <c r="M33" s="94" t="s">
        <v>94</v>
      </c>
      <c r="N33" s="88" t="s">
        <v>90</v>
      </c>
      <c r="O33" s="100">
        <f>L33*2000/8760</f>
        <v>0.36745981862876709</v>
      </c>
      <c r="P33" s="206" t="s">
        <v>91</v>
      </c>
      <c r="R33" s="82"/>
    </row>
    <row r="34" spans="1:19" ht="14.25" customHeight="1" x14ac:dyDescent="0.25">
      <c r="C34" s="97" t="s">
        <v>64</v>
      </c>
      <c r="F34" s="198" t="s">
        <v>95</v>
      </c>
      <c r="M34" s="97" t="s">
        <v>64</v>
      </c>
      <c r="P34" s="198" t="s">
        <v>95</v>
      </c>
    </row>
    <row r="35" spans="1:19" ht="14.25" customHeight="1" x14ac:dyDescent="0.25">
      <c r="C35" s="97"/>
      <c r="F35" s="198"/>
      <c r="M35" s="97"/>
      <c r="P35" s="198"/>
    </row>
    <row r="36" spans="1:19" ht="14.25" customHeight="1" x14ac:dyDescent="0.25">
      <c r="C36" s="97"/>
      <c r="D36" s="88"/>
      <c r="E36" s="102"/>
      <c r="F36" s="198"/>
      <c r="H36" s="82"/>
      <c r="M36" s="97"/>
      <c r="N36" s="88"/>
      <c r="O36" s="102"/>
      <c r="P36" s="198"/>
      <c r="R36" s="82"/>
    </row>
    <row r="37" spans="1:19" ht="14.25" customHeight="1" x14ac:dyDescent="0.2">
      <c r="A37" t="s">
        <v>97</v>
      </c>
      <c r="K37" t="s">
        <v>97</v>
      </c>
    </row>
    <row r="39" spans="1:19" ht="14.25" customHeight="1" x14ac:dyDescent="0.25">
      <c r="A39" s="88" t="s">
        <v>90</v>
      </c>
      <c r="B39" s="515">
        <v>0.88</v>
      </c>
      <c r="C39" s="516" t="s">
        <v>91</v>
      </c>
      <c r="D39" s="517">
        <f>B13</f>
        <v>0</v>
      </c>
      <c r="E39" s="516" t="s">
        <v>92</v>
      </c>
      <c r="F39" s="515">
        <v>0.13800000000000001</v>
      </c>
      <c r="G39" s="516" t="s">
        <v>93</v>
      </c>
      <c r="H39" s="619" t="s">
        <v>94</v>
      </c>
      <c r="I39" s="619"/>
      <c r="K39" s="88" t="s">
        <v>90</v>
      </c>
      <c r="L39" s="515">
        <v>0.88</v>
      </c>
      <c r="M39" s="516" t="s">
        <v>91</v>
      </c>
      <c r="N39" s="517">
        <f>L13</f>
        <v>2309476.2599999998</v>
      </c>
      <c r="O39" s="516" t="s">
        <v>92</v>
      </c>
      <c r="P39" s="515">
        <v>0.13800000000000001</v>
      </c>
      <c r="Q39" s="516" t="s">
        <v>93</v>
      </c>
      <c r="R39" s="619" t="s">
        <v>94</v>
      </c>
      <c r="S39" s="619"/>
    </row>
    <row r="40" spans="1:19" ht="14.25" customHeight="1" x14ac:dyDescent="0.25">
      <c r="B40" s="620" t="s">
        <v>93</v>
      </c>
      <c r="C40" s="620"/>
      <c r="D40" s="620" t="s">
        <v>64</v>
      </c>
      <c r="E40" s="620"/>
      <c r="F40" s="620" t="s">
        <v>92</v>
      </c>
      <c r="G40" s="620"/>
      <c r="H40" s="518">
        <v>2000</v>
      </c>
      <c r="I40" t="s">
        <v>91</v>
      </c>
      <c r="L40" s="620" t="s">
        <v>93</v>
      </c>
      <c r="M40" s="620"/>
      <c r="N40" s="620" t="s">
        <v>64</v>
      </c>
      <c r="O40" s="620"/>
      <c r="P40" s="620" t="s">
        <v>92</v>
      </c>
      <c r="Q40" s="620"/>
      <c r="R40" s="518">
        <v>2000</v>
      </c>
      <c r="S40" t="s">
        <v>91</v>
      </c>
    </row>
    <row r="41" spans="1:19" ht="14.25" customHeight="1" x14ac:dyDescent="0.25">
      <c r="B41" s="97"/>
      <c r="C41" s="97"/>
      <c r="D41" s="97"/>
      <c r="E41" s="97"/>
      <c r="F41" s="97"/>
      <c r="G41" s="97"/>
      <c r="L41" s="97"/>
      <c r="M41" s="97"/>
      <c r="N41" s="97"/>
      <c r="O41" s="97"/>
      <c r="P41" s="97"/>
      <c r="Q41" s="97"/>
    </row>
    <row r="43" spans="1:19" ht="14.25" customHeight="1" x14ac:dyDescent="0.25">
      <c r="A43" s="88" t="s">
        <v>90</v>
      </c>
      <c r="B43" s="102">
        <f>(B39*D39*F39)/H40</f>
        <v>0</v>
      </c>
      <c r="C43" s="94" t="s">
        <v>94</v>
      </c>
      <c r="D43" s="88" t="s">
        <v>90</v>
      </c>
      <c r="E43" s="102">
        <f>B43*2000/8760</f>
        <v>0</v>
      </c>
      <c r="F43" s="206" t="s">
        <v>91</v>
      </c>
      <c r="H43" s="82"/>
      <c r="K43" s="88" t="s">
        <v>90</v>
      </c>
      <c r="L43" s="93">
        <f>(L39*N39*P39)/R40</f>
        <v>140.2313985072</v>
      </c>
      <c r="M43" s="94" t="s">
        <v>94</v>
      </c>
      <c r="N43" s="88" t="s">
        <v>90</v>
      </c>
      <c r="O43" s="93">
        <f>L43*2000/8760</f>
        <v>32.016301029041095</v>
      </c>
      <c r="P43" s="206" t="s">
        <v>91</v>
      </c>
      <c r="R43" s="82"/>
    </row>
    <row r="44" spans="1:19" ht="14.25" customHeight="1" x14ac:dyDescent="0.25">
      <c r="C44" s="97" t="s">
        <v>64</v>
      </c>
      <c r="F44" s="198" t="s">
        <v>95</v>
      </c>
      <c r="M44" s="97" t="s">
        <v>64</v>
      </c>
      <c r="P44" s="198" t="s">
        <v>95</v>
      </c>
    </row>
    <row r="45" spans="1:19" ht="14.25" customHeight="1" x14ac:dyDescent="0.25">
      <c r="C45" s="97"/>
      <c r="F45" s="198"/>
      <c r="M45" s="97"/>
      <c r="P45" s="198"/>
    </row>
    <row r="46" spans="1:19" ht="14.25" customHeight="1" x14ac:dyDescent="0.25">
      <c r="C46" s="97"/>
      <c r="F46" s="198"/>
      <c r="M46" s="97"/>
      <c r="P46" s="198"/>
    </row>
    <row r="47" spans="1:19" ht="14.25" customHeight="1" x14ac:dyDescent="0.2">
      <c r="A47" t="s">
        <v>98</v>
      </c>
      <c r="K47" t="s">
        <v>98</v>
      </c>
    </row>
    <row r="49" spans="1:19" ht="14.25" customHeight="1" x14ac:dyDescent="0.25">
      <c r="A49" s="88" t="s">
        <v>90</v>
      </c>
      <c r="B49" s="515">
        <v>4.0999999999999999E-4</v>
      </c>
      <c r="C49" s="516" t="s">
        <v>91</v>
      </c>
      <c r="D49" s="517">
        <f>B13</f>
        <v>0</v>
      </c>
      <c r="E49" s="516" t="s">
        <v>92</v>
      </c>
      <c r="F49" s="515">
        <v>0.13800000000000001</v>
      </c>
      <c r="G49" s="516" t="s">
        <v>93</v>
      </c>
      <c r="H49" s="619" t="s">
        <v>94</v>
      </c>
      <c r="I49" s="619"/>
      <c r="K49" s="88" t="s">
        <v>90</v>
      </c>
      <c r="L49" s="515">
        <v>4.0999999999999999E-4</v>
      </c>
      <c r="M49" s="516" t="s">
        <v>91</v>
      </c>
      <c r="N49" s="517">
        <f>L13</f>
        <v>2309476.2599999998</v>
      </c>
      <c r="O49" s="516" t="s">
        <v>92</v>
      </c>
      <c r="P49" s="515">
        <v>0.13800000000000001</v>
      </c>
      <c r="Q49" s="516" t="s">
        <v>93</v>
      </c>
      <c r="R49" s="619" t="s">
        <v>94</v>
      </c>
      <c r="S49" s="619"/>
    </row>
    <row r="50" spans="1:19" ht="14.25" customHeight="1" x14ac:dyDescent="0.25">
      <c r="B50" s="620" t="s">
        <v>93</v>
      </c>
      <c r="C50" s="620"/>
      <c r="D50" s="620" t="s">
        <v>64</v>
      </c>
      <c r="E50" s="620"/>
      <c r="F50" s="620" t="s">
        <v>92</v>
      </c>
      <c r="G50" s="620"/>
      <c r="H50" s="518">
        <v>2000</v>
      </c>
      <c r="I50" t="s">
        <v>91</v>
      </c>
      <c r="L50" s="620" t="s">
        <v>93</v>
      </c>
      <c r="M50" s="620"/>
      <c r="N50" s="620" t="s">
        <v>64</v>
      </c>
      <c r="O50" s="620"/>
      <c r="P50" s="620" t="s">
        <v>92</v>
      </c>
      <c r="Q50" s="620"/>
      <c r="R50" s="518">
        <v>2000</v>
      </c>
      <c r="S50" t="s">
        <v>91</v>
      </c>
    </row>
    <row r="51" spans="1:19" ht="14.25" customHeight="1" x14ac:dyDescent="0.25">
      <c r="B51" s="97"/>
      <c r="C51" s="97"/>
      <c r="D51" s="97"/>
      <c r="E51" s="97"/>
      <c r="F51" s="97"/>
      <c r="G51" s="97"/>
      <c r="L51" s="97"/>
      <c r="M51" s="97"/>
      <c r="N51" s="97"/>
      <c r="O51" s="97"/>
      <c r="P51" s="97"/>
      <c r="Q51" s="97"/>
    </row>
    <row r="53" spans="1:19" ht="14.25" customHeight="1" x14ac:dyDescent="0.25">
      <c r="A53" s="88" t="s">
        <v>90</v>
      </c>
      <c r="B53" s="102">
        <f>(B49*D49*F49)/H50</f>
        <v>0</v>
      </c>
      <c r="C53" s="94" t="s">
        <v>94</v>
      </c>
      <c r="D53" s="88" t="s">
        <v>90</v>
      </c>
      <c r="E53" s="102">
        <f>B53*2000/8760</f>
        <v>0</v>
      </c>
      <c r="F53" s="206" t="s">
        <v>91</v>
      </c>
      <c r="H53" s="82"/>
      <c r="K53" s="88" t="s">
        <v>90</v>
      </c>
      <c r="L53" s="102">
        <f>(L49*N49*P49)/R50</f>
        <v>6.5335083395400007E-2</v>
      </c>
      <c r="M53" s="94" t="s">
        <v>94</v>
      </c>
      <c r="N53" s="88" t="s">
        <v>90</v>
      </c>
      <c r="O53" s="102">
        <f>L53*2000/8760</f>
        <v>1.491668570671233E-2</v>
      </c>
      <c r="P53" s="206" t="s">
        <v>91</v>
      </c>
      <c r="R53" s="82"/>
    </row>
    <row r="54" spans="1:19" ht="14.25" customHeight="1" x14ac:dyDescent="0.25">
      <c r="C54" s="97" t="s">
        <v>64</v>
      </c>
      <c r="F54" s="198" t="s">
        <v>95</v>
      </c>
      <c r="M54" s="97" t="s">
        <v>64</v>
      </c>
      <c r="P54" s="198" t="s">
        <v>95</v>
      </c>
    </row>
    <row r="55" spans="1:19" ht="14.25" customHeight="1" x14ac:dyDescent="0.25">
      <c r="C55" s="97"/>
      <c r="F55" s="198"/>
      <c r="M55" s="97"/>
      <c r="P55" s="198"/>
    </row>
    <row r="56" spans="1:19" ht="14.25" customHeight="1" x14ac:dyDescent="0.25">
      <c r="D56" s="88"/>
      <c r="E56" s="102"/>
      <c r="F56" s="198"/>
      <c r="H56" s="82"/>
      <c r="N56" s="88"/>
      <c r="O56" s="102"/>
      <c r="P56" s="198"/>
      <c r="R56" s="82"/>
    </row>
    <row r="57" spans="1:19" ht="14.25" customHeight="1" x14ac:dyDescent="0.25">
      <c r="A57" t="s">
        <v>99</v>
      </c>
      <c r="D57" s="88"/>
      <c r="E57" s="102"/>
      <c r="H57" s="82"/>
      <c r="K57" t="s">
        <v>99</v>
      </c>
      <c r="N57" s="88"/>
      <c r="O57" s="102"/>
      <c r="R57" s="82"/>
    </row>
    <row r="59" spans="1:19" ht="14.25" customHeight="1" x14ac:dyDescent="0.25">
      <c r="A59" s="88" t="s">
        <v>90</v>
      </c>
      <c r="B59" s="515">
        <v>3.3E-3</v>
      </c>
      <c r="C59" s="516" t="s">
        <v>91</v>
      </c>
      <c r="D59" s="517">
        <f>B13</f>
        <v>0</v>
      </c>
      <c r="E59" s="516" t="s">
        <v>92</v>
      </c>
      <c r="F59" s="515">
        <v>0.13800000000000001</v>
      </c>
      <c r="G59" s="516" t="s">
        <v>93</v>
      </c>
      <c r="H59" s="619" t="s">
        <v>94</v>
      </c>
      <c r="I59" s="619"/>
      <c r="K59" s="88" t="s">
        <v>90</v>
      </c>
      <c r="L59" s="515">
        <v>3.3E-3</v>
      </c>
      <c r="M59" s="516" t="s">
        <v>91</v>
      </c>
      <c r="N59" s="517">
        <f>L13</f>
        <v>2309476.2599999998</v>
      </c>
      <c r="O59" s="516" t="s">
        <v>92</v>
      </c>
      <c r="P59" s="515">
        <v>0.13800000000000001</v>
      </c>
      <c r="Q59" s="516" t="s">
        <v>93</v>
      </c>
      <c r="R59" s="619" t="s">
        <v>94</v>
      </c>
      <c r="S59" s="619"/>
    </row>
    <row r="60" spans="1:19" ht="14.25" customHeight="1" x14ac:dyDescent="0.25">
      <c r="B60" s="620" t="s">
        <v>93</v>
      </c>
      <c r="C60" s="620"/>
      <c r="D60" s="620" t="s">
        <v>64</v>
      </c>
      <c r="E60" s="620"/>
      <c r="F60" s="620" t="s">
        <v>92</v>
      </c>
      <c r="G60" s="620"/>
      <c r="H60" s="518">
        <v>2000</v>
      </c>
      <c r="I60" t="s">
        <v>91</v>
      </c>
      <c r="L60" s="620" t="s">
        <v>93</v>
      </c>
      <c r="M60" s="620"/>
      <c r="N60" s="620" t="s">
        <v>64</v>
      </c>
      <c r="O60" s="620"/>
      <c r="P60" s="620" t="s">
        <v>92</v>
      </c>
      <c r="Q60" s="620"/>
      <c r="R60" s="518">
        <v>2000</v>
      </c>
      <c r="S60" t="s">
        <v>91</v>
      </c>
    </row>
    <row r="61" spans="1:19" ht="14.25" customHeight="1" x14ac:dyDescent="0.25">
      <c r="B61" s="97"/>
      <c r="C61" s="97"/>
      <c r="D61" s="97"/>
      <c r="E61" s="97"/>
      <c r="F61" s="97"/>
      <c r="G61" s="97"/>
      <c r="L61" s="97"/>
      <c r="M61" s="97"/>
      <c r="N61" s="97"/>
      <c r="O61" s="97"/>
      <c r="P61" s="97"/>
      <c r="Q61" s="97"/>
    </row>
    <row r="63" spans="1:19" ht="14.25" customHeight="1" x14ac:dyDescent="0.25">
      <c r="A63" s="88" t="s">
        <v>90</v>
      </c>
      <c r="B63" s="102">
        <f>(B59*D59*F59)/H60</f>
        <v>0</v>
      </c>
      <c r="C63" s="94" t="s">
        <v>94</v>
      </c>
      <c r="D63" s="88" t="s">
        <v>90</v>
      </c>
      <c r="E63" s="102">
        <f>B63*2000/8760</f>
        <v>0</v>
      </c>
      <c r="F63" s="206" t="s">
        <v>91</v>
      </c>
      <c r="H63" s="82"/>
      <c r="K63" s="88" t="s">
        <v>90</v>
      </c>
      <c r="L63" s="102">
        <f>(L59*N59*P59)/R60</f>
        <v>0.52586774440200001</v>
      </c>
      <c r="M63" s="94" t="s">
        <v>94</v>
      </c>
      <c r="N63" s="88" t="s">
        <v>90</v>
      </c>
      <c r="O63" s="102">
        <f>L63*2000/8760</f>
        <v>0.1200611288589041</v>
      </c>
      <c r="P63" s="206" t="s">
        <v>91</v>
      </c>
      <c r="R63" s="82"/>
    </row>
    <row r="64" spans="1:19" ht="14.25" customHeight="1" x14ac:dyDescent="0.25">
      <c r="C64" s="97" t="s">
        <v>64</v>
      </c>
      <c r="F64" s="198" t="s">
        <v>95</v>
      </c>
      <c r="M64" s="97" t="s">
        <v>64</v>
      </c>
      <c r="P64" s="198" t="s">
        <v>95</v>
      </c>
    </row>
    <row r="65" spans="1:19" ht="14.25" customHeight="1" x14ac:dyDescent="0.25">
      <c r="C65" s="97"/>
      <c r="F65" s="198"/>
      <c r="M65" s="97"/>
      <c r="P65" s="198"/>
    </row>
    <row r="67" spans="1:19" ht="14.25" customHeight="1" x14ac:dyDescent="0.2">
      <c r="A67" t="s">
        <v>100</v>
      </c>
      <c r="K67" t="s">
        <v>100</v>
      </c>
    </row>
    <row r="69" spans="1:19" ht="14.25" customHeight="1" x14ac:dyDescent="0.25">
      <c r="A69" s="88" t="s">
        <v>90</v>
      </c>
      <c r="B69" s="515">
        <v>1.4E-5</v>
      </c>
      <c r="C69" s="516" t="s">
        <v>91</v>
      </c>
      <c r="D69" s="517">
        <f>B13</f>
        <v>0</v>
      </c>
      <c r="E69" s="516" t="s">
        <v>92</v>
      </c>
      <c r="F69" s="515">
        <v>0.13800000000000001</v>
      </c>
      <c r="G69" s="516" t="s">
        <v>93</v>
      </c>
      <c r="H69" s="619" t="s">
        <v>94</v>
      </c>
      <c r="I69" s="619"/>
      <c r="K69" s="88" t="s">
        <v>90</v>
      </c>
      <c r="L69" s="515">
        <v>1.4E-5</v>
      </c>
      <c r="M69" s="516" t="s">
        <v>91</v>
      </c>
      <c r="N69" s="517">
        <f>L13</f>
        <v>2309476.2599999998</v>
      </c>
      <c r="O69" s="516" t="s">
        <v>92</v>
      </c>
      <c r="P69" s="515">
        <v>0.13800000000000001</v>
      </c>
      <c r="Q69" s="516" t="s">
        <v>93</v>
      </c>
      <c r="R69" s="619" t="s">
        <v>94</v>
      </c>
      <c r="S69" s="619"/>
    </row>
    <row r="70" spans="1:19" ht="14.25" customHeight="1" x14ac:dyDescent="0.25">
      <c r="B70" s="620" t="s">
        <v>93</v>
      </c>
      <c r="C70" s="620"/>
      <c r="D70" s="620" t="s">
        <v>64</v>
      </c>
      <c r="E70" s="620"/>
      <c r="F70" s="620" t="s">
        <v>92</v>
      </c>
      <c r="G70" s="620"/>
      <c r="H70" s="518">
        <v>2000</v>
      </c>
      <c r="I70" t="s">
        <v>91</v>
      </c>
      <c r="L70" s="620" t="s">
        <v>93</v>
      </c>
      <c r="M70" s="620"/>
      <c r="N70" s="620" t="s">
        <v>64</v>
      </c>
      <c r="O70" s="620"/>
      <c r="P70" s="620" t="s">
        <v>92</v>
      </c>
      <c r="Q70" s="620"/>
      <c r="R70" s="518">
        <v>2000</v>
      </c>
      <c r="S70" t="s">
        <v>91</v>
      </c>
    </row>
    <row r="71" spans="1:19" ht="14.25" customHeight="1" x14ac:dyDescent="0.25">
      <c r="B71" s="97"/>
      <c r="C71" s="97"/>
      <c r="D71" s="97"/>
      <c r="E71" s="97"/>
      <c r="F71" s="97"/>
      <c r="G71" s="97"/>
      <c r="L71" s="97"/>
      <c r="M71" s="97"/>
      <c r="N71" s="97"/>
      <c r="O71" s="97"/>
      <c r="P71" s="97"/>
      <c r="Q71" s="97"/>
    </row>
    <row r="73" spans="1:19" ht="14.25" customHeight="1" x14ac:dyDescent="0.25">
      <c r="A73" s="88" t="s">
        <v>90</v>
      </c>
      <c r="B73" s="102">
        <f>(B69*D69*F69)/H70</f>
        <v>0</v>
      </c>
      <c r="C73" s="94" t="s">
        <v>94</v>
      </c>
      <c r="D73" s="88" t="s">
        <v>90</v>
      </c>
      <c r="E73" s="102">
        <f>B73*2000/8760</f>
        <v>0</v>
      </c>
      <c r="F73" s="206" t="s">
        <v>91</v>
      </c>
      <c r="H73" s="82"/>
      <c r="K73" s="88" t="s">
        <v>90</v>
      </c>
      <c r="L73" s="102">
        <f>(L69*N69*P69)/R70</f>
        <v>2.2309540671600001E-3</v>
      </c>
      <c r="M73" s="94" t="s">
        <v>94</v>
      </c>
      <c r="N73" s="88" t="s">
        <v>90</v>
      </c>
      <c r="O73" s="102">
        <f>L73*2000/8760</f>
        <v>5.0935024364383557E-4</v>
      </c>
      <c r="P73" s="206" t="s">
        <v>91</v>
      </c>
      <c r="R73" s="82"/>
    </row>
    <row r="74" spans="1:19" ht="14.25" customHeight="1" x14ac:dyDescent="0.25">
      <c r="A74" s="88"/>
      <c r="C74" s="97" t="s">
        <v>64</v>
      </c>
      <c r="F74" s="198" t="s">
        <v>95</v>
      </c>
      <c r="K74" s="88"/>
      <c r="M74" s="97" t="s">
        <v>64</v>
      </c>
      <c r="P74" s="198" t="s">
        <v>95</v>
      </c>
    </row>
    <row r="77" spans="1:19" ht="14.25" customHeight="1" x14ac:dyDescent="0.2">
      <c r="A77" s="86" t="s">
        <v>101</v>
      </c>
      <c r="B77" s="86"/>
      <c r="C77" s="86"/>
      <c r="D77" s="86"/>
      <c r="E77" s="86"/>
      <c r="F77" s="86"/>
      <c r="G77" s="86"/>
      <c r="K77" s="86" t="s">
        <v>101</v>
      </c>
      <c r="L77" s="86"/>
      <c r="M77" s="86"/>
      <c r="N77" s="86"/>
      <c r="O77" s="86"/>
      <c r="P77" s="86"/>
      <c r="Q77" s="86"/>
    </row>
    <row r="79" spans="1:19" ht="14.25" customHeight="1" x14ac:dyDescent="0.2">
      <c r="A79" s="202" t="s">
        <v>90</v>
      </c>
      <c r="B79" s="482">
        <f>V14</f>
        <v>22.578420600240001</v>
      </c>
      <c r="C79" s="387" t="s">
        <v>91</v>
      </c>
      <c r="D79" s="400">
        <f>D69</f>
        <v>0</v>
      </c>
      <c r="E79" s="387" t="s">
        <v>92</v>
      </c>
      <c r="F79" s="398"/>
      <c r="G79" s="401" t="s">
        <v>94</v>
      </c>
      <c r="K79" s="202" t="s">
        <v>90</v>
      </c>
      <c r="L79" s="482">
        <f>V14</f>
        <v>22.578420600240001</v>
      </c>
      <c r="M79" s="387" t="s">
        <v>91</v>
      </c>
      <c r="N79" s="400">
        <f>N69</f>
        <v>2309476.2599999998</v>
      </c>
      <c r="O79" s="387" t="s">
        <v>92</v>
      </c>
      <c r="P79" s="398"/>
      <c r="Q79" s="401" t="s">
        <v>94</v>
      </c>
    </row>
    <row r="80" spans="1:19" ht="14.25" customHeight="1" x14ac:dyDescent="0.25">
      <c r="A80" s="86"/>
      <c r="B80" s="403"/>
      <c r="C80" s="404" t="s">
        <v>92</v>
      </c>
      <c r="D80" s="402"/>
      <c r="E80" s="197" t="s">
        <v>64</v>
      </c>
      <c r="F80" s="213">
        <v>2000</v>
      </c>
      <c r="G80" s="405" t="s">
        <v>91</v>
      </c>
      <c r="K80" s="86"/>
      <c r="L80" s="403"/>
      <c r="M80" s="404" t="s">
        <v>92</v>
      </c>
      <c r="N80" s="402"/>
      <c r="O80" s="197" t="s">
        <v>64</v>
      </c>
      <c r="P80" s="213">
        <v>2000</v>
      </c>
      <c r="Q80" s="405" t="s">
        <v>91</v>
      </c>
    </row>
    <row r="83" spans="1:17" ht="14.25" customHeight="1" x14ac:dyDescent="0.2">
      <c r="A83" s="202" t="s">
        <v>90</v>
      </c>
      <c r="B83" s="410">
        <f>B79*D79/F80</f>
        <v>0</v>
      </c>
      <c r="C83" s="206" t="s">
        <v>94</v>
      </c>
      <c r="D83" s="202" t="s">
        <v>90</v>
      </c>
      <c r="E83" s="410">
        <f>B83*(2000/8760)</f>
        <v>0</v>
      </c>
      <c r="F83" s="206" t="s">
        <v>91</v>
      </c>
      <c r="G83" s="86"/>
      <c r="K83" s="202" t="s">
        <v>90</v>
      </c>
      <c r="L83" s="410">
        <f>L79*N79/P80</f>
        <v>26072.163182274613</v>
      </c>
      <c r="M83" s="206" t="s">
        <v>94</v>
      </c>
      <c r="N83" s="202" t="s">
        <v>90</v>
      </c>
      <c r="O83" s="410">
        <f>L83*(2000/8760)</f>
        <v>5952.5486717521944</v>
      </c>
      <c r="P83" s="206" t="s">
        <v>91</v>
      </c>
      <c r="Q83" s="86"/>
    </row>
    <row r="84" spans="1:17" ht="14.25" customHeight="1" x14ac:dyDescent="0.2">
      <c r="A84" s="86"/>
      <c r="B84" s="86"/>
      <c r="C84" s="198" t="s">
        <v>64</v>
      </c>
      <c r="D84" s="86"/>
      <c r="E84" s="86"/>
      <c r="F84" s="198" t="s">
        <v>95</v>
      </c>
      <c r="G84" s="86"/>
      <c r="K84" s="86"/>
      <c r="L84" s="86"/>
      <c r="M84" s="198" t="s">
        <v>64</v>
      </c>
      <c r="N84" s="86"/>
      <c r="O84" s="86"/>
      <c r="P84" s="198" t="s">
        <v>95</v>
      </c>
      <c r="Q84" s="86"/>
    </row>
  </sheetData>
  <mergeCells count="56">
    <mergeCell ref="A1:I1"/>
    <mergeCell ref="K1:S1"/>
    <mergeCell ref="A3:C3"/>
    <mergeCell ref="K3:M3"/>
    <mergeCell ref="A4:C4"/>
    <mergeCell ref="K4:M4"/>
    <mergeCell ref="D13:H13"/>
    <mergeCell ref="N13:R13"/>
    <mergeCell ref="H19:I19"/>
    <mergeCell ref="R19:S19"/>
    <mergeCell ref="B20:C20"/>
    <mergeCell ref="D20:E20"/>
    <mergeCell ref="F20:G20"/>
    <mergeCell ref="L20:M20"/>
    <mergeCell ref="N20:O20"/>
    <mergeCell ref="P20:Q20"/>
    <mergeCell ref="H29:I29"/>
    <mergeCell ref="R29:S29"/>
    <mergeCell ref="B30:C30"/>
    <mergeCell ref="D30:E30"/>
    <mergeCell ref="F30:G30"/>
    <mergeCell ref="L30:M30"/>
    <mergeCell ref="N30:O30"/>
    <mergeCell ref="P30:Q30"/>
    <mergeCell ref="H39:I39"/>
    <mergeCell ref="R39:S39"/>
    <mergeCell ref="B40:C40"/>
    <mergeCell ref="D40:E40"/>
    <mergeCell ref="F40:G40"/>
    <mergeCell ref="L40:M40"/>
    <mergeCell ref="N40:O40"/>
    <mergeCell ref="P40:Q40"/>
    <mergeCell ref="H49:I49"/>
    <mergeCell ref="R49:S49"/>
    <mergeCell ref="B50:C50"/>
    <mergeCell ref="D50:E50"/>
    <mergeCell ref="F50:G50"/>
    <mergeCell ref="L50:M50"/>
    <mergeCell ref="N50:O50"/>
    <mergeCell ref="P50:Q50"/>
    <mergeCell ref="H59:I59"/>
    <mergeCell ref="R59:S59"/>
    <mergeCell ref="B60:C60"/>
    <mergeCell ref="D60:E60"/>
    <mergeCell ref="F60:G60"/>
    <mergeCell ref="L60:M60"/>
    <mergeCell ref="N60:O60"/>
    <mergeCell ref="P60:Q60"/>
    <mergeCell ref="H69:I69"/>
    <mergeCell ref="R69:S69"/>
    <mergeCell ref="B70:C70"/>
    <mergeCell ref="D70:E70"/>
    <mergeCell ref="F70:G70"/>
    <mergeCell ref="L70:M70"/>
    <mergeCell ref="N70:O70"/>
    <mergeCell ref="P70:Q70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P77"/>
  <sheetViews>
    <sheetView zoomScaleNormal="100" workbookViewId="0">
      <selection sqref="A1:O1"/>
    </sheetView>
  </sheetViews>
  <sheetFormatPr defaultColWidth="8.7109375" defaultRowHeight="12.75" x14ac:dyDescent="0.2"/>
  <cols>
    <col min="1" max="1" width="12.42578125" customWidth="1"/>
    <col min="2" max="2" width="18.42578125" customWidth="1"/>
    <col min="3" max="3" width="9.85546875" customWidth="1"/>
    <col min="4" max="4" width="10.7109375" customWidth="1"/>
    <col min="5" max="5" width="10" customWidth="1"/>
    <col min="7" max="7" width="7.140625" customWidth="1"/>
    <col min="8" max="8" width="6.5703125" customWidth="1"/>
    <col min="9" max="9" width="4.28515625" customWidth="1"/>
    <col min="10" max="10" width="4.5703125" customWidth="1"/>
    <col min="11" max="11" width="11.42578125" customWidth="1"/>
    <col min="12" max="12" width="12.85546875" customWidth="1"/>
    <col min="13" max="13" width="10.140625" customWidth="1"/>
    <col min="14" max="14" width="10" customWidth="1"/>
    <col min="15" max="15" width="9.28515625" customWidth="1"/>
    <col min="16" max="16" width="6.7109375" customWidth="1"/>
    <col min="18" max="18" width="5.5703125" customWidth="1"/>
    <col min="19" max="19" width="4.85546875" customWidth="1"/>
    <col min="20" max="20" width="6.5703125" customWidth="1"/>
    <col min="21" max="21" width="13.140625" customWidth="1"/>
    <col min="22" max="22" width="11.5703125" customWidth="1"/>
    <col min="23" max="23" width="10.28515625" customWidth="1"/>
    <col min="25" max="25" width="9.28515625" customWidth="1"/>
    <col min="27" max="27" width="7.7109375" customWidth="1"/>
    <col min="28" max="28" width="6.5703125" customWidth="1"/>
    <col min="29" max="29" width="5.5703125" customWidth="1"/>
    <col min="30" max="30" width="2.85546875" customWidth="1"/>
    <col min="31" max="31" width="10.85546875" customWidth="1"/>
    <col min="32" max="32" width="15" customWidth="1"/>
    <col min="33" max="33" width="10.140625" customWidth="1"/>
    <col min="34" max="34" width="10.7109375" customWidth="1"/>
    <col min="35" max="35" width="9.5703125" customWidth="1"/>
    <col min="37" max="37" width="8" customWidth="1"/>
    <col min="38" max="38" width="7.85546875" customWidth="1"/>
    <col min="39" max="39" width="5.5703125" customWidth="1"/>
  </cols>
  <sheetData>
    <row r="1" spans="1:42" ht="14.25" customHeight="1" x14ac:dyDescent="0.2">
      <c r="A1" s="592" t="s">
        <v>354</v>
      </c>
      <c r="B1" s="592"/>
      <c r="C1" s="592"/>
      <c r="D1" s="592"/>
      <c r="E1" s="592"/>
      <c r="F1" s="592"/>
      <c r="G1" s="592"/>
      <c r="H1" s="592"/>
      <c r="I1" s="592"/>
      <c r="J1" s="82"/>
      <c r="K1" s="592" t="s">
        <v>355</v>
      </c>
      <c r="L1" s="592"/>
      <c r="M1" s="592"/>
      <c r="N1" s="592"/>
      <c r="O1" s="592"/>
      <c r="P1" s="592"/>
      <c r="Q1" s="592"/>
      <c r="R1" s="592"/>
      <c r="S1" s="592"/>
      <c r="U1" s="592" t="s">
        <v>356</v>
      </c>
      <c r="V1" s="592"/>
      <c r="W1" s="592"/>
      <c r="X1" s="592"/>
      <c r="Y1" s="592"/>
      <c r="Z1" s="592"/>
      <c r="AA1" s="592"/>
      <c r="AB1" s="592"/>
      <c r="AC1" s="592"/>
      <c r="AE1" s="592" t="s">
        <v>357</v>
      </c>
      <c r="AF1" s="592"/>
      <c r="AG1" s="592"/>
      <c r="AH1" s="592"/>
      <c r="AI1" s="592"/>
      <c r="AJ1" s="592"/>
      <c r="AK1" s="592"/>
      <c r="AL1" s="592"/>
      <c r="AM1" s="592"/>
    </row>
    <row r="3" spans="1:42" ht="14.25" customHeight="1" x14ac:dyDescent="0.25">
      <c r="A3" s="592" t="s">
        <v>358</v>
      </c>
      <c r="B3" s="592"/>
      <c r="C3" s="82"/>
      <c r="D3" s="86"/>
      <c r="E3" s="86"/>
      <c r="F3" s="86"/>
      <c r="G3" s="86"/>
      <c r="H3" s="86"/>
      <c r="I3" s="86"/>
      <c r="J3" s="86"/>
      <c r="K3" s="605" t="s">
        <v>358</v>
      </c>
      <c r="L3" s="605"/>
      <c r="M3" s="304"/>
      <c r="N3" s="197"/>
      <c r="O3" s="197"/>
      <c r="P3" s="197"/>
      <c r="Q3" s="197"/>
      <c r="R3" s="197"/>
      <c r="S3" s="197"/>
      <c r="T3" s="525"/>
      <c r="U3" s="605" t="s">
        <v>358</v>
      </c>
      <c r="V3" s="605"/>
      <c r="W3" s="82"/>
      <c r="X3" s="86"/>
      <c r="Y3" s="86"/>
      <c r="Z3" s="86"/>
      <c r="AA3" s="86"/>
      <c r="AB3" s="86"/>
      <c r="AC3" s="86"/>
      <c r="AE3" s="605" t="s">
        <v>358</v>
      </c>
      <c r="AF3" s="605"/>
      <c r="AG3" s="82"/>
      <c r="AH3" s="86"/>
      <c r="AI3" s="86"/>
      <c r="AJ3" s="86"/>
      <c r="AK3" s="86"/>
      <c r="AL3" s="86"/>
      <c r="AM3" s="86"/>
    </row>
    <row r="4" spans="1:42" ht="14.25" customHeight="1" x14ac:dyDescent="0.2">
      <c r="A4" s="82" t="s">
        <v>17</v>
      </c>
      <c r="B4" s="86" t="s">
        <v>78</v>
      </c>
      <c r="C4" s="86"/>
      <c r="D4" s="86"/>
      <c r="E4" s="86"/>
      <c r="F4" s="86"/>
      <c r="G4" s="86"/>
      <c r="H4" s="86"/>
      <c r="I4" s="86"/>
      <c r="J4" s="86"/>
      <c r="K4" s="82" t="s">
        <v>17</v>
      </c>
      <c r="L4" s="86" t="s">
        <v>78</v>
      </c>
      <c r="M4" s="86"/>
      <c r="N4" s="86"/>
      <c r="O4" s="86"/>
      <c r="P4" s="86"/>
      <c r="Q4" s="86"/>
      <c r="R4" s="86"/>
      <c r="S4" s="86"/>
      <c r="U4" s="82" t="s">
        <v>17</v>
      </c>
      <c r="V4" s="86" t="s">
        <v>78</v>
      </c>
      <c r="W4" s="86"/>
      <c r="X4" s="86"/>
      <c r="Y4" s="86"/>
      <c r="Z4" s="86"/>
      <c r="AA4" s="86"/>
      <c r="AB4" s="86"/>
      <c r="AC4" s="86"/>
      <c r="AE4" s="82" t="s">
        <v>17</v>
      </c>
      <c r="AF4" s="86" t="s">
        <v>78</v>
      </c>
      <c r="AG4" s="86"/>
      <c r="AH4" s="86"/>
      <c r="AI4" s="86"/>
      <c r="AJ4" s="86"/>
      <c r="AK4" s="86"/>
      <c r="AL4" s="86"/>
      <c r="AM4" s="86"/>
    </row>
    <row r="5" spans="1:42" ht="14.25" customHeight="1" x14ac:dyDescent="0.2">
      <c r="A5" s="82" t="s">
        <v>41</v>
      </c>
      <c r="B5" s="86" t="s">
        <v>79</v>
      </c>
      <c r="C5" s="86"/>
      <c r="D5" s="86"/>
      <c r="E5" s="86"/>
      <c r="F5" s="86"/>
      <c r="G5" s="86"/>
      <c r="H5" s="86"/>
      <c r="I5" s="86"/>
      <c r="J5" s="86"/>
      <c r="K5" s="82" t="s">
        <v>41</v>
      </c>
      <c r="L5" s="86" t="s">
        <v>79</v>
      </c>
      <c r="M5" s="86"/>
      <c r="N5" s="86"/>
      <c r="O5" s="86"/>
      <c r="P5" s="86"/>
      <c r="Q5" s="86"/>
      <c r="R5" s="86"/>
      <c r="S5" s="86"/>
      <c r="U5" s="82" t="s">
        <v>41</v>
      </c>
      <c r="V5" s="86" t="s">
        <v>79</v>
      </c>
      <c r="W5" s="86"/>
      <c r="X5" s="86"/>
      <c r="Y5" s="86"/>
      <c r="Z5" s="86"/>
      <c r="AA5" s="86"/>
      <c r="AB5" s="86"/>
      <c r="AC5" s="86"/>
      <c r="AE5" s="82" t="s">
        <v>41</v>
      </c>
      <c r="AF5" s="86" t="s">
        <v>79</v>
      </c>
      <c r="AG5" s="86"/>
      <c r="AH5" s="86"/>
      <c r="AI5" s="86"/>
      <c r="AJ5" s="86"/>
      <c r="AK5" s="86"/>
      <c r="AL5" s="86"/>
      <c r="AM5" s="86"/>
    </row>
    <row r="6" spans="1:42" ht="14.25" customHeight="1" x14ac:dyDescent="0.25">
      <c r="A6" s="82" t="s">
        <v>20</v>
      </c>
      <c r="B6" s="86" t="s">
        <v>359</v>
      </c>
      <c r="C6" s="86" t="s">
        <v>360</v>
      </c>
      <c r="D6" s="526"/>
      <c r="E6" s="86"/>
      <c r="F6" s="86"/>
      <c r="G6" s="86"/>
      <c r="H6" s="86"/>
      <c r="I6" s="86"/>
      <c r="J6" s="86"/>
      <c r="K6" s="82" t="s">
        <v>20</v>
      </c>
      <c r="L6" s="86" t="s">
        <v>359</v>
      </c>
      <c r="M6" s="86"/>
      <c r="N6" s="86" t="s">
        <v>360</v>
      </c>
      <c r="O6" s="86"/>
      <c r="P6" s="86"/>
      <c r="Q6" s="86"/>
      <c r="R6" s="86"/>
      <c r="S6" s="86"/>
      <c r="U6" s="82" t="s">
        <v>20</v>
      </c>
      <c r="V6" s="86" t="s">
        <v>359</v>
      </c>
      <c r="W6" s="86"/>
      <c r="X6" s="86" t="s">
        <v>360</v>
      </c>
      <c r="Y6" s="86"/>
      <c r="Z6" s="86"/>
      <c r="AA6" s="86"/>
      <c r="AB6" s="86"/>
      <c r="AC6" s="86"/>
      <c r="AE6" s="82" t="s">
        <v>20</v>
      </c>
      <c r="AF6" s="86" t="s">
        <v>359</v>
      </c>
      <c r="AG6" s="86"/>
      <c r="AH6" s="86" t="s">
        <v>360</v>
      </c>
      <c r="AI6" s="86"/>
      <c r="AJ6" s="86"/>
      <c r="AK6" s="86"/>
      <c r="AL6" s="86"/>
      <c r="AM6" s="86"/>
    </row>
    <row r="7" spans="1:42" ht="14.25" customHeight="1" x14ac:dyDescent="0.2">
      <c r="A7" s="82" t="s">
        <v>22</v>
      </c>
      <c r="B7" s="86" t="s">
        <v>81</v>
      </c>
      <c r="C7" s="86"/>
      <c r="D7" s="86"/>
      <c r="E7" s="86"/>
      <c r="F7" s="86"/>
      <c r="G7" s="86"/>
      <c r="H7" s="86"/>
      <c r="I7" s="86"/>
      <c r="J7" s="86"/>
      <c r="K7" s="82" t="s">
        <v>22</v>
      </c>
      <c r="L7" s="86" t="s">
        <v>81</v>
      </c>
      <c r="M7" s="86"/>
      <c r="N7" s="86"/>
      <c r="O7" s="86"/>
      <c r="P7" s="86"/>
      <c r="Q7" s="86"/>
      <c r="R7" s="86"/>
      <c r="S7" s="86"/>
      <c r="U7" s="82" t="s">
        <v>22</v>
      </c>
      <c r="V7" s="86" t="s">
        <v>81</v>
      </c>
      <c r="W7" s="86"/>
      <c r="X7" s="86"/>
      <c r="Y7" s="86"/>
      <c r="Z7" s="86"/>
      <c r="AA7" s="86"/>
      <c r="AB7" s="86"/>
      <c r="AC7" s="86"/>
      <c r="AE7" s="82" t="s">
        <v>22</v>
      </c>
      <c r="AF7" s="86" t="s">
        <v>81</v>
      </c>
      <c r="AG7" s="86"/>
      <c r="AH7" s="86"/>
      <c r="AI7" s="86"/>
      <c r="AJ7" s="86"/>
      <c r="AK7" s="86"/>
      <c r="AL7" s="86"/>
      <c r="AM7" s="86"/>
    </row>
    <row r="8" spans="1:42" ht="14.25" customHeight="1" x14ac:dyDescent="0.2">
      <c r="A8" s="82" t="s">
        <v>21</v>
      </c>
      <c r="B8" s="86" t="s">
        <v>83</v>
      </c>
      <c r="C8" s="86"/>
      <c r="D8" s="86"/>
      <c r="E8" s="86"/>
      <c r="F8" s="86"/>
      <c r="G8" s="86"/>
      <c r="H8" s="86"/>
      <c r="I8" s="86"/>
      <c r="J8" s="86"/>
      <c r="K8" s="82" t="s">
        <v>21</v>
      </c>
      <c r="L8" s="86" t="s">
        <v>83</v>
      </c>
      <c r="M8" s="86"/>
      <c r="N8" s="86"/>
      <c r="O8" s="86"/>
      <c r="P8" s="86"/>
      <c r="Q8" s="86"/>
      <c r="R8" s="86"/>
      <c r="S8" s="86"/>
      <c r="U8" s="82" t="s">
        <v>21</v>
      </c>
      <c r="V8" s="86" t="s">
        <v>83</v>
      </c>
      <c r="W8" s="86"/>
      <c r="X8" s="86"/>
      <c r="Y8" s="86"/>
      <c r="Z8" s="86"/>
      <c r="AA8" s="86"/>
      <c r="AB8" s="86"/>
      <c r="AC8" s="86"/>
      <c r="AE8" s="82" t="s">
        <v>21</v>
      </c>
      <c r="AF8" s="86" t="s">
        <v>83</v>
      </c>
      <c r="AG8" s="86"/>
      <c r="AH8" s="86"/>
      <c r="AI8" s="86"/>
      <c r="AJ8" s="86"/>
      <c r="AK8" s="86"/>
      <c r="AL8" s="86"/>
      <c r="AM8" s="86"/>
    </row>
    <row r="9" spans="1:42" ht="14.25" customHeight="1" x14ac:dyDescent="0.2">
      <c r="A9" s="527" t="s">
        <v>23</v>
      </c>
      <c r="B9" s="86" t="s">
        <v>269</v>
      </c>
      <c r="C9" s="86"/>
      <c r="D9" s="86"/>
      <c r="E9" s="86"/>
      <c r="F9" s="86"/>
      <c r="G9" s="86"/>
      <c r="H9" s="86"/>
      <c r="I9" s="86"/>
      <c r="J9" s="86"/>
      <c r="K9" s="527" t="s">
        <v>23</v>
      </c>
      <c r="L9" s="86" t="s">
        <v>269</v>
      </c>
      <c r="M9" s="86"/>
      <c r="N9" s="86"/>
      <c r="O9" s="86"/>
      <c r="P9" s="86"/>
      <c r="Q9" s="86"/>
      <c r="R9" s="86"/>
      <c r="S9" s="86"/>
      <c r="U9" s="527" t="s">
        <v>23</v>
      </c>
      <c r="V9" s="86" t="s">
        <v>269</v>
      </c>
      <c r="W9" s="86"/>
      <c r="X9" s="86"/>
      <c r="Y9" s="86"/>
      <c r="Z9" s="86"/>
      <c r="AA9" s="86"/>
      <c r="AB9" s="86"/>
      <c r="AC9" s="86"/>
      <c r="AE9" s="527" t="s">
        <v>23</v>
      </c>
      <c r="AF9" s="86" t="s">
        <v>269</v>
      </c>
      <c r="AG9" s="86"/>
      <c r="AH9" s="86"/>
      <c r="AI9" s="86"/>
      <c r="AJ9" s="86"/>
      <c r="AK9" s="86"/>
      <c r="AL9" s="86"/>
      <c r="AM9" s="86"/>
    </row>
    <row r="10" spans="1:42" ht="14.25" customHeight="1" x14ac:dyDescent="0.2">
      <c r="A10" s="480" t="s">
        <v>24</v>
      </c>
      <c r="B10" s="481" t="s">
        <v>236</v>
      </c>
      <c r="C10" s="393" t="s">
        <v>235</v>
      </c>
      <c r="D10" s="86"/>
      <c r="E10" s="86"/>
      <c r="F10" s="86"/>
      <c r="G10" s="86"/>
      <c r="H10" s="86"/>
      <c r="I10" s="86"/>
      <c r="K10" s="480" t="s">
        <v>24</v>
      </c>
      <c r="L10" s="481" t="s">
        <v>236</v>
      </c>
      <c r="M10" s="393" t="s">
        <v>235</v>
      </c>
      <c r="U10" s="480" t="s">
        <v>24</v>
      </c>
      <c r="V10" s="481" t="s">
        <v>236</v>
      </c>
      <c r="W10" s="393" t="s">
        <v>235</v>
      </c>
      <c r="AE10" s="480" t="s">
        <v>24</v>
      </c>
      <c r="AF10" s="481" t="s">
        <v>236</v>
      </c>
      <c r="AG10" s="393" t="s">
        <v>235</v>
      </c>
    </row>
    <row r="12" spans="1:42" ht="14.25" customHeight="1" x14ac:dyDescent="0.2">
      <c r="A12" s="86" t="s">
        <v>318</v>
      </c>
      <c r="B12" s="113">
        <f>SUM(Turbinas!B37)</f>
        <v>15354150.419999998</v>
      </c>
      <c r="C12" s="113" t="s">
        <v>361</v>
      </c>
      <c r="D12" s="86"/>
      <c r="E12" s="86"/>
      <c r="F12" s="86"/>
      <c r="G12" s="86"/>
      <c r="H12" s="86"/>
      <c r="I12" s="86"/>
      <c r="J12" s="86"/>
      <c r="K12" s="86" t="s">
        <v>318</v>
      </c>
      <c r="L12" s="113">
        <f>SUM(Turbinas!C37)</f>
        <v>13282922.52</v>
      </c>
      <c r="M12" s="113" t="s">
        <v>361</v>
      </c>
      <c r="N12" s="86"/>
      <c r="O12" s="86"/>
      <c r="P12" s="86"/>
      <c r="Q12" s="86"/>
      <c r="R12" s="86"/>
      <c r="S12" s="86"/>
      <c r="U12" s="86" t="s">
        <v>318</v>
      </c>
      <c r="V12" s="113">
        <f>SUM(Turbinas!D37)</f>
        <v>7046380.3199999994</v>
      </c>
      <c r="W12" s="113" t="s">
        <v>361</v>
      </c>
      <c r="X12" s="86"/>
      <c r="Y12" s="86"/>
      <c r="Z12" s="86"/>
      <c r="AA12" s="86"/>
      <c r="AB12" s="86"/>
      <c r="AC12" s="86"/>
      <c r="AE12" s="86" t="s">
        <v>318</v>
      </c>
      <c r="AF12" s="113">
        <f>SUM(Turbinas!E37)</f>
        <v>10312377.18</v>
      </c>
      <c r="AG12" s="113" t="s">
        <v>361</v>
      </c>
      <c r="AH12" s="86"/>
      <c r="AI12" s="86"/>
      <c r="AJ12" s="86"/>
      <c r="AK12" s="86"/>
      <c r="AL12" s="86"/>
      <c r="AM12" s="86"/>
    </row>
    <row r="13" spans="1:42" ht="14.25" customHeight="1" x14ac:dyDescent="0.2">
      <c r="A13" s="86" t="s">
        <v>88</v>
      </c>
      <c r="B13" s="113">
        <f>Turbinas!Y17</f>
        <v>0.01</v>
      </c>
      <c r="C13" s="125"/>
      <c r="D13" s="86"/>
      <c r="E13" s="86"/>
      <c r="F13" s="86"/>
      <c r="G13" s="86"/>
      <c r="H13" s="86"/>
      <c r="I13" s="86"/>
      <c r="J13" s="86"/>
      <c r="K13" s="86" t="s">
        <v>88</v>
      </c>
      <c r="L13" s="113">
        <f>Turbinas!Z17</f>
        <v>0.01</v>
      </c>
      <c r="M13" s="125"/>
      <c r="N13" s="86"/>
      <c r="O13" s="86"/>
      <c r="P13" s="86"/>
      <c r="Q13" s="86"/>
      <c r="R13" s="86"/>
      <c r="S13" s="86"/>
      <c r="U13" s="86" t="s">
        <v>88</v>
      </c>
      <c r="V13" s="113">
        <f>Turbinas!AA17</f>
        <v>0.01</v>
      </c>
      <c r="W13" s="125"/>
      <c r="X13" s="86"/>
      <c r="Y13" s="86"/>
      <c r="Z13" s="86"/>
      <c r="AA13" s="86"/>
      <c r="AB13" s="86"/>
      <c r="AC13" s="86"/>
      <c r="AE13" s="86" t="s">
        <v>88</v>
      </c>
      <c r="AF13" s="113">
        <f>Turbinas!AB17</f>
        <v>0.01</v>
      </c>
      <c r="AG13" s="125"/>
      <c r="AH13" s="86"/>
      <c r="AI13" s="86"/>
      <c r="AJ13" s="86"/>
      <c r="AK13" s="86"/>
      <c r="AL13" s="86"/>
      <c r="AM13" s="86"/>
      <c r="AO13">
        <f>(73.96+0.003*25+0.0006*298)*2.2046*0.138</f>
        <v>22.578420600240001</v>
      </c>
      <c r="AP13" t="s">
        <v>116</v>
      </c>
    </row>
    <row r="16" spans="1:42" ht="14.25" customHeight="1" x14ac:dyDescent="0.2">
      <c r="A16" s="86" t="s">
        <v>89</v>
      </c>
      <c r="B16" s="86"/>
      <c r="C16" s="86"/>
      <c r="D16" s="86"/>
      <c r="E16" s="86"/>
      <c r="F16" s="86"/>
      <c r="G16" s="86"/>
      <c r="H16" s="86"/>
      <c r="I16" s="86"/>
      <c r="J16" s="86"/>
      <c r="K16" s="86" t="s">
        <v>89</v>
      </c>
      <c r="L16" s="86"/>
      <c r="M16" s="86"/>
      <c r="N16" s="86"/>
      <c r="O16" s="86"/>
      <c r="P16" s="86"/>
      <c r="Q16" s="86"/>
      <c r="R16" s="86"/>
      <c r="S16" s="86"/>
      <c r="U16" s="86" t="s">
        <v>89</v>
      </c>
      <c r="V16" s="86"/>
      <c r="W16" s="86"/>
      <c r="X16" s="86"/>
      <c r="Y16" s="86"/>
      <c r="Z16" s="86"/>
      <c r="AA16" s="86"/>
      <c r="AB16" s="86"/>
      <c r="AC16" s="86"/>
      <c r="AE16" s="86" t="s">
        <v>89</v>
      </c>
      <c r="AF16" s="86"/>
      <c r="AG16" s="86"/>
      <c r="AH16" s="86"/>
      <c r="AI16" s="86"/>
      <c r="AJ16" s="86"/>
      <c r="AK16" s="86"/>
      <c r="AL16" s="86"/>
      <c r="AM16" s="86"/>
    </row>
    <row r="18" spans="1:39" ht="14.25" customHeight="1" x14ac:dyDescent="0.2">
      <c r="A18" s="202" t="s">
        <v>90</v>
      </c>
      <c r="B18" s="399">
        <v>1.2E-2</v>
      </c>
      <c r="C18" s="387" t="s">
        <v>91</v>
      </c>
      <c r="D18" s="400">
        <f>B12</f>
        <v>15354150.419999998</v>
      </c>
      <c r="E18" s="387" t="s">
        <v>340</v>
      </c>
      <c r="F18" s="399">
        <v>0.13800000000000001</v>
      </c>
      <c r="G18" s="387" t="s">
        <v>93</v>
      </c>
      <c r="H18" s="399">
        <v>1</v>
      </c>
      <c r="I18" s="387" t="s">
        <v>94</v>
      </c>
      <c r="J18" s="198"/>
      <c r="K18" s="202" t="s">
        <v>90</v>
      </c>
      <c r="L18" s="399">
        <v>1.2E-2</v>
      </c>
      <c r="M18" s="387" t="s">
        <v>91</v>
      </c>
      <c r="N18" s="400">
        <f>L12</f>
        <v>13282922.52</v>
      </c>
      <c r="O18" s="387" t="s">
        <v>340</v>
      </c>
      <c r="P18" s="399">
        <v>0.13800000000000001</v>
      </c>
      <c r="Q18" s="387" t="s">
        <v>93</v>
      </c>
      <c r="R18" s="399">
        <v>1</v>
      </c>
      <c r="S18" s="387" t="s">
        <v>94</v>
      </c>
      <c r="U18" s="202" t="s">
        <v>90</v>
      </c>
      <c r="V18" s="399">
        <v>1.2E-2</v>
      </c>
      <c r="W18" s="387" t="s">
        <v>91</v>
      </c>
      <c r="X18" s="400">
        <f>V12</f>
        <v>7046380.3199999994</v>
      </c>
      <c r="Y18" s="387" t="s">
        <v>340</v>
      </c>
      <c r="Z18" s="399">
        <v>0.13800000000000001</v>
      </c>
      <c r="AA18" s="387" t="s">
        <v>93</v>
      </c>
      <c r="AB18" s="399">
        <v>1</v>
      </c>
      <c r="AC18" s="387" t="s">
        <v>94</v>
      </c>
      <c r="AE18" s="202" t="s">
        <v>90</v>
      </c>
      <c r="AF18" s="399">
        <v>1.2E-2</v>
      </c>
      <c r="AG18" s="387" t="s">
        <v>91</v>
      </c>
      <c r="AH18" s="400">
        <f>AF12</f>
        <v>10312377.18</v>
      </c>
      <c r="AI18" s="387" t="s">
        <v>340</v>
      </c>
      <c r="AJ18" s="399">
        <v>0.13800000000000001</v>
      </c>
      <c r="AK18" s="387" t="s">
        <v>93</v>
      </c>
      <c r="AL18" s="399">
        <v>1</v>
      </c>
      <c r="AM18" s="387" t="s">
        <v>94</v>
      </c>
    </row>
    <row r="19" spans="1:39" ht="14.25" customHeight="1" x14ac:dyDescent="0.2">
      <c r="A19" s="86"/>
      <c r="B19" s="499"/>
      <c r="C19" s="404" t="s">
        <v>93</v>
      </c>
      <c r="D19" s="499"/>
      <c r="E19" s="404" t="s">
        <v>64</v>
      </c>
      <c r="F19" s="499"/>
      <c r="G19" s="404" t="s">
        <v>92</v>
      </c>
      <c r="H19" s="213">
        <v>2000</v>
      </c>
      <c r="I19" s="86" t="s">
        <v>91</v>
      </c>
      <c r="J19" s="198"/>
      <c r="K19" s="86"/>
      <c r="L19" s="499"/>
      <c r="M19" s="404" t="s">
        <v>93</v>
      </c>
      <c r="N19" s="499"/>
      <c r="O19" s="404" t="s">
        <v>64</v>
      </c>
      <c r="P19" s="499"/>
      <c r="Q19" s="404" t="s">
        <v>92</v>
      </c>
      <c r="R19" s="213">
        <v>2000</v>
      </c>
      <c r="S19" s="86" t="s">
        <v>91</v>
      </c>
      <c r="U19" s="86"/>
      <c r="V19" s="499"/>
      <c r="W19" s="404" t="s">
        <v>93</v>
      </c>
      <c r="X19" s="499"/>
      <c r="Y19" s="404" t="s">
        <v>64</v>
      </c>
      <c r="Z19" s="499"/>
      <c r="AA19" s="404" t="s">
        <v>92</v>
      </c>
      <c r="AB19" s="213">
        <v>2000</v>
      </c>
      <c r="AC19" s="86" t="s">
        <v>91</v>
      </c>
      <c r="AE19" s="86"/>
      <c r="AF19" s="499"/>
      <c r="AG19" s="404" t="s">
        <v>93</v>
      </c>
      <c r="AH19" s="499"/>
      <c r="AI19" s="404" t="s">
        <v>64</v>
      </c>
      <c r="AJ19" s="499"/>
      <c r="AK19" s="404" t="s">
        <v>92</v>
      </c>
      <c r="AL19" s="213">
        <v>2000</v>
      </c>
      <c r="AM19" s="86" t="s">
        <v>91</v>
      </c>
    </row>
    <row r="20" spans="1:39" ht="14.25" customHeight="1" x14ac:dyDescent="0.2">
      <c r="A20" s="86"/>
      <c r="B20" s="86"/>
      <c r="C20" s="86"/>
      <c r="D20" s="86"/>
      <c r="E20" s="86"/>
      <c r="F20" s="86"/>
      <c r="G20" s="86"/>
      <c r="H20" s="86"/>
      <c r="I20" s="86"/>
      <c r="J20" s="198"/>
      <c r="K20" s="86"/>
      <c r="L20" s="86"/>
      <c r="M20" s="86"/>
      <c r="N20" s="86"/>
      <c r="O20" s="86"/>
      <c r="P20" s="86"/>
      <c r="Q20" s="86"/>
      <c r="R20" s="86"/>
      <c r="S20" s="86"/>
      <c r="U20" s="86"/>
      <c r="V20" s="86"/>
      <c r="W20" s="86"/>
      <c r="X20" s="86"/>
      <c r="Y20" s="86"/>
      <c r="Z20" s="86"/>
      <c r="AA20" s="86"/>
      <c r="AB20" s="86"/>
      <c r="AC20" s="86"/>
      <c r="AE20" s="86"/>
      <c r="AF20" s="86"/>
      <c r="AG20" s="86"/>
      <c r="AH20" s="86"/>
      <c r="AI20" s="86"/>
      <c r="AJ20" s="86"/>
      <c r="AK20" s="86"/>
      <c r="AL20" s="86"/>
      <c r="AM20" s="86"/>
    </row>
    <row r="21" spans="1:39" ht="14.25" customHeight="1" x14ac:dyDescent="0.2">
      <c r="A21" s="202" t="s">
        <v>90</v>
      </c>
      <c r="B21" s="406">
        <f>(B18*D18*F18)/H19</f>
        <v>12.713236547759999</v>
      </c>
      <c r="C21" s="206" t="s">
        <v>94</v>
      </c>
      <c r="D21" s="86"/>
      <c r="E21" s="202" t="s">
        <v>90</v>
      </c>
      <c r="F21" s="410">
        <f>B21*2000/8760</f>
        <v>2.9025654218630135</v>
      </c>
      <c r="G21" s="387" t="s">
        <v>91</v>
      </c>
      <c r="H21" s="86"/>
      <c r="I21" s="86"/>
      <c r="J21" s="198"/>
      <c r="K21" s="202" t="s">
        <v>90</v>
      </c>
      <c r="L21" s="406">
        <f>(L18*N18*P18)/R19</f>
        <v>10.99825984656</v>
      </c>
      <c r="M21" s="206" t="s">
        <v>94</v>
      </c>
      <c r="N21" s="86"/>
      <c r="O21" s="202" t="s">
        <v>90</v>
      </c>
      <c r="P21" s="410">
        <f>L21*2000/8760</f>
        <v>2.5110182298082191</v>
      </c>
      <c r="Q21" s="387" t="s">
        <v>91</v>
      </c>
      <c r="R21" s="86"/>
      <c r="S21" s="86"/>
      <c r="U21" s="202" t="s">
        <v>90</v>
      </c>
      <c r="V21" s="406">
        <f>(V18*X18*Z18)/AB19</f>
        <v>5.8344029049599992</v>
      </c>
      <c r="W21" s="206" t="s">
        <v>94</v>
      </c>
      <c r="X21" s="86"/>
      <c r="Y21" s="202" t="s">
        <v>90</v>
      </c>
      <c r="Z21" s="410">
        <f>V21*2000/8760</f>
        <v>1.3320554577534245</v>
      </c>
      <c r="AA21" s="387" t="s">
        <v>91</v>
      </c>
      <c r="AB21" s="86"/>
      <c r="AC21" s="86"/>
      <c r="AE21" s="202" t="s">
        <v>90</v>
      </c>
      <c r="AF21" s="406">
        <f>(AF18*AH18*AJ18)/AL19</f>
        <v>8.5386483050400006</v>
      </c>
      <c r="AG21" s="206" t="s">
        <v>94</v>
      </c>
      <c r="AH21" s="86"/>
      <c r="AI21" s="202" t="s">
        <v>90</v>
      </c>
      <c r="AJ21" s="410">
        <f>AF21*2000/8760</f>
        <v>1.9494630833424658</v>
      </c>
      <c r="AK21" s="387" t="s">
        <v>91</v>
      </c>
      <c r="AL21" s="86"/>
      <c r="AM21" s="86"/>
    </row>
    <row r="22" spans="1:39" ht="14.25" customHeight="1" x14ac:dyDescent="0.2">
      <c r="A22" s="86"/>
      <c r="B22" s="86"/>
      <c r="C22" s="198" t="s">
        <v>64</v>
      </c>
      <c r="D22" s="86"/>
      <c r="E22" s="86"/>
      <c r="F22" s="86"/>
      <c r="G22" s="86" t="s">
        <v>95</v>
      </c>
      <c r="H22" s="86"/>
      <c r="I22" s="86"/>
      <c r="J22" s="198"/>
      <c r="K22" s="86"/>
      <c r="L22" s="86"/>
      <c r="M22" s="198" t="s">
        <v>64</v>
      </c>
      <c r="N22" s="86"/>
      <c r="O22" s="86"/>
      <c r="P22" s="86"/>
      <c r="Q22" s="86" t="s">
        <v>95</v>
      </c>
      <c r="R22" s="86"/>
      <c r="S22" s="86"/>
      <c r="U22" s="86"/>
      <c r="V22" s="86"/>
      <c r="W22" s="198" t="s">
        <v>64</v>
      </c>
      <c r="X22" s="86"/>
      <c r="Y22" s="86"/>
      <c r="Z22" s="86"/>
      <c r="AA22" s="86" t="s">
        <v>95</v>
      </c>
      <c r="AB22" s="86"/>
      <c r="AC22" s="86"/>
      <c r="AE22" s="86"/>
      <c r="AF22" s="86"/>
      <c r="AG22" s="198" t="s">
        <v>64</v>
      </c>
      <c r="AH22" s="86"/>
      <c r="AI22" s="86"/>
      <c r="AJ22" s="86"/>
      <c r="AK22" s="86" t="s">
        <v>95</v>
      </c>
      <c r="AL22" s="86"/>
      <c r="AM22" s="86"/>
    </row>
    <row r="23" spans="1:39" ht="14.25" customHeight="1" x14ac:dyDescent="0.2">
      <c r="A23" s="86"/>
      <c r="B23" s="86"/>
      <c r="C23" s="86"/>
      <c r="D23" s="86"/>
      <c r="E23" s="86"/>
      <c r="F23" s="86"/>
      <c r="G23" s="86"/>
      <c r="H23" s="86"/>
      <c r="I23" s="86"/>
      <c r="J23" s="198"/>
      <c r="K23" s="86"/>
      <c r="L23" s="86"/>
      <c r="M23" s="86"/>
      <c r="N23" s="86"/>
      <c r="O23" s="86"/>
      <c r="P23" s="86"/>
      <c r="Q23" s="86"/>
      <c r="R23" s="86"/>
      <c r="S23" s="86"/>
      <c r="U23" s="86"/>
      <c r="V23" s="86"/>
      <c r="W23" s="86"/>
      <c r="X23" s="86"/>
      <c r="Y23" s="86"/>
      <c r="Z23" s="86"/>
      <c r="AA23" s="86"/>
      <c r="AB23" s="86"/>
      <c r="AC23" s="86"/>
      <c r="AE23" s="86"/>
      <c r="AF23" s="86"/>
      <c r="AG23" s="86"/>
      <c r="AH23" s="86"/>
      <c r="AI23" s="86"/>
      <c r="AJ23" s="86"/>
      <c r="AK23" s="86"/>
      <c r="AL23" s="86"/>
      <c r="AM23" s="86"/>
    </row>
    <row r="24" spans="1:39" ht="14.25" customHeight="1" x14ac:dyDescent="0.2">
      <c r="A24" s="86" t="s">
        <v>96</v>
      </c>
      <c r="B24" s="86"/>
      <c r="C24" s="86"/>
      <c r="D24" s="86"/>
      <c r="E24" s="86"/>
      <c r="F24" s="86"/>
      <c r="G24" s="86"/>
      <c r="H24" s="86"/>
      <c r="I24" s="86"/>
      <c r="J24" s="198"/>
      <c r="K24" s="86" t="s">
        <v>96</v>
      </c>
      <c r="L24" s="86"/>
      <c r="M24" s="86"/>
      <c r="N24" s="86"/>
      <c r="O24" s="86"/>
      <c r="P24" s="86"/>
      <c r="Q24" s="86"/>
      <c r="R24" s="86"/>
      <c r="S24" s="86"/>
      <c r="U24" s="86" t="s">
        <v>96</v>
      </c>
      <c r="V24" s="86"/>
      <c r="W24" s="86"/>
      <c r="X24" s="86"/>
      <c r="Y24" s="86"/>
      <c r="Z24" s="86"/>
      <c r="AA24" s="86"/>
      <c r="AB24" s="86"/>
      <c r="AC24" s="86"/>
      <c r="AE24" s="86" t="s">
        <v>96</v>
      </c>
      <c r="AF24" s="86"/>
      <c r="AG24" s="86"/>
      <c r="AH24" s="86"/>
      <c r="AI24" s="86"/>
      <c r="AJ24" s="86"/>
      <c r="AK24" s="86"/>
      <c r="AL24" s="86"/>
      <c r="AM24" s="86"/>
    </row>
    <row r="25" spans="1:39" ht="14.25" customHeight="1" x14ac:dyDescent="0.2">
      <c r="A25" s="86"/>
      <c r="B25" s="86"/>
      <c r="C25" s="86"/>
      <c r="D25" s="86"/>
      <c r="E25" s="86"/>
      <c r="F25" s="86"/>
      <c r="G25" s="86"/>
      <c r="H25" s="86"/>
      <c r="I25" s="86"/>
      <c r="J25" s="198"/>
      <c r="K25" s="86"/>
      <c r="L25" s="86"/>
      <c r="M25" s="86"/>
      <c r="N25" s="86"/>
      <c r="O25" s="86"/>
      <c r="P25" s="86"/>
      <c r="Q25" s="86"/>
      <c r="R25" s="86"/>
      <c r="S25" s="86"/>
      <c r="U25" s="86"/>
      <c r="V25" s="86"/>
      <c r="W25" s="86"/>
      <c r="X25" s="86"/>
      <c r="Y25" s="86"/>
      <c r="Z25" s="86"/>
      <c r="AA25" s="86"/>
      <c r="AB25" s="86"/>
      <c r="AC25" s="86"/>
      <c r="AE25" s="86"/>
      <c r="AF25" s="86"/>
      <c r="AG25" s="86"/>
      <c r="AH25" s="86"/>
      <c r="AI25" s="86"/>
      <c r="AJ25" s="86"/>
      <c r="AK25" s="86"/>
      <c r="AL25" s="86"/>
      <c r="AM25" s="86"/>
    </row>
    <row r="26" spans="1:39" ht="14.25" customHeight="1" x14ac:dyDescent="0.2">
      <c r="A26" s="202" t="s">
        <v>90</v>
      </c>
      <c r="B26" s="409">
        <f>1.01*B13</f>
        <v>1.01E-2</v>
      </c>
      <c r="C26" s="387" t="s">
        <v>91</v>
      </c>
      <c r="D26" s="400">
        <f>B12</f>
        <v>15354150.419999998</v>
      </c>
      <c r="E26" s="387" t="s">
        <v>340</v>
      </c>
      <c r="F26" s="399">
        <v>0.13800000000000001</v>
      </c>
      <c r="G26" s="387" t="s">
        <v>93</v>
      </c>
      <c r="H26" s="399">
        <v>1</v>
      </c>
      <c r="I26" s="387" t="s">
        <v>94</v>
      </c>
      <c r="J26" s="198"/>
      <c r="K26" s="202" t="s">
        <v>90</v>
      </c>
      <c r="L26" s="409">
        <f>1.01*L13</f>
        <v>1.01E-2</v>
      </c>
      <c r="M26" s="387" t="s">
        <v>91</v>
      </c>
      <c r="N26" s="400">
        <f>L12</f>
        <v>13282922.52</v>
      </c>
      <c r="O26" s="387" t="s">
        <v>340</v>
      </c>
      <c r="P26" s="399">
        <v>0.13800000000000001</v>
      </c>
      <c r="Q26" s="387" t="s">
        <v>93</v>
      </c>
      <c r="R26" s="399">
        <v>1</v>
      </c>
      <c r="S26" s="387" t="s">
        <v>94</v>
      </c>
      <c r="U26" s="202" t="s">
        <v>90</v>
      </c>
      <c r="V26" s="409">
        <f>1.01*V13</f>
        <v>1.01E-2</v>
      </c>
      <c r="W26" s="387" t="s">
        <v>91</v>
      </c>
      <c r="X26" s="400">
        <f>V12</f>
        <v>7046380.3199999994</v>
      </c>
      <c r="Y26" s="387" t="s">
        <v>340</v>
      </c>
      <c r="Z26" s="399">
        <v>0.13800000000000001</v>
      </c>
      <c r="AA26" s="387" t="s">
        <v>93</v>
      </c>
      <c r="AB26" s="399">
        <v>1</v>
      </c>
      <c r="AC26" s="387" t="s">
        <v>94</v>
      </c>
      <c r="AE26" s="202" t="s">
        <v>90</v>
      </c>
      <c r="AF26" s="409">
        <f>1.01*AF13</f>
        <v>1.01E-2</v>
      </c>
      <c r="AG26" s="387" t="s">
        <v>91</v>
      </c>
      <c r="AH26" s="400">
        <f>AF12</f>
        <v>10312377.18</v>
      </c>
      <c r="AI26" s="387" t="s">
        <v>340</v>
      </c>
      <c r="AJ26" s="399">
        <v>0.13800000000000001</v>
      </c>
      <c r="AK26" s="387" t="s">
        <v>93</v>
      </c>
      <c r="AL26" s="399">
        <v>1</v>
      </c>
      <c r="AM26" s="387" t="s">
        <v>94</v>
      </c>
    </row>
    <row r="27" spans="1:39" ht="14.25" customHeight="1" x14ac:dyDescent="0.2">
      <c r="A27" s="86"/>
      <c r="B27" s="499"/>
      <c r="C27" s="404" t="s">
        <v>93</v>
      </c>
      <c r="D27" s="499"/>
      <c r="E27" s="404" t="s">
        <v>64</v>
      </c>
      <c r="F27" s="499"/>
      <c r="G27" s="404" t="s">
        <v>92</v>
      </c>
      <c r="H27" s="213">
        <v>2000</v>
      </c>
      <c r="I27" s="86" t="s">
        <v>91</v>
      </c>
      <c r="J27" s="198"/>
      <c r="K27" s="86"/>
      <c r="L27" s="499"/>
      <c r="M27" s="404" t="s">
        <v>93</v>
      </c>
      <c r="N27" s="499"/>
      <c r="O27" s="404" t="s">
        <v>64</v>
      </c>
      <c r="P27" s="499"/>
      <c r="Q27" s="404" t="s">
        <v>92</v>
      </c>
      <c r="R27" s="213">
        <v>2000</v>
      </c>
      <c r="S27" s="86" t="s">
        <v>91</v>
      </c>
      <c r="U27" s="86"/>
      <c r="V27" s="499"/>
      <c r="W27" s="404" t="s">
        <v>93</v>
      </c>
      <c r="X27" s="499"/>
      <c r="Y27" s="404" t="s">
        <v>64</v>
      </c>
      <c r="Z27" s="499"/>
      <c r="AA27" s="404" t="s">
        <v>92</v>
      </c>
      <c r="AB27" s="213">
        <v>2000</v>
      </c>
      <c r="AC27" s="86" t="s">
        <v>91</v>
      </c>
      <c r="AE27" s="86"/>
      <c r="AF27" s="499"/>
      <c r="AG27" s="404" t="s">
        <v>93</v>
      </c>
      <c r="AH27" s="499"/>
      <c r="AI27" s="404" t="s">
        <v>64</v>
      </c>
      <c r="AJ27" s="499"/>
      <c r="AK27" s="404" t="s">
        <v>92</v>
      </c>
      <c r="AL27" s="213">
        <v>2000</v>
      </c>
      <c r="AM27" s="86" t="s">
        <v>91</v>
      </c>
    </row>
    <row r="28" spans="1:39" ht="14.25" customHeight="1" x14ac:dyDescent="0.2">
      <c r="A28" s="86"/>
      <c r="B28" s="86"/>
      <c r="C28" s="86"/>
      <c r="D28" s="86"/>
      <c r="E28" s="86"/>
      <c r="F28" s="86"/>
      <c r="G28" s="86"/>
      <c r="H28" s="86"/>
      <c r="I28" s="86"/>
      <c r="J28" s="198"/>
      <c r="K28" s="86"/>
      <c r="L28" s="86"/>
      <c r="M28" s="86"/>
      <c r="N28" s="86"/>
      <c r="O28" s="86"/>
      <c r="P28" s="86"/>
      <c r="Q28" s="86"/>
      <c r="R28" s="86"/>
      <c r="S28" s="86"/>
      <c r="U28" s="86"/>
      <c r="V28" s="86"/>
      <c r="W28" s="86"/>
      <c r="X28" s="86"/>
      <c r="Y28" s="86"/>
      <c r="Z28" s="86"/>
      <c r="AA28" s="86"/>
      <c r="AB28" s="86"/>
      <c r="AC28" s="86"/>
      <c r="AE28" s="86"/>
      <c r="AF28" s="86"/>
      <c r="AG28" s="86"/>
      <c r="AH28" s="86"/>
      <c r="AI28" s="86"/>
      <c r="AJ28" s="86"/>
      <c r="AK28" s="86"/>
      <c r="AL28" s="86"/>
      <c r="AM28" s="86"/>
    </row>
    <row r="29" spans="1:39" ht="14.25" customHeight="1" x14ac:dyDescent="0.2">
      <c r="A29" s="202" t="s">
        <v>90</v>
      </c>
      <c r="B29" s="406">
        <f>(B26*D26*F26)/H27</f>
        <v>10.700307427697998</v>
      </c>
      <c r="C29" s="206" t="s">
        <v>94</v>
      </c>
      <c r="D29" s="86"/>
      <c r="E29" s="202" t="s">
        <v>90</v>
      </c>
      <c r="F29" s="410">
        <f>B29*2000/8760</f>
        <v>2.4429925634013694</v>
      </c>
      <c r="G29" s="387" t="s">
        <v>91</v>
      </c>
      <c r="H29" s="86"/>
      <c r="I29" s="86"/>
      <c r="J29" s="198"/>
      <c r="K29" s="202" t="s">
        <v>90</v>
      </c>
      <c r="L29" s="406">
        <f>(L26*N26*P26)/R27</f>
        <v>9.2568687041880011</v>
      </c>
      <c r="M29" s="206" t="s">
        <v>94</v>
      </c>
      <c r="N29" s="86"/>
      <c r="O29" s="202" t="s">
        <v>90</v>
      </c>
      <c r="P29" s="410">
        <f>L29*2000/8760</f>
        <v>2.1134403434219178</v>
      </c>
      <c r="Q29" s="387" t="s">
        <v>91</v>
      </c>
      <c r="R29" s="86"/>
      <c r="S29" s="86"/>
      <c r="U29" s="202" t="s">
        <v>90</v>
      </c>
      <c r="V29" s="406">
        <f>(V26*X26*Z26)/AB27</f>
        <v>4.9106224450080003</v>
      </c>
      <c r="W29" s="206" t="s">
        <v>94</v>
      </c>
      <c r="X29" s="86"/>
      <c r="Y29" s="202" t="s">
        <v>90</v>
      </c>
      <c r="Z29" s="410">
        <f>V29*2000/8760</f>
        <v>1.1211466769424658</v>
      </c>
      <c r="AA29" s="387" t="s">
        <v>91</v>
      </c>
      <c r="AB29" s="86"/>
      <c r="AC29" s="86"/>
      <c r="AE29" s="202" t="s">
        <v>90</v>
      </c>
      <c r="AF29" s="406">
        <f>(AF26*AH26*AJ26)/AL27</f>
        <v>7.1866956567420006</v>
      </c>
      <c r="AG29" s="206" t="s">
        <v>94</v>
      </c>
      <c r="AH29" s="86"/>
      <c r="AI29" s="202" t="s">
        <v>90</v>
      </c>
      <c r="AJ29" s="410">
        <f>AF29*2000/8760</f>
        <v>1.6407980951465755</v>
      </c>
      <c r="AK29" s="387" t="s">
        <v>91</v>
      </c>
      <c r="AL29" s="86"/>
      <c r="AM29" s="86"/>
    </row>
    <row r="30" spans="1:39" ht="14.25" customHeight="1" x14ac:dyDescent="0.2">
      <c r="A30" s="86"/>
      <c r="B30" s="86"/>
      <c r="C30" s="198" t="s">
        <v>64</v>
      </c>
      <c r="D30" s="86"/>
      <c r="E30" s="86"/>
      <c r="F30" s="86"/>
      <c r="G30" s="86" t="s">
        <v>95</v>
      </c>
      <c r="H30" s="86"/>
      <c r="I30" s="86"/>
      <c r="J30" s="198"/>
      <c r="K30" s="86"/>
      <c r="L30" s="86"/>
      <c r="M30" s="198" t="s">
        <v>64</v>
      </c>
      <c r="N30" s="86"/>
      <c r="O30" s="86"/>
      <c r="P30" s="86"/>
      <c r="Q30" s="86" t="s">
        <v>95</v>
      </c>
      <c r="R30" s="86"/>
      <c r="S30" s="86"/>
      <c r="U30" s="86"/>
      <c r="V30" s="86"/>
      <c r="W30" s="198" t="s">
        <v>64</v>
      </c>
      <c r="X30" s="86"/>
      <c r="Y30" s="86"/>
      <c r="Z30" s="86"/>
      <c r="AA30" s="86" t="s">
        <v>95</v>
      </c>
      <c r="AB30" s="86"/>
      <c r="AC30" s="86"/>
      <c r="AE30" s="86"/>
      <c r="AF30" s="86"/>
      <c r="AG30" s="198" t="s">
        <v>64</v>
      </c>
      <c r="AH30" s="86"/>
      <c r="AI30" s="86"/>
      <c r="AJ30" s="86"/>
      <c r="AK30" s="86" t="s">
        <v>95</v>
      </c>
      <c r="AL30" s="86"/>
      <c r="AM30" s="86"/>
    </row>
    <row r="31" spans="1:39" ht="14.25" customHeight="1" x14ac:dyDescent="0.2">
      <c r="A31" s="86"/>
      <c r="B31" s="86"/>
      <c r="C31" s="86"/>
      <c r="D31" s="86"/>
      <c r="E31" s="86"/>
      <c r="F31" s="86"/>
      <c r="G31" s="86"/>
      <c r="H31" s="86"/>
      <c r="I31" s="86"/>
      <c r="J31" s="198"/>
      <c r="K31" s="86"/>
      <c r="L31" s="86"/>
      <c r="M31" s="86"/>
      <c r="N31" s="86"/>
      <c r="O31" s="86"/>
      <c r="P31" s="86"/>
      <c r="Q31" s="86"/>
      <c r="R31" s="86"/>
      <c r="S31" s="86"/>
      <c r="U31" s="86"/>
      <c r="V31" s="86"/>
      <c r="W31" s="86"/>
      <c r="X31" s="86"/>
      <c r="Y31" s="86"/>
      <c r="Z31" s="86"/>
      <c r="AA31" s="86"/>
      <c r="AB31" s="86"/>
      <c r="AC31" s="86"/>
      <c r="AE31" s="86"/>
      <c r="AF31" s="86"/>
      <c r="AG31" s="86"/>
      <c r="AH31" s="86"/>
      <c r="AI31" s="86"/>
      <c r="AJ31" s="86"/>
      <c r="AK31" s="86"/>
      <c r="AL31" s="86"/>
      <c r="AM31" s="86"/>
    </row>
    <row r="32" spans="1:39" ht="14.25" customHeight="1" x14ac:dyDescent="0.2">
      <c r="A32" s="86" t="s">
        <v>97</v>
      </c>
      <c r="B32" s="86"/>
      <c r="C32" s="86"/>
      <c r="D32" s="86"/>
      <c r="E32" s="86"/>
      <c r="F32" s="86"/>
      <c r="G32" s="86"/>
      <c r="H32" s="86"/>
      <c r="I32" s="86"/>
      <c r="J32" s="198"/>
      <c r="K32" s="86" t="s">
        <v>97</v>
      </c>
      <c r="L32" s="86"/>
      <c r="M32" s="86"/>
      <c r="N32" s="86"/>
      <c r="O32" s="86"/>
      <c r="P32" s="86"/>
      <c r="Q32" s="86"/>
      <c r="R32" s="86"/>
      <c r="S32" s="86"/>
      <c r="U32" s="86" t="s">
        <v>97</v>
      </c>
      <c r="V32" s="86"/>
      <c r="W32" s="86"/>
      <c r="X32" s="86"/>
      <c r="Y32" s="86"/>
      <c r="Z32" s="86"/>
      <c r="AA32" s="86"/>
      <c r="AB32" s="86"/>
      <c r="AC32" s="86"/>
      <c r="AE32" s="86" t="s">
        <v>97</v>
      </c>
      <c r="AF32" s="86"/>
      <c r="AG32" s="86"/>
      <c r="AH32" s="86"/>
      <c r="AI32" s="86"/>
      <c r="AJ32" s="86"/>
      <c r="AK32" s="86"/>
      <c r="AL32" s="86"/>
      <c r="AM32" s="86"/>
    </row>
    <row r="33" spans="1:39" ht="14.25" customHeight="1" x14ac:dyDescent="0.2">
      <c r="A33" s="86"/>
      <c r="B33" s="86"/>
      <c r="C33" s="86"/>
      <c r="D33" s="86"/>
      <c r="E33" s="86"/>
      <c r="F33" s="86"/>
      <c r="G33" s="86"/>
      <c r="H33" s="86"/>
      <c r="I33" s="86"/>
      <c r="J33" s="198"/>
      <c r="K33" s="86"/>
      <c r="L33" s="86"/>
      <c r="M33" s="86"/>
      <c r="N33" s="86"/>
      <c r="O33" s="86"/>
      <c r="P33" s="86"/>
      <c r="Q33" s="86"/>
      <c r="R33" s="86"/>
      <c r="S33" s="86"/>
      <c r="U33" s="86"/>
      <c r="V33" s="86"/>
      <c r="W33" s="86"/>
      <c r="X33" s="86"/>
      <c r="Y33" s="86"/>
      <c r="Z33" s="86"/>
      <c r="AA33" s="86"/>
      <c r="AB33" s="86"/>
      <c r="AC33" s="86"/>
      <c r="AE33" s="86"/>
      <c r="AF33" s="86"/>
      <c r="AG33" s="86"/>
      <c r="AH33" s="86"/>
      <c r="AI33" s="86"/>
      <c r="AJ33" s="86"/>
      <c r="AK33" s="86"/>
      <c r="AL33" s="86"/>
      <c r="AM33" s="86"/>
    </row>
    <row r="34" spans="1:39" ht="14.25" customHeight="1" x14ac:dyDescent="0.25">
      <c r="A34" s="202" t="s">
        <v>90</v>
      </c>
      <c r="B34" s="526">
        <f>74*20.9/5.9*9190*0.0000001194</f>
        <v>0.28763771654237286</v>
      </c>
      <c r="C34" s="387" t="s">
        <v>91</v>
      </c>
      <c r="D34" s="400">
        <f>B12</f>
        <v>15354150.419999998</v>
      </c>
      <c r="E34" s="387" t="s">
        <v>340</v>
      </c>
      <c r="F34" s="399">
        <v>0.13800000000000001</v>
      </c>
      <c r="G34" s="387" t="s">
        <v>93</v>
      </c>
      <c r="H34" s="399">
        <v>1</v>
      </c>
      <c r="I34" s="387" t="s">
        <v>94</v>
      </c>
      <c r="J34" s="198"/>
      <c r="K34" s="202" t="s">
        <v>90</v>
      </c>
      <c r="L34" s="526">
        <f>74*20.9/5.9*9190*0.0000001194</f>
        <v>0.28763771654237286</v>
      </c>
      <c r="M34" s="387" t="s">
        <v>91</v>
      </c>
      <c r="N34" s="400">
        <f>L12</f>
        <v>13282922.52</v>
      </c>
      <c r="O34" s="387" t="s">
        <v>340</v>
      </c>
      <c r="P34" s="399">
        <v>0.13800000000000001</v>
      </c>
      <c r="Q34" s="387" t="s">
        <v>93</v>
      </c>
      <c r="R34" s="399">
        <v>1</v>
      </c>
      <c r="S34" s="387" t="s">
        <v>94</v>
      </c>
      <c r="U34" s="202" t="s">
        <v>90</v>
      </c>
      <c r="V34" s="526">
        <f>74*20.9/5.9*9190*0.0000001194</f>
        <v>0.28763771654237286</v>
      </c>
      <c r="W34" s="387" t="s">
        <v>91</v>
      </c>
      <c r="X34" s="400">
        <f>V12</f>
        <v>7046380.3199999994</v>
      </c>
      <c r="Y34" s="387" t="s">
        <v>340</v>
      </c>
      <c r="Z34" s="399">
        <v>0.13800000000000001</v>
      </c>
      <c r="AA34" s="387" t="s">
        <v>93</v>
      </c>
      <c r="AB34" s="399">
        <v>1</v>
      </c>
      <c r="AC34" s="387" t="s">
        <v>94</v>
      </c>
      <c r="AE34" s="202" t="s">
        <v>90</v>
      </c>
      <c r="AF34" s="526">
        <f>74*20.9/5.9*9190*0.0000001194</f>
        <v>0.28763771654237286</v>
      </c>
      <c r="AG34" s="387" t="s">
        <v>91</v>
      </c>
      <c r="AH34" s="400">
        <f>AF12</f>
        <v>10312377.18</v>
      </c>
      <c r="AI34" s="387" t="s">
        <v>340</v>
      </c>
      <c r="AJ34" s="399">
        <v>0.13800000000000001</v>
      </c>
      <c r="AK34" s="387" t="s">
        <v>93</v>
      </c>
      <c r="AL34" s="399">
        <v>1</v>
      </c>
      <c r="AM34" s="387" t="s">
        <v>94</v>
      </c>
    </row>
    <row r="35" spans="1:39" ht="14.25" customHeight="1" x14ac:dyDescent="0.2">
      <c r="A35" s="86"/>
      <c r="B35" s="499"/>
      <c r="C35" s="404" t="s">
        <v>93</v>
      </c>
      <c r="D35" s="499"/>
      <c r="E35" s="404" t="s">
        <v>64</v>
      </c>
      <c r="F35" s="499"/>
      <c r="G35" s="404" t="s">
        <v>92</v>
      </c>
      <c r="H35" s="213">
        <v>2000</v>
      </c>
      <c r="I35" s="86" t="s">
        <v>91</v>
      </c>
      <c r="J35" s="198"/>
      <c r="K35" s="86"/>
      <c r="L35" s="499"/>
      <c r="M35" s="404" t="s">
        <v>93</v>
      </c>
      <c r="N35" s="499"/>
      <c r="O35" s="404" t="s">
        <v>64</v>
      </c>
      <c r="P35" s="499"/>
      <c r="Q35" s="404" t="s">
        <v>92</v>
      </c>
      <c r="R35" s="213">
        <v>2000</v>
      </c>
      <c r="S35" s="86" t="s">
        <v>91</v>
      </c>
      <c r="U35" s="86"/>
      <c r="V35" s="499"/>
      <c r="W35" s="404" t="s">
        <v>93</v>
      </c>
      <c r="X35" s="499"/>
      <c r="Y35" s="404" t="s">
        <v>64</v>
      </c>
      <c r="Z35" s="499"/>
      <c r="AA35" s="404" t="s">
        <v>92</v>
      </c>
      <c r="AB35" s="213">
        <v>2000</v>
      </c>
      <c r="AC35" s="86" t="s">
        <v>91</v>
      </c>
      <c r="AE35" s="86"/>
      <c r="AF35" s="499"/>
      <c r="AG35" s="404" t="s">
        <v>93</v>
      </c>
      <c r="AH35" s="499"/>
      <c r="AI35" s="404" t="s">
        <v>64</v>
      </c>
      <c r="AJ35" s="499"/>
      <c r="AK35" s="404" t="s">
        <v>92</v>
      </c>
      <c r="AL35" s="213">
        <v>2000</v>
      </c>
      <c r="AM35" s="86" t="s">
        <v>91</v>
      </c>
    </row>
    <row r="36" spans="1:39" ht="14.25" customHeight="1" x14ac:dyDescent="0.2">
      <c r="A36" s="86"/>
      <c r="B36" s="86"/>
      <c r="C36" s="86"/>
      <c r="D36" s="86"/>
      <c r="E36" s="86"/>
      <c r="F36" s="86"/>
      <c r="G36" s="86"/>
      <c r="H36" s="86"/>
      <c r="I36" s="86"/>
      <c r="J36" s="198"/>
      <c r="K36" s="86"/>
      <c r="L36" s="86"/>
      <c r="M36" s="86"/>
      <c r="N36" s="86"/>
      <c r="O36" s="86"/>
      <c r="P36" s="86"/>
      <c r="Q36" s="86"/>
      <c r="R36" s="86"/>
      <c r="S36" s="86"/>
      <c r="U36" s="86"/>
      <c r="V36" s="86"/>
      <c r="W36" s="86"/>
      <c r="X36" s="86"/>
      <c r="Y36" s="86"/>
      <c r="Z36" s="86"/>
      <c r="AA36" s="86"/>
      <c r="AB36" s="86"/>
      <c r="AC36" s="86"/>
      <c r="AE36" s="86"/>
      <c r="AF36" s="86"/>
      <c r="AG36" s="86"/>
      <c r="AH36" s="86"/>
      <c r="AI36" s="86"/>
      <c r="AJ36" s="86"/>
      <c r="AK36" s="86"/>
      <c r="AL36" s="86"/>
      <c r="AM36" s="86"/>
    </row>
    <row r="37" spans="1:39" ht="14.25" customHeight="1" x14ac:dyDescent="0.2">
      <c r="A37" s="202" t="s">
        <v>90</v>
      </c>
      <c r="B37" s="406">
        <f>(B34*D34*F34)/H35</f>
        <v>304.73386087172713</v>
      </c>
      <c r="C37" s="206" t="s">
        <v>94</v>
      </c>
      <c r="D37" s="86"/>
      <c r="E37" s="202" t="s">
        <v>90</v>
      </c>
      <c r="F37" s="406">
        <f>B37*2000/8760</f>
        <v>69.573940838293865</v>
      </c>
      <c r="G37" s="387" t="s">
        <v>91</v>
      </c>
      <c r="H37" s="86"/>
      <c r="I37" s="86"/>
      <c r="J37" s="198"/>
      <c r="K37" s="202" t="s">
        <v>90</v>
      </c>
      <c r="L37" s="406">
        <f>(L34*N34*P34)/R35</f>
        <v>263.62619568368223</v>
      </c>
      <c r="M37" s="206" t="s">
        <v>94</v>
      </c>
      <c r="N37" s="86"/>
      <c r="O37" s="202" t="s">
        <v>90</v>
      </c>
      <c r="P37" s="406">
        <f>L37*2000/8760</f>
        <v>60.188629151525625</v>
      </c>
      <c r="Q37" s="387" t="s">
        <v>91</v>
      </c>
      <c r="R37" s="86"/>
      <c r="S37" s="86"/>
      <c r="U37" s="202" t="s">
        <v>90</v>
      </c>
      <c r="V37" s="406">
        <f>(V34*X34*Z34)/AB35</f>
        <v>139.8495274142401</v>
      </c>
      <c r="W37" s="206" t="s">
        <v>94</v>
      </c>
      <c r="X37" s="86"/>
      <c r="Y37" s="202" t="s">
        <v>90</v>
      </c>
      <c r="Z37" s="406">
        <f>V37*2000/8760</f>
        <v>31.92911584800002</v>
      </c>
      <c r="AA37" s="387" t="s">
        <v>91</v>
      </c>
      <c r="AB37" s="86"/>
      <c r="AC37" s="86"/>
      <c r="AE37" s="202" t="s">
        <v>90</v>
      </c>
      <c r="AF37" s="406">
        <f>(AF34*AH34*AJ34)/AL35</f>
        <v>204.66977506834235</v>
      </c>
      <c r="AG37" s="206" t="s">
        <v>94</v>
      </c>
      <c r="AH37" s="86"/>
      <c r="AI37" s="202" t="s">
        <v>90</v>
      </c>
      <c r="AJ37" s="406">
        <f>AF37*2000/8760</f>
        <v>46.728259148023362</v>
      </c>
      <c r="AK37" s="387" t="s">
        <v>91</v>
      </c>
      <c r="AL37" s="86"/>
      <c r="AM37" s="86"/>
    </row>
    <row r="38" spans="1:39" ht="14.25" customHeight="1" x14ac:dyDescent="0.2">
      <c r="A38" s="86"/>
      <c r="B38" s="86"/>
      <c r="C38" s="198" t="s">
        <v>64</v>
      </c>
      <c r="D38" s="86"/>
      <c r="E38" s="86"/>
      <c r="F38" s="86"/>
      <c r="G38" s="86" t="s">
        <v>95</v>
      </c>
      <c r="H38" s="86"/>
      <c r="I38" s="86"/>
      <c r="J38" s="198"/>
      <c r="K38" s="86"/>
      <c r="L38" s="86"/>
      <c r="M38" s="198" t="s">
        <v>64</v>
      </c>
      <c r="N38" s="86"/>
      <c r="O38" s="86"/>
      <c r="P38" s="86"/>
      <c r="Q38" s="86" t="s">
        <v>95</v>
      </c>
      <c r="R38" s="86"/>
      <c r="S38" s="86"/>
      <c r="U38" s="86"/>
      <c r="V38" s="86"/>
      <c r="W38" s="198" t="s">
        <v>64</v>
      </c>
      <c r="X38" s="86"/>
      <c r="Y38" s="86"/>
      <c r="Z38" s="86"/>
      <c r="AA38" s="86" t="s">
        <v>95</v>
      </c>
      <c r="AB38" s="86"/>
      <c r="AC38" s="86"/>
      <c r="AE38" s="86"/>
      <c r="AF38" s="86"/>
      <c r="AG38" s="198" t="s">
        <v>64</v>
      </c>
      <c r="AH38" s="86"/>
      <c r="AI38" s="86"/>
      <c r="AJ38" s="86"/>
      <c r="AK38" s="86" t="s">
        <v>95</v>
      </c>
      <c r="AL38" s="86"/>
      <c r="AM38" s="86"/>
    </row>
    <row r="39" spans="1:39" ht="14.25" customHeight="1" x14ac:dyDescent="0.2">
      <c r="A39" s="86"/>
      <c r="B39" s="86"/>
      <c r="C39" s="86"/>
      <c r="D39" s="86"/>
      <c r="E39" s="86"/>
      <c r="F39" s="86"/>
      <c r="G39" s="86"/>
      <c r="H39" s="86"/>
      <c r="I39" s="86"/>
      <c r="J39" s="198"/>
      <c r="K39" s="86"/>
      <c r="L39" s="86"/>
      <c r="M39" s="86"/>
      <c r="N39" s="86"/>
      <c r="O39" s="86"/>
      <c r="P39" s="86"/>
      <c r="Q39" s="86"/>
      <c r="R39" s="86"/>
      <c r="S39" s="86"/>
      <c r="U39" s="86"/>
      <c r="V39" s="86"/>
      <c r="W39" s="86"/>
      <c r="X39" s="86"/>
      <c r="Y39" s="86"/>
      <c r="Z39" s="86"/>
      <c r="AA39" s="86"/>
      <c r="AB39" s="86"/>
      <c r="AC39" s="86"/>
      <c r="AE39" s="86"/>
      <c r="AF39" s="86"/>
      <c r="AG39" s="86"/>
      <c r="AH39" s="86"/>
      <c r="AI39" s="86"/>
      <c r="AJ39" s="86"/>
      <c r="AK39" s="86"/>
      <c r="AL39" s="86"/>
      <c r="AM39" s="86"/>
    </row>
    <row r="40" spans="1:39" ht="14.25" customHeight="1" x14ac:dyDescent="0.2">
      <c r="A40" s="86" t="s">
        <v>98</v>
      </c>
      <c r="B40" s="86"/>
      <c r="C40" s="86"/>
      <c r="D40" s="86"/>
      <c r="E40" s="86"/>
      <c r="F40" s="86"/>
      <c r="G40" s="86"/>
      <c r="H40" s="86"/>
      <c r="I40" s="86"/>
      <c r="J40" s="198"/>
      <c r="K40" s="86" t="s">
        <v>98</v>
      </c>
      <c r="L40" s="86"/>
      <c r="M40" s="86"/>
      <c r="N40" s="86"/>
      <c r="O40" s="86"/>
      <c r="P40" s="86"/>
      <c r="Q40" s="86"/>
      <c r="R40" s="86"/>
      <c r="S40" s="86"/>
      <c r="U40" s="86" t="s">
        <v>98</v>
      </c>
      <c r="V40" s="86"/>
      <c r="W40" s="86"/>
      <c r="X40" s="86"/>
      <c r="Y40" s="86"/>
      <c r="Z40" s="86"/>
      <c r="AA40" s="86"/>
      <c r="AB40" s="86"/>
      <c r="AC40" s="86"/>
      <c r="AE40" s="86" t="s">
        <v>98</v>
      </c>
      <c r="AF40" s="86"/>
      <c r="AG40" s="86"/>
      <c r="AH40" s="86"/>
      <c r="AI40" s="86"/>
      <c r="AJ40" s="86"/>
      <c r="AK40" s="86"/>
      <c r="AL40" s="86"/>
      <c r="AM40" s="86"/>
    </row>
    <row r="41" spans="1:39" ht="14.25" customHeight="1" x14ac:dyDescent="0.2">
      <c r="A41" s="86"/>
      <c r="B41" s="86"/>
      <c r="C41" s="86"/>
      <c r="D41" s="86"/>
      <c r="E41" s="86"/>
      <c r="F41" s="86"/>
      <c r="G41" s="86"/>
      <c r="H41" s="86"/>
      <c r="I41" s="86"/>
      <c r="J41" s="198"/>
      <c r="K41" s="86"/>
      <c r="L41" s="86"/>
      <c r="M41" s="86"/>
      <c r="N41" s="86"/>
      <c r="O41" s="86"/>
      <c r="P41" s="86"/>
      <c r="Q41" s="86"/>
      <c r="R41" s="86"/>
      <c r="S41" s="86"/>
      <c r="U41" s="86"/>
      <c r="V41" s="86"/>
      <c r="W41" s="86"/>
      <c r="X41" s="86"/>
      <c r="Y41" s="86"/>
      <c r="Z41" s="86"/>
      <c r="AA41" s="86"/>
      <c r="AB41" s="86"/>
      <c r="AC41" s="86"/>
      <c r="AE41" s="86"/>
      <c r="AF41" s="86"/>
      <c r="AG41" s="86"/>
      <c r="AH41" s="86"/>
      <c r="AI41" s="86"/>
      <c r="AJ41" s="86"/>
      <c r="AK41" s="86"/>
      <c r="AL41" s="86"/>
      <c r="AM41" s="86"/>
    </row>
    <row r="42" spans="1:39" ht="14.25" customHeight="1" x14ac:dyDescent="0.2">
      <c r="A42" s="202" t="s">
        <v>90</v>
      </c>
      <c r="B42" s="399">
        <v>4.0999999999999999E-4</v>
      </c>
      <c r="C42" s="387" t="s">
        <v>91</v>
      </c>
      <c r="D42" s="400">
        <f>B12</f>
        <v>15354150.419999998</v>
      </c>
      <c r="E42" s="387" t="s">
        <v>340</v>
      </c>
      <c r="F42" s="399">
        <v>0.13800000000000001</v>
      </c>
      <c r="G42" s="387" t="s">
        <v>93</v>
      </c>
      <c r="H42" s="399">
        <v>1</v>
      </c>
      <c r="I42" s="387" t="s">
        <v>94</v>
      </c>
      <c r="J42" s="198"/>
      <c r="K42" s="202" t="s">
        <v>90</v>
      </c>
      <c r="L42" s="399">
        <v>4.0999999999999999E-4</v>
      </c>
      <c r="M42" s="387" t="s">
        <v>91</v>
      </c>
      <c r="N42" s="400">
        <f>L12</f>
        <v>13282922.52</v>
      </c>
      <c r="O42" s="387" t="s">
        <v>340</v>
      </c>
      <c r="P42" s="399">
        <v>0.13800000000000001</v>
      </c>
      <c r="Q42" s="387" t="s">
        <v>93</v>
      </c>
      <c r="R42" s="399">
        <v>1</v>
      </c>
      <c r="S42" s="387" t="s">
        <v>94</v>
      </c>
      <c r="U42" s="202" t="s">
        <v>90</v>
      </c>
      <c r="V42" s="399">
        <v>4.0999999999999999E-4</v>
      </c>
      <c r="W42" s="387" t="s">
        <v>91</v>
      </c>
      <c r="X42" s="400">
        <f>V12</f>
        <v>7046380.3199999994</v>
      </c>
      <c r="Y42" s="387" t="s">
        <v>340</v>
      </c>
      <c r="Z42" s="399">
        <v>0.13800000000000001</v>
      </c>
      <c r="AA42" s="387" t="s">
        <v>93</v>
      </c>
      <c r="AB42" s="399">
        <v>1</v>
      </c>
      <c r="AC42" s="387" t="s">
        <v>94</v>
      </c>
      <c r="AE42" s="202" t="s">
        <v>90</v>
      </c>
      <c r="AF42" s="399">
        <v>4.0999999999999999E-4</v>
      </c>
      <c r="AG42" s="387" t="s">
        <v>91</v>
      </c>
      <c r="AH42" s="400">
        <f>AF12</f>
        <v>10312377.18</v>
      </c>
      <c r="AI42" s="387" t="s">
        <v>340</v>
      </c>
      <c r="AJ42" s="399">
        <v>0.13800000000000001</v>
      </c>
      <c r="AK42" s="387" t="s">
        <v>93</v>
      </c>
      <c r="AL42" s="399">
        <v>1</v>
      </c>
      <c r="AM42" s="387" t="s">
        <v>94</v>
      </c>
    </row>
    <row r="43" spans="1:39" ht="14.25" customHeight="1" x14ac:dyDescent="0.2">
      <c r="A43" s="86"/>
      <c r="B43" s="499"/>
      <c r="C43" s="404" t="s">
        <v>93</v>
      </c>
      <c r="D43" s="499"/>
      <c r="E43" s="404" t="s">
        <v>64</v>
      </c>
      <c r="F43" s="499"/>
      <c r="G43" s="404" t="s">
        <v>92</v>
      </c>
      <c r="H43" s="213">
        <v>2000</v>
      </c>
      <c r="I43" s="86" t="s">
        <v>91</v>
      </c>
      <c r="J43" s="198"/>
      <c r="K43" s="86"/>
      <c r="L43" s="499"/>
      <c r="M43" s="404" t="s">
        <v>93</v>
      </c>
      <c r="N43" s="499"/>
      <c r="O43" s="404" t="s">
        <v>64</v>
      </c>
      <c r="P43" s="499"/>
      <c r="Q43" s="404" t="s">
        <v>92</v>
      </c>
      <c r="R43" s="213">
        <v>2000</v>
      </c>
      <c r="S43" s="86" t="s">
        <v>91</v>
      </c>
      <c r="U43" s="86"/>
      <c r="V43" s="499"/>
      <c r="W43" s="404" t="s">
        <v>93</v>
      </c>
      <c r="X43" s="499"/>
      <c r="Y43" s="404" t="s">
        <v>64</v>
      </c>
      <c r="Z43" s="499"/>
      <c r="AA43" s="404" t="s">
        <v>92</v>
      </c>
      <c r="AB43" s="213">
        <v>2000</v>
      </c>
      <c r="AC43" s="86" t="s">
        <v>91</v>
      </c>
      <c r="AE43" s="86"/>
      <c r="AF43" s="499"/>
      <c r="AG43" s="404" t="s">
        <v>93</v>
      </c>
      <c r="AH43" s="499"/>
      <c r="AI43" s="404" t="s">
        <v>64</v>
      </c>
      <c r="AJ43" s="499"/>
      <c r="AK43" s="404" t="s">
        <v>92</v>
      </c>
      <c r="AL43" s="213">
        <v>2000</v>
      </c>
      <c r="AM43" s="86" t="s">
        <v>91</v>
      </c>
    </row>
    <row r="44" spans="1:39" ht="14.25" customHeight="1" x14ac:dyDescent="0.2">
      <c r="A44" s="86"/>
      <c r="B44" s="86"/>
      <c r="C44" s="86"/>
      <c r="D44" s="86"/>
      <c r="E44" s="86"/>
      <c r="F44" s="86"/>
      <c r="G44" s="86"/>
      <c r="H44" s="86"/>
      <c r="I44" s="86"/>
      <c r="J44" s="198"/>
      <c r="K44" s="86"/>
      <c r="L44" s="86"/>
      <c r="M44" s="86"/>
      <c r="N44" s="86"/>
      <c r="O44" s="86"/>
      <c r="P44" s="86"/>
      <c r="Q44" s="86"/>
      <c r="R44" s="86"/>
      <c r="S44" s="86"/>
      <c r="U44" s="86"/>
      <c r="V44" s="86"/>
      <c r="W44" s="86"/>
      <c r="X44" s="86"/>
      <c r="Y44" s="86"/>
      <c r="Z44" s="86"/>
      <c r="AA44" s="86"/>
      <c r="AB44" s="86"/>
      <c r="AC44" s="86"/>
      <c r="AE44" s="86"/>
      <c r="AF44" s="86"/>
      <c r="AG44" s="86"/>
      <c r="AH44" s="86"/>
      <c r="AI44" s="86"/>
      <c r="AJ44" s="86"/>
      <c r="AK44" s="86"/>
      <c r="AL44" s="86"/>
      <c r="AM44" s="86"/>
    </row>
    <row r="45" spans="1:39" ht="14.25" customHeight="1" x14ac:dyDescent="0.2">
      <c r="A45" s="202" t="s">
        <v>90</v>
      </c>
      <c r="B45" s="406">
        <f>(B42*D42*F42)/H43</f>
        <v>0.4343689153818</v>
      </c>
      <c r="C45" s="206" t="s">
        <v>94</v>
      </c>
      <c r="D45" s="86"/>
      <c r="E45" s="202" t="s">
        <v>90</v>
      </c>
      <c r="F45" s="410">
        <f>B45*2000/8760</f>
        <v>9.9170985246986296E-2</v>
      </c>
      <c r="G45" s="387" t="s">
        <v>91</v>
      </c>
      <c r="H45" s="86"/>
      <c r="I45" s="86"/>
      <c r="J45" s="198"/>
      <c r="K45" s="202" t="s">
        <v>90</v>
      </c>
      <c r="L45" s="406">
        <f>(L42*N42*P42)/R43</f>
        <v>0.37577387809080004</v>
      </c>
      <c r="M45" s="206" t="s">
        <v>94</v>
      </c>
      <c r="N45" s="86"/>
      <c r="O45" s="202" t="s">
        <v>90</v>
      </c>
      <c r="P45" s="410">
        <f>L45*2000/8760</f>
        <v>8.579312285178084E-2</v>
      </c>
      <c r="Q45" s="387" t="s">
        <v>91</v>
      </c>
      <c r="R45" s="86"/>
      <c r="S45" s="86"/>
      <c r="U45" s="202" t="s">
        <v>90</v>
      </c>
      <c r="V45" s="406">
        <f>(V42*X42*Z42)/AB43</f>
        <v>0.19934209925279997</v>
      </c>
      <c r="W45" s="206" t="s">
        <v>94</v>
      </c>
      <c r="X45" s="86"/>
      <c r="Y45" s="202" t="s">
        <v>90</v>
      </c>
      <c r="Z45" s="410">
        <f>V45*2000/8760</f>
        <v>4.5511894806575338E-2</v>
      </c>
      <c r="AA45" s="387" t="s">
        <v>91</v>
      </c>
      <c r="AB45" s="86"/>
      <c r="AC45" s="86"/>
      <c r="AE45" s="202" t="s">
        <v>90</v>
      </c>
      <c r="AF45" s="406">
        <f>(AF42*AH42*AJ42)/AL43</f>
        <v>0.2917371504222</v>
      </c>
      <c r="AG45" s="206" t="s">
        <v>94</v>
      </c>
      <c r="AH45" s="86"/>
      <c r="AI45" s="202" t="s">
        <v>90</v>
      </c>
      <c r="AJ45" s="410">
        <f>AF45*2000/8760</f>
        <v>6.6606655347534238E-2</v>
      </c>
      <c r="AK45" s="387" t="s">
        <v>91</v>
      </c>
      <c r="AL45" s="86"/>
      <c r="AM45" s="86"/>
    </row>
    <row r="46" spans="1:39" ht="14.25" customHeight="1" x14ac:dyDescent="0.2">
      <c r="A46" s="86"/>
      <c r="B46" s="86"/>
      <c r="C46" s="198" t="s">
        <v>64</v>
      </c>
      <c r="D46" s="86"/>
      <c r="E46" s="86"/>
      <c r="F46" s="86"/>
      <c r="G46" s="86" t="s">
        <v>95</v>
      </c>
      <c r="H46" s="86"/>
      <c r="I46" s="86"/>
      <c r="J46" s="198"/>
      <c r="K46" s="86"/>
      <c r="L46" s="86"/>
      <c r="M46" s="198" t="s">
        <v>64</v>
      </c>
      <c r="N46" s="86"/>
      <c r="O46" s="86"/>
      <c r="P46" s="86"/>
      <c r="Q46" s="86" t="s">
        <v>95</v>
      </c>
      <c r="R46" s="86"/>
      <c r="S46" s="86"/>
      <c r="U46" s="86"/>
      <c r="V46" s="86"/>
      <c r="W46" s="198" t="s">
        <v>64</v>
      </c>
      <c r="X46" s="86"/>
      <c r="Y46" s="86"/>
      <c r="Z46" s="86"/>
      <c r="AA46" s="86" t="s">
        <v>95</v>
      </c>
      <c r="AB46" s="86"/>
      <c r="AC46" s="86"/>
      <c r="AE46" s="86"/>
      <c r="AF46" s="86"/>
      <c r="AG46" s="198" t="s">
        <v>64</v>
      </c>
      <c r="AH46" s="86"/>
      <c r="AI46" s="86"/>
      <c r="AJ46" s="86"/>
      <c r="AK46" s="86" t="s">
        <v>95</v>
      </c>
      <c r="AL46" s="86"/>
      <c r="AM46" s="86"/>
    </row>
    <row r="47" spans="1:39" ht="14.25" customHeight="1" x14ac:dyDescent="0.2">
      <c r="A47" s="86"/>
      <c r="B47" s="86"/>
      <c r="C47" s="198"/>
      <c r="D47" s="86"/>
      <c r="E47" s="86"/>
      <c r="F47" s="86"/>
      <c r="G47" s="86"/>
      <c r="H47" s="86"/>
      <c r="I47" s="86"/>
      <c r="J47" s="198"/>
      <c r="K47" s="86"/>
      <c r="L47" s="86"/>
      <c r="M47" s="198"/>
      <c r="N47" s="86"/>
      <c r="O47" s="86"/>
      <c r="P47" s="86"/>
      <c r="Q47" s="86"/>
      <c r="R47" s="86"/>
      <c r="S47" s="86"/>
      <c r="U47" s="86"/>
      <c r="V47" s="86"/>
      <c r="W47" s="198"/>
      <c r="X47" s="86"/>
      <c r="Y47" s="86"/>
      <c r="Z47" s="86"/>
      <c r="AA47" s="86"/>
      <c r="AB47" s="86"/>
      <c r="AC47" s="86"/>
      <c r="AE47" s="86"/>
      <c r="AF47" s="86"/>
      <c r="AG47" s="198"/>
      <c r="AH47" s="86"/>
      <c r="AI47" s="86"/>
      <c r="AJ47" s="86"/>
      <c r="AK47" s="86"/>
      <c r="AL47" s="86"/>
      <c r="AM47" s="86"/>
    </row>
    <row r="48" spans="1:39" ht="14.25" customHeight="1" x14ac:dyDescent="0.2">
      <c r="A48" s="86"/>
      <c r="B48" s="86"/>
      <c r="C48" s="198"/>
      <c r="D48" s="86"/>
      <c r="E48" s="86"/>
      <c r="F48" s="86"/>
      <c r="G48" s="86"/>
      <c r="H48" s="86"/>
      <c r="I48" s="86"/>
      <c r="J48" s="198"/>
      <c r="K48" s="86"/>
      <c r="L48" s="86"/>
      <c r="M48" s="198"/>
      <c r="N48" s="86"/>
      <c r="O48" s="86"/>
      <c r="P48" s="86"/>
      <c r="Q48" s="86"/>
      <c r="R48" s="86"/>
      <c r="S48" s="86"/>
      <c r="U48" s="86"/>
      <c r="V48" s="86"/>
      <c r="W48" s="198"/>
      <c r="X48" s="86"/>
      <c r="Y48" s="86"/>
      <c r="Z48" s="86"/>
      <c r="AA48" s="86"/>
      <c r="AB48" s="86"/>
      <c r="AC48" s="86"/>
      <c r="AE48" s="86"/>
      <c r="AF48" s="86"/>
      <c r="AG48" s="198"/>
      <c r="AH48" s="86"/>
      <c r="AI48" s="86"/>
      <c r="AJ48" s="86"/>
      <c r="AK48" s="86"/>
      <c r="AL48" s="86"/>
      <c r="AM48" s="86"/>
    </row>
    <row r="49" spans="1:39" ht="14.25" customHeight="1" x14ac:dyDescent="0.2">
      <c r="A49" s="86"/>
      <c r="B49" s="86"/>
      <c r="C49" s="198"/>
      <c r="D49" s="86"/>
      <c r="E49" s="86"/>
      <c r="F49" s="86"/>
      <c r="G49" s="86"/>
      <c r="H49" s="86"/>
      <c r="I49" s="86"/>
      <c r="J49" s="198"/>
      <c r="K49" s="86"/>
      <c r="L49" s="86"/>
      <c r="M49" s="198"/>
      <c r="N49" s="86"/>
      <c r="O49" s="86"/>
      <c r="P49" s="86"/>
      <c r="Q49" s="86"/>
      <c r="R49" s="86"/>
      <c r="S49" s="86"/>
      <c r="U49" s="86"/>
      <c r="V49" s="86"/>
      <c r="W49" s="198"/>
      <c r="X49" s="86"/>
      <c r="Y49" s="86"/>
      <c r="Z49" s="86"/>
      <c r="AA49" s="86"/>
      <c r="AB49" s="86"/>
      <c r="AC49" s="86"/>
      <c r="AE49" s="86"/>
      <c r="AF49" s="86"/>
      <c r="AG49" s="198"/>
      <c r="AH49" s="86"/>
      <c r="AI49" s="86"/>
      <c r="AJ49" s="86"/>
      <c r="AK49" s="86"/>
      <c r="AL49" s="86"/>
      <c r="AM49" s="86"/>
    </row>
    <row r="50" spans="1:39" ht="14.25" customHeight="1" x14ac:dyDescent="0.2">
      <c r="A50" s="86"/>
      <c r="B50" s="86"/>
      <c r="C50" s="198"/>
      <c r="D50" s="86"/>
      <c r="E50" s="86"/>
      <c r="F50" s="86"/>
      <c r="G50" s="86"/>
      <c r="H50" s="86"/>
      <c r="I50" s="86"/>
      <c r="J50" s="198"/>
      <c r="K50" s="86"/>
      <c r="L50" s="86"/>
      <c r="M50" s="198"/>
      <c r="N50" s="86"/>
      <c r="O50" s="86"/>
      <c r="P50" s="86"/>
      <c r="Q50" s="86"/>
      <c r="R50" s="86"/>
      <c r="S50" s="86"/>
      <c r="U50" s="86"/>
      <c r="V50" s="86"/>
      <c r="W50" s="198"/>
      <c r="X50" s="86"/>
      <c r="Y50" s="86"/>
      <c r="Z50" s="86"/>
      <c r="AA50" s="86"/>
      <c r="AB50" s="86"/>
      <c r="AC50" s="86"/>
      <c r="AE50" s="592" t="s">
        <v>357</v>
      </c>
      <c r="AF50" s="592"/>
      <c r="AG50" s="592"/>
      <c r="AH50" s="592"/>
      <c r="AI50" s="592"/>
      <c r="AJ50" s="592"/>
      <c r="AK50" s="592"/>
      <c r="AL50" s="592"/>
      <c r="AM50" s="592"/>
    </row>
    <row r="51" spans="1:39" ht="14.25" customHeight="1" x14ac:dyDescent="0.2">
      <c r="A51" s="592" t="s">
        <v>354</v>
      </c>
      <c r="B51" s="592"/>
      <c r="C51" s="592"/>
      <c r="D51" s="592"/>
      <c r="E51" s="592"/>
      <c r="F51" s="592"/>
      <c r="G51" s="592"/>
      <c r="H51" s="592"/>
      <c r="I51" s="592"/>
      <c r="J51" s="82"/>
      <c r="K51" s="592" t="s">
        <v>355</v>
      </c>
      <c r="L51" s="592"/>
      <c r="M51" s="592"/>
      <c r="N51" s="592"/>
      <c r="O51" s="592"/>
      <c r="P51" s="592"/>
      <c r="Q51" s="592"/>
      <c r="R51" s="592"/>
      <c r="S51" s="592"/>
      <c r="U51" s="592" t="s">
        <v>356</v>
      </c>
      <c r="V51" s="592"/>
      <c r="W51" s="592"/>
      <c r="X51" s="592"/>
      <c r="Y51" s="592"/>
      <c r="Z51" s="592"/>
      <c r="AA51" s="592"/>
      <c r="AB51" s="592"/>
      <c r="AC51" s="592"/>
    </row>
    <row r="52" spans="1:39" ht="14.25" customHeight="1" x14ac:dyDescent="0.2">
      <c r="A52" s="86"/>
      <c r="B52" s="86"/>
      <c r="C52" s="86"/>
      <c r="D52" s="86"/>
      <c r="E52" s="86"/>
      <c r="F52" s="86"/>
      <c r="G52" s="86"/>
      <c r="H52" s="86"/>
      <c r="I52" s="86"/>
      <c r="J52" s="198"/>
      <c r="K52" s="86"/>
      <c r="L52" s="86"/>
      <c r="M52" s="86"/>
      <c r="N52" s="86"/>
      <c r="O52" s="86"/>
      <c r="P52" s="86"/>
      <c r="Q52" s="86"/>
      <c r="R52" s="86"/>
      <c r="S52" s="86"/>
      <c r="U52" s="86"/>
      <c r="V52" s="86"/>
      <c r="W52" s="86"/>
      <c r="X52" s="86"/>
      <c r="Y52" s="86"/>
      <c r="Z52" s="86"/>
      <c r="AA52" s="86"/>
      <c r="AB52" s="86"/>
      <c r="AC52" s="86"/>
      <c r="AE52" s="86"/>
      <c r="AF52" s="86"/>
      <c r="AG52" s="86"/>
      <c r="AH52" s="86"/>
      <c r="AI52" s="86"/>
      <c r="AJ52" s="86"/>
      <c r="AK52" s="86"/>
      <c r="AL52" s="86"/>
      <c r="AM52" s="86"/>
    </row>
    <row r="53" spans="1:39" ht="14.25" customHeight="1" x14ac:dyDescent="0.2">
      <c r="A53" s="86" t="s">
        <v>99</v>
      </c>
      <c r="B53" s="86"/>
      <c r="C53" s="86"/>
      <c r="D53" s="86"/>
      <c r="E53" s="86"/>
      <c r="F53" s="86"/>
      <c r="G53" s="86"/>
      <c r="H53" s="86"/>
      <c r="I53" s="86"/>
      <c r="J53" s="198"/>
      <c r="K53" s="86" t="s">
        <v>99</v>
      </c>
      <c r="L53" s="86"/>
      <c r="M53" s="86"/>
      <c r="N53" s="86"/>
      <c r="O53" s="86"/>
      <c r="P53" s="86"/>
      <c r="Q53" s="86"/>
      <c r="R53" s="86"/>
      <c r="S53" s="86"/>
      <c r="U53" s="86" t="s">
        <v>99</v>
      </c>
      <c r="V53" s="86"/>
      <c r="W53" s="86"/>
      <c r="X53" s="86"/>
      <c r="Y53" s="86"/>
      <c r="Z53" s="86"/>
      <c r="AA53" s="86"/>
      <c r="AB53" s="86"/>
      <c r="AC53" s="86"/>
      <c r="AE53" s="86" t="s">
        <v>99</v>
      </c>
      <c r="AF53" s="86"/>
      <c r="AG53" s="86"/>
      <c r="AH53" s="86"/>
      <c r="AI53" s="86"/>
      <c r="AJ53" s="86"/>
      <c r="AK53" s="86"/>
      <c r="AL53" s="86"/>
      <c r="AM53" s="86"/>
    </row>
    <row r="54" spans="1:39" ht="14.25" customHeight="1" x14ac:dyDescent="0.2">
      <c r="A54" s="86"/>
      <c r="B54" s="86"/>
      <c r="C54" s="86"/>
      <c r="D54" s="86"/>
      <c r="E54" s="86"/>
      <c r="F54" s="86"/>
      <c r="G54" s="86"/>
      <c r="H54" s="86"/>
      <c r="I54" s="86"/>
      <c r="J54" s="198"/>
      <c r="K54" s="86"/>
      <c r="L54" s="86"/>
      <c r="M54" s="86"/>
      <c r="N54" s="86"/>
      <c r="O54" s="86"/>
      <c r="P54" s="86"/>
      <c r="Q54" s="86"/>
      <c r="R54" s="86"/>
      <c r="S54" s="86"/>
      <c r="U54" s="86"/>
      <c r="V54" s="86"/>
      <c r="W54" s="86"/>
      <c r="X54" s="86"/>
      <c r="Y54" s="86"/>
      <c r="Z54" s="86"/>
      <c r="AA54" s="86"/>
      <c r="AB54" s="86"/>
      <c r="AC54" s="86"/>
      <c r="AE54" s="86"/>
      <c r="AF54" s="86"/>
      <c r="AG54" s="86"/>
      <c r="AH54" s="86"/>
      <c r="AI54" s="86"/>
      <c r="AJ54" s="86"/>
      <c r="AK54" s="86"/>
      <c r="AL54" s="86"/>
      <c r="AM54" s="86"/>
    </row>
    <row r="55" spans="1:39" ht="14.25" customHeight="1" x14ac:dyDescent="0.2">
      <c r="A55" s="202" t="s">
        <v>90</v>
      </c>
      <c r="B55" s="399">
        <v>3.3E-3</v>
      </c>
      <c r="C55" s="387" t="s">
        <v>91</v>
      </c>
      <c r="D55" s="400">
        <f>B12</f>
        <v>15354150.419999998</v>
      </c>
      <c r="E55" s="387" t="s">
        <v>340</v>
      </c>
      <c r="F55" s="399">
        <v>0.13800000000000001</v>
      </c>
      <c r="G55" s="387" t="s">
        <v>93</v>
      </c>
      <c r="H55" s="399">
        <v>1</v>
      </c>
      <c r="I55" s="387" t="s">
        <v>94</v>
      </c>
      <c r="J55" s="198"/>
      <c r="K55" s="202" t="s">
        <v>90</v>
      </c>
      <c r="L55" s="399">
        <v>3.3E-3</v>
      </c>
      <c r="M55" s="387" t="s">
        <v>91</v>
      </c>
      <c r="N55" s="400">
        <f>L12</f>
        <v>13282922.52</v>
      </c>
      <c r="O55" s="387" t="s">
        <v>340</v>
      </c>
      <c r="P55" s="399">
        <v>0.13800000000000001</v>
      </c>
      <c r="Q55" s="387" t="s">
        <v>93</v>
      </c>
      <c r="R55" s="399">
        <v>1</v>
      </c>
      <c r="S55" s="387" t="s">
        <v>94</v>
      </c>
      <c r="U55" s="202" t="s">
        <v>90</v>
      </c>
      <c r="V55" s="399">
        <v>3.3E-3</v>
      </c>
      <c r="W55" s="387" t="s">
        <v>91</v>
      </c>
      <c r="X55" s="400">
        <f>V12</f>
        <v>7046380.3199999994</v>
      </c>
      <c r="Y55" s="387" t="s">
        <v>340</v>
      </c>
      <c r="Z55" s="399">
        <v>0.13800000000000001</v>
      </c>
      <c r="AA55" s="387" t="s">
        <v>93</v>
      </c>
      <c r="AB55" s="399">
        <v>1</v>
      </c>
      <c r="AC55" s="387" t="s">
        <v>94</v>
      </c>
      <c r="AE55" s="202" t="s">
        <v>90</v>
      </c>
      <c r="AF55" s="399">
        <v>3.3E-3</v>
      </c>
      <c r="AG55" s="387" t="s">
        <v>91</v>
      </c>
      <c r="AH55" s="400">
        <f>AF12</f>
        <v>10312377.18</v>
      </c>
      <c r="AI55" s="387" t="s">
        <v>340</v>
      </c>
      <c r="AJ55" s="399">
        <v>0.13800000000000001</v>
      </c>
      <c r="AK55" s="387" t="s">
        <v>93</v>
      </c>
      <c r="AL55" s="399">
        <v>1</v>
      </c>
      <c r="AM55" s="387" t="s">
        <v>94</v>
      </c>
    </row>
    <row r="56" spans="1:39" ht="14.25" customHeight="1" x14ac:dyDescent="0.2">
      <c r="A56" s="86"/>
      <c r="B56" s="499"/>
      <c r="C56" s="404" t="s">
        <v>93</v>
      </c>
      <c r="D56" s="499"/>
      <c r="E56" s="404" t="s">
        <v>64</v>
      </c>
      <c r="F56" s="499"/>
      <c r="G56" s="404" t="s">
        <v>92</v>
      </c>
      <c r="H56" s="213">
        <v>2000</v>
      </c>
      <c r="I56" s="86" t="s">
        <v>91</v>
      </c>
      <c r="J56" s="198"/>
      <c r="K56" s="86"/>
      <c r="L56" s="499"/>
      <c r="M56" s="404" t="s">
        <v>93</v>
      </c>
      <c r="N56" s="499"/>
      <c r="O56" s="404" t="s">
        <v>64</v>
      </c>
      <c r="P56" s="499"/>
      <c r="Q56" s="404" t="s">
        <v>92</v>
      </c>
      <c r="R56" s="213">
        <v>2000</v>
      </c>
      <c r="S56" s="86" t="s">
        <v>91</v>
      </c>
      <c r="U56" s="86"/>
      <c r="V56" s="499"/>
      <c r="W56" s="404" t="s">
        <v>93</v>
      </c>
      <c r="X56" s="499"/>
      <c r="Y56" s="404" t="s">
        <v>64</v>
      </c>
      <c r="Z56" s="499"/>
      <c r="AA56" s="404" t="s">
        <v>92</v>
      </c>
      <c r="AB56" s="213">
        <v>2000</v>
      </c>
      <c r="AC56" s="86" t="s">
        <v>91</v>
      </c>
      <c r="AE56" s="86"/>
      <c r="AF56" s="499"/>
      <c r="AG56" s="404" t="s">
        <v>93</v>
      </c>
      <c r="AH56" s="499"/>
      <c r="AI56" s="404" t="s">
        <v>64</v>
      </c>
      <c r="AJ56" s="499"/>
      <c r="AK56" s="404" t="s">
        <v>92</v>
      </c>
      <c r="AL56" s="213">
        <v>2000</v>
      </c>
      <c r="AM56" s="86" t="s">
        <v>91</v>
      </c>
    </row>
    <row r="57" spans="1:39" ht="14.25" customHeight="1" x14ac:dyDescent="0.2">
      <c r="A57" s="86"/>
      <c r="B57" s="86"/>
      <c r="C57" s="86"/>
      <c r="D57" s="86"/>
      <c r="E57" s="86"/>
      <c r="F57" s="86"/>
      <c r="G57" s="86"/>
      <c r="H57" s="86"/>
      <c r="I57" s="86"/>
      <c r="J57" s="198"/>
      <c r="K57" s="86"/>
      <c r="L57" s="86"/>
      <c r="M57" s="86"/>
      <c r="N57" s="86"/>
      <c r="O57" s="86"/>
      <c r="P57" s="86"/>
      <c r="Q57" s="86"/>
      <c r="R57" s="86"/>
      <c r="S57" s="86"/>
      <c r="U57" s="86"/>
      <c r="V57" s="86"/>
      <c r="W57" s="86"/>
      <c r="X57" s="86"/>
      <c r="Y57" s="86"/>
      <c r="Z57" s="86"/>
      <c r="AA57" s="86"/>
      <c r="AB57" s="86"/>
      <c r="AC57" s="86"/>
      <c r="AE57" s="86"/>
      <c r="AF57" s="86"/>
      <c r="AG57" s="86"/>
      <c r="AH57" s="86"/>
      <c r="AI57" s="86"/>
      <c r="AJ57" s="86"/>
      <c r="AK57" s="86"/>
      <c r="AL57" s="86"/>
      <c r="AM57" s="86"/>
    </row>
    <row r="58" spans="1:39" ht="14.25" customHeight="1" x14ac:dyDescent="0.2">
      <c r="A58" s="202" t="s">
        <v>90</v>
      </c>
      <c r="B58" s="406">
        <f>(B55*D55*F55)/H56</f>
        <v>3.4961400506340001</v>
      </c>
      <c r="C58" s="206" t="s">
        <v>94</v>
      </c>
      <c r="D58" s="86"/>
      <c r="E58" s="202" t="s">
        <v>90</v>
      </c>
      <c r="F58" s="410">
        <f>B58*2000/8760</f>
        <v>0.79820549101232874</v>
      </c>
      <c r="G58" s="387" t="s">
        <v>91</v>
      </c>
      <c r="H58" s="86"/>
      <c r="I58" s="86"/>
      <c r="J58" s="198"/>
      <c r="K58" s="202" t="s">
        <v>90</v>
      </c>
      <c r="L58" s="406">
        <f>(L55*N55*P55)/R56</f>
        <v>3.0245214578040001</v>
      </c>
      <c r="M58" s="206" t="s">
        <v>94</v>
      </c>
      <c r="N58" s="86"/>
      <c r="O58" s="202" t="s">
        <v>90</v>
      </c>
      <c r="P58" s="410">
        <f>L58*2000/8760</f>
        <v>0.69053001319726026</v>
      </c>
      <c r="Q58" s="387" t="s">
        <v>91</v>
      </c>
      <c r="R58" s="86"/>
      <c r="S58" s="86"/>
      <c r="U58" s="202" t="s">
        <v>90</v>
      </c>
      <c r="V58" s="406">
        <f>(V55*X55*Z55)/AB56</f>
        <v>1.6044607988640001</v>
      </c>
      <c r="W58" s="206" t="s">
        <v>94</v>
      </c>
      <c r="X58" s="86"/>
      <c r="Y58" s="202" t="s">
        <v>90</v>
      </c>
      <c r="Z58" s="410">
        <f>V58*2000/8760</f>
        <v>0.3663152508821918</v>
      </c>
      <c r="AA58" s="387" t="s">
        <v>91</v>
      </c>
      <c r="AB58" s="86"/>
      <c r="AC58" s="86"/>
      <c r="AE58" s="202" t="s">
        <v>90</v>
      </c>
      <c r="AF58" s="406">
        <f>(AF55*AH55*AJ55)/AL56</f>
        <v>2.348128283886</v>
      </c>
      <c r="AG58" s="206" t="s">
        <v>94</v>
      </c>
      <c r="AH58" s="86"/>
      <c r="AI58" s="202" t="s">
        <v>90</v>
      </c>
      <c r="AJ58" s="410">
        <f>AF58*2000/8760</f>
        <v>0.5361023479191781</v>
      </c>
      <c r="AK58" s="387" t="s">
        <v>91</v>
      </c>
      <c r="AL58" s="86"/>
      <c r="AM58" s="86"/>
    </row>
    <row r="59" spans="1:39" ht="14.25" customHeight="1" x14ac:dyDescent="0.2">
      <c r="A59" s="86"/>
      <c r="B59" s="86"/>
      <c r="C59" s="198" t="s">
        <v>64</v>
      </c>
      <c r="D59" s="86"/>
      <c r="E59" s="86"/>
      <c r="F59" s="86"/>
      <c r="G59" s="86" t="s">
        <v>95</v>
      </c>
      <c r="H59" s="86"/>
      <c r="I59" s="86"/>
      <c r="J59" s="198"/>
      <c r="K59" s="86"/>
      <c r="L59" s="86"/>
      <c r="M59" s="198" t="s">
        <v>64</v>
      </c>
      <c r="N59" s="86"/>
      <c r="O59" s="86"/>
      <c r="P59" s="86"/>
      <c r="Q59" s="86" t="s">
        <v>95</v>
      </c>
      <c r="R59" s="86"/>
      <c r="S59" s="86"/>
      <c r="U59" s="86"/>
      <c r="V59" s="86"/>
      <c r="W59" s="198" t="s">
        <v>64</v>
      </c>
      <c r="X59" s="86"/>
      <c r="Y59" s="86"/>
      <c r="Z59" s="86"/>
      <c r="AA59" s="86" t="s">
        <v>95</v>
      </c>
      <c r="AB59" s="86"/>
      <c r="AC59" s="86"/>
      <c r="AE59" s="86"/>
      <c r="AF59" s="86"/>
      <c r="AG59" s="198" t="s">
        <v>64</v>
      </c>
      <c r="AH59" s="86"/>
      <c r="AI59" s="86"/>
      <c r="AJ59" s="86"/>
      <c r="AK59" s="86" t="s">
        <v>95</v>
      </c>
      <c r="AL59" s="86"/>
      <c r="AM59" s="86"/>
    </row>
    <row r="60" spans="1:39" ht="14.25" customHeight="1" x14ac:dyDescent="0.2">
      <c r="A60" s="86"/>
      <c r="B60" s="86"/>
      <c r="C60" s="86"/>
      <c r="D60" s="86"/>
      <c r="E60" s="86"/>
      <c r="F60" s="86"/>
      <c r="G60" s="86"/>
      <c r="H60" s="86"/>
      <c r="I60" s="86"/>
      <c r="J60" s="198"/>
      <c r="K60" s="86"/>
      <c r="L60" s="86"/>
      <c r="M60" s="86"/>
      <c r="N60" s="86"/>
      <c r="O60" s="86"/>
      <c r="P60" s="86"/>
      <c r="Q60" s="86"/>
      <c r="R60" s="86"/>
      <c r="S60" s="86"/>
      <c r="U60" s="86"/>
      <c r="V60" s="86"/>
      <c r="W60" s="86"/>
      <c r="X60" s="86"/>
      <c r="Y60" s="86"/>
      <c r="Z60" s="86"/>
      <c r="AA60" s="86"/>
      <c r="AB60" s="86"/>
      <c r="AC60" s="86"/>
      <c r="AE60" s="86"/>
      <c r="AF60" s="86"/>
      <c r="AG60" s="86"/>
      <c r="AH60" s="86"/>
      <c r="AI60" s="86"/>
      <c r="AJ60" s="86"/>
      <c r="AK60" s="86"/>
      <c r="AL60" s="86"/>
      <c r="AM60" s="86"/>
    </row>
    <row r="61" spans="1:39" ht="14.25" customHeight="1" x14ac:dyDescent="0.2">
      <c r="A61" s="86" t="s">
        <v>100</v>
      </c>
      <c r="B61" s="86"/>
      <c r="C61" s="86"/>
      <c r="D61" s="86"/>
      <c r="E61" s="86"/>
      <c r="F61" s="86"/>
      <c r="G61" s="86"/>
      <c r="H61" s="86"/>
      <c r="I61" s="86"/>
      <c r="J61" s="198"/>
      <c r="K61" s="86" t="s">
        <v>100</v>
      </c>
      <c r="L61" s="86"/>
      <c r="M61" s="86"/>
      <c r="N61" s="86"/>
      <c r="O61" s="86"/>
      <c r="P61" s="86"/>
      <c r="Q61" s="86"/>
      <c r="R61" s="86"/>
      <c r="S61" s="86"/>
      <c r="U61" s="86" t="s">
        <v>100</v>
      </c>
      <c r="V61" s="86"/>
      <c r="W61" s="86"/>
      <c r="X61" s="86"/>
      <c r="Y61" s="86"/>
      <c r="Z61" s="86"/>
      <c r="AA61" s="86"/>
      <c r="AB61" s="86"/>
      <c r="AC61" s="86"/>
      <c r="AE61" s="86" t="s">
        <v>100</v>
      </c>
      <c r="AF61" s="86"/>
      <c r="AG61" s="86"/>
      <c r="AH61" s="86"/>
      <c r="AI61" s="86"/>
      <c r="AJ61" s="86"/>
      <c r="AK61" s="86"/>
      <c r="AL61" s="86"/>
      <c r="AM61" s="86"/>
    </row>
    <row r="62" spans="1:39" ht="14.25" customHeight="1" x14ac:dyDescent="0.2">
      <c r="A62" s="86"/>
      <c r="B62" s="86"/>
      <c r="C62" s="86"/>
      <c r="D62" s="86"/>
      <c r="E62" s="86"/>
      <c r="F62" s="86"/>
      <c r="G62" s="86"/>
      <c r="H62" s="86"/>
      <c r="I62" s="86"/>
      <c r="J62" s="198"/>
      <c r="K62" s="86"/>
      <c r="L62" s="86"/>
      <c r="M62" s="86"/>
      <c r="N62" s="86"/>
      <c r="O62" s="86"/>
      <c r="P62" s="86"/>
      <c r="Q62" s="86"/>
      <c r="R62" s="86"/>
      <c r="S62" s="86"/>
      <c r="U62" s="86"/>
      <c r="V62" s="86"/>
      <c r="W62" s="86"/>
      <c r="X62" s="86"/>
      <c r="Y62" s="86"/>
      <c r="Z62" s="86"/>
      <c r="AA62" s="86"/>
      <c r="AB62" s="86"/>
      <c r="AC62" s="86"/>
      <c r="AE62" s="86"/>
      <c r="AF62" s="86"/>
      <c r="AG62" s="86"/>
      <c r="AH62" s="86"/>
      <c r="AI62" s="86"/>
      <c r="AJ62" s="86"/>
      <c r="AK62" s="86"/>
      <c r="AL62" s="86"/>
      <c r="AM62" s="86"/>
    </row>
    <row r="63" spans="1:39" ht="14.25" customHeight="1" x14ac:dyDescent="0.2">
      <c r="A63" s="202" t="s">
        <v>90</v>
      </c>
      <c r="B63" s="399">
        <v>1.4E-5</v>
      </c>
      <c r="C63" s="387" t="s">
        <v>91</v>
      </c>
      <c r="D63" s="400">
        <f>B12</f>
        <v>15354150.419999998</v>
      </c>
      <c r="E63" s="387" t="s">
        <v>340</v>
      </c>
      <c r="F63" s="399">
        <v>0.13800000000000001</v>
      </c>
      <c r="G63" s="387" t="s">
        <v>93</v>
      </c>
      <c r="H63" s="399">
        <v>1</v>
      </c>
      <c r="I63" s="387" t="s">
        <v>94</v>
      </c>
      <c r="J63" s="198"/>
      <c r="K63" s="202" t="s">
        <v>90</v>
      </c>
      <c r="L63" s="399">
        <v>1.4E-5</v>
      </c>
      <c r="M63" s="387" t="s">
        <v>91</v>
      </c>
      <c r="N63" s="400">
        <f>L12</f>
        <v>13282922.52</v>
      </c>
      <c r="O63" s="387" t="s">
        <v>340</v>
      </c>
      <c r="P63" s="399">
        <v>0.13800000000000001</v>
      </c>
      <c r="Q63" s="387" t="s">
        <v>93</v>
      </c>
      <c r="R63" s="399">
        <v>1</v>
      </c>
      <c r="S63" s="387" t="s">
        <v>94</v>
      </c>
      <c r="U63" s="202" t="s">
        <v>90</v>
      </c>
      <c r="V63" s="399">
        <v>1.4E-5</v>
      </c>
      <c r="W63" s="387" t="s">
        <v>91</v>
      </c>
      <c r="X63" s="400">
        <f>V12</f>
        <v>7046380.3199999994</v>
      </c>
      <c r="Y63" s="387" t="s">
        <v>340</v>
      </c>
      <c r="Z63" s="399">
        <v>0.13800000000000001</v>
      </c>
      <c r="AA63" s="387" t="s">
        <v>93</v>
      </c>
      <c r="AB63" s="399">
        <v>1</v>
      </c>
      <c r="AC63" s="387" t="s">
        <v>94</v>
      </c>
      <c r="AE63" s="202" t="s">
        <v>90</v>
      </c>
      <c r="AF63" s="399">
        <v>1.4E-5</v>
      </c>
      <c r="AG63" s="387" t="s">
        <v>91</v>
      </c>
      <c r="AH63" s="400">
        <f>AF12</f>
        <v>10312377.18</v>
      </c>
      <c r="AI63" s="387" t="s">
        <v>340</v>
      </c>
      <c r="AJ63" s="399">
        <v>0.13800000000000001</v>
      </c>
      <c r="AK63" s="387" t="s">
        <v>93</v>
      </c>
      <c r="AL63" s="399">
        <v>1</v>
      </c>
      <c r="AM63" s="387" t="s">
        <v>94</v>
      </c>
    </row>
    <row r="64" spans="1:39" ht="14.25" customHeight="1" x14ac:dyDescent="0.2">
      <c r="A64" s="86"/>
      <c r="B64" s="499"/>
      <c r="C64" s="404" t="s">
        <v>93</v>
      </c>
      <c r="D64" s="499"/>
      <c r="E64" s="404" t="s">
        <v>64</v>
      </c>
      <c r="F64" s="499"/>
      <c r="G64" s="404" t="s">
        <v>92</v>
      </c>
      <c r="H64" s="213">
        <v>2000</v>
      </c>
      <c r="I64" s="86" t="s">
        <v>91</v>
      </c>
      <c r="J64" s="198"/>
      <c r="K64" s="86"/>
      <c r="L64" s="499"/>
      <c r="M64" s="404" t="s">
        <v>93</v>
      </c>
      <c r="N64" s="499"/>
      <c r="O64" s="404" t="s">
        <v>64</v>
      </c>
      <c r="P64" s="499"/>
      <c r="Q64" s="404" t="s">
        <v>92</v>
      </c>
      <c r="R64" s="213">
        <v>2000</v>
      </c>
      <c r="S64" s="86" t="s">
        <v>91</v>
      </c>
      <c r="U64" s="86"/>
      <c r="V64" s="499"/>
      <c r="W64" s="404" t="s">
        <v>93</v>
      </c>
      <c r="X64" s="499"/>
      <c r="Y64" s="404" t="s">
        <v>64</v>
      </c>
      <c r="Z64" s="499"/>
      <c r="AA64" s="404" t="s">
        <v>92</v>
      </c>
      <c r="AB64" s="213">
        <v>2000</v>
      </c>
      <c r="AC64" s="86" t="s">
        <v>91</v>
      </c>
      <c r="AE64" s="86"/>
      <c r="AF64" s="499"/>
      <c r="AG64" s="404" t="s">
        <v>93</v>
      </c>
      <c r="AH64" s="499"/>
      <c r="AI64" s="404" t="s">
        <v>64</v>
      </c>
      <c r="AJ64" s="499"/>
      <c r="AK64" s="404" t="s">
        <v>92</v>
      </c>
      <c r="AL64" s="213">
        <v>2000</v>
      </c>
      <c r="AM64" s="86" t="s">
        <v>91</v>
      </c>
    </row>
    <row r="66" spans="1:39" ht="14.25" customHeight="1" x14ac:dyDescent="0.2">
      <c r="A66" s="202" t="s">
        <v>90</v>
      </c>
      <c r="B66" s="406">
        <f>(B63*D63*F63)/H64</f>
        <v>1.4832109305719999E-2</v>
      </c>
      <c r="C66" s="206" t="s">
        <v>94</v>
      </c>
      <c r="D66" s="86"/>
      <c r="E66" s="202" t="s">
        <v>90</v>
      </c>
      <c r="F66" s="410">
        <f>B66*2000/8760</f>
        <v>3.3863263255068492E-3</v>
      </c>
      <c r="G66" s="387" t="s">
        <v>91</v>
      </c>
      <c r="H66" s="86"/>
      <c r="I66" s="86"/>
      <c r="J66" s="86"/>
      <c r="K66" s="202" t="s">
        <v>90</v>
      </c>
      <c r="L66" s="406">
        <f>(L63*N63*P63)/R64</f>
        <v>1.283130315432E-2</v>
      </c>
      <c r="M66" s="206" t="s">
        <v>94</v>
      </c>
      <c r="N66" s="86"/>
      <c r="O66" s="202" t="s">
        <v>90</v>
      </c>
      <c r="P66" s="410">
        <f>L66*2000/8760</f>
        <v>2.9295212681095893E-3</v>
      </c>
      <c r="Q66" s="387" t="s">
        <v>91</v>
      </c>
      <c r="R66" s="86"/>
      <c r="S66" s="86"/>
      <c r="T66" s="86"/>
      <c r="U66" s="202" t="s">
        <v>90</v>
      </c>
      <c r="V66" s="406">
        <f>(V63*X63*Z63)/AB64</f>
        <v>6.8068033891199994E-3</v>
      </c>
      <c r="W66" s="206" t="s">
        <v>94</v>
      </c>
      <c r="X66" s="86"/>
      <c r="Y66" s="202" t="s">
        <v>90</v>
      </c>
      <c r="Z66" s="410">
        <f>V66*2000/8760</f>
        <v>1.5540647007123286E-3</v>
      </c>
      <c r="AA66" s="387" t="s">
        <v>91</v>
      </c>
      <c r="AB66" s="86"/>
      <c r="AC66" s="86"/>
      <c r="AE66" s="202" t="s">
        <v>90</v>
      </c>
      <c r="AF66" s="406">
        <f>(AF63*AH63*AJ63)/AL64</f>
        <v>9.9617563558799978E-3</v>
      </c>
      <c r="AG66" s="206" t="s">
        <v>94</v>
      </c>
      <c r="AH66" s="86"/>
      <c r="AI66" s="202" t="s">
        <v>90</v>
      </c>
      <c r="AJ66" s="410">
        <f>AF66*2000/8760</f>
        <v>2.2743735972328765E-3</v>
      </c>
      <c r="AK66" s="387" t="s">
        <v>91</v>
      </c>
      <c r="AL66" s="86"/>
      <c r="AM66" s="86"/>
    </row>
    <row r="67" spans="1:39" ht="14.25" customHeight="1" x14ac:dyDescent="0.2">
      <c r="A67" s="86"/>
      <c r="B67" s="86"/>
      <c r="C67" s="198" t="s">
        <v>64</v>
      </c>
      <c r="D67" s="86"/>
      <c r="E67" s="86"/>
      <c r="F67" s="86"/>
      <c r="G67" s="86" t="s">
        <v>95</v>
      </c>
      <c r="H67" s="86"/>
      <c r="I67" s="86"/>
      <c r="J67" s="86"/>
      <c r="K67" s="86"/>
      <c r="L67" s="86"/>
      <c r="M67" s="198" t="s">
        <v>64</v>
      </c>
      <c r="N67" s="86"/>
      <c r="O67" s="86"/>
      <c r="P67" s="86"/>
      <c r="Q67" s="86" t="s">
        <v>95</v>
      </c>
      <c r="R67" s="86"/>
      <c r="S67" s="86"/>
      <c r="T67" s="86"/>
      <c r="U67" s="86"/>
      <c r="V67" s="86"/>
      <c r="W67" s="198" t="s">
        <v>64</v>
      </c>
      <c r="X67" s="86"/>
      <c r="Y67" s="86"/>
      <c r="Z67" s="86"/>
      <c r="AA67" s="86" t="s">
        <v>95</v>
      </c>
      <c r="AB67" s="86"/>
      <c r="AC67" s="86"/>
      <c r="AE67" s="86"/>
      <c r="AF67" s="86"/>
      <c r="AG67" s="198" t="s">
        <v>64</v>
      </c>
      <c r="AH67" s="86"/>
      <c r="AI67" s="86"/>
      <c r="AJ67" s="86"/>
      <c r="AK67" s="86" t="s">
        <v>95</v>
      </c>
      <c r="AL67" s="86"/>
      <c r="AM67" s="86"/>
    </row>
    <row r="68" spans="1:39" ht="14.25" customHeight="1" x14ac:dyDescent="0.2">
      <c r="R68" s="86"/>
      <c r="S68" s="86"/>
      <c r="T68" s="86"/>
      <c r="U68" s="86"/>
    </row>
    <row r="69" spans="1:39" ht="14.25" customHeight="1" x14ac:dyDescent="0.2">
      <c r="R69" s="86"/>
      <c r="S69" s="86"/>
      <c r="T69" s="86"/>
      <c r="U69" s="86"/>
    </row>
    <row r="70" spans="1:39" ht="14.25" customHeight="1" x14ac:dyDescent="0.2">
      <c r="A70" s="86" t="s">
        <v>101</v>
      </c>
      <c r="B70" s="86"/>
      <c r="C70" s="86"/>
      <c r="D70" s="86"/>
      <c r="E70" s="86"/>
      <c r="F70" s="86"/>
      <c r="G70" s="86"/>
      <c r="K70" s="86" t="s">
        <v>101</v>
      </c>
      <c r="L70" s="86"/>
      <c r="M70" s="86"/>
      <c r="N70" s="86"/>
      <c r="O70" s="86"/>
      <c r="P70" s="86"/>
      <c r="Q70" s="86"/>
      <c r="R70" s="86"/>
      <c r="S70" s="86"/>
      <c r="T70" s="86"/>
      <c r="U70" s="86" t="s">
        <v>101</v>
      </c>
      <c r="V70" s="86"/>
      <c r="W70" s="86"/>
      <c r="X70" s="86"/>
      <c r="Y70" s="86"/>
      <c r="Z70" s="86"/>
      <c r="AA70" s="86"/>
      <c r="AE70" s="86" t="s">
        <v>101</v>
      </c>
      <c r="AF70" s="86"/>
      <c r="AG70" s="86"/>
      <c r="AH70" s="86"/>
      <c r="AI70" s="86"/>
      <c r="AJ70" s="86"/>
      <c r="AK70" s="86"/>
    </row>
    <row r="71" spans="1:39" ht="14.25" customHeight="1" x14ac:dyDescent="0.2">
      <c r="R71" s="86"/>
      <c r="S71" s="86"/>
      <c r="T71" s="86"/>
    </row>
    <row r="72" spans="1:39" ht="14.25" customHeight="1" x14ac:dyDescent="0.2">
      <c r="A72" s="202" t="s">
        <v>90</v>
      </c>
      <c r="B72" s="482">
        <f>AO13</f>
        <v>22.578420600240001</v>
      </c>
      <c r="C72" s="387" t="s">
        <v>91</v>
      </c>
      <c r="D72" s="400">
        <f>D63</f>
        <v>15354150.419999998</v>
      </c>
      <c r="E72" s="387" t="s">
        <v>92</v>
      </c>
      <c r="F72" s="398"/>
      <c r="G72" s="401" t="s">
        <v>94</v>
      </c>
      <c r="K72" s="202" t="s">
        <v>90</v>
      </c>
      <c r="L72" s="482">
        <f>AO13</f>
        <v>22.578420600240001</v>
      </c>
      <c r="M72" s="387" t="s">
        <v>91</v>
      </c>
      <c r="N72" s="400">
        <f>N63</f>
        <v>13282922.52</v>
      </c>
      <c r="O72" s="387" t="s">
        <v>92</v>
      </c>
      <c r="P72" s="398"/>
      <c r="Q72" s="401" t="s">
        <v>94</v>
      </c>
      <c r="R72" s="86"/>
      <c r="S72" s="86"/>
      <c r="T72" s="86"/>
      <c r="U72" s="202" t="s">
        <v>90</v>
      </c>
      <c r="V72" s="482">
        <f>AO13</f>
        <v>22.578420600240001</v>
      </c>
      <c r="W72" s="387" t="s">
        <v>91</v>
      </c>
      <c r="X72" s="400">
        <f>X63</f>
        <v>7046380.3199999994</v>
      </c>
      <c r="Y72" s="387" t="s">
        <v>92</v>
      </c>
      <c r="Z72" s="398"/>
      <c r="AA72" s="401" t="s">
        <v>94</v>
      </c>
      <c r="AE72" s="202" t="s">
        <v>90</v>
      </c>
      <c r="AF72" s="482">
        <f>AO13</f>
        <v>22.578420600240001</v>
      </c>
      <c r="AG72" s="387" t="s">
        <v>91</v>
      </c>
      <c r="AH72" s="400">
        <f>AH63</f>
        <v>10312377.18</v>
      </c>
      <c r="AI72" s="387" t="s">
        <v>92</v>
      </c>
      <c r="AJ72" s="398"/>
      <c r="AK72" s="401" t="s">
        <v>94</v>
      </c>
    </row>
    <row r="73" spans="1:39" ht="14.25" customHeight="1" x14ac:dyDescent="0.25">
      <c r="A73" s="86"/>
      <c r="B73" s="403"/>
      <c r="C73" s="404" t="s">
        <v>92</v>
      </c>
      <c r="D73" s="402"/>
      <c r="E73" s="197" t="s">
        <v>64</v>
      </c>
      <c r="F73" s="213">
        <v>2000</v>
      </c>
      <c r="G73" s="405" t="s">
        <v>91</v>
      </c>
      <c r="K73" s="86"/>
      <c r="L73" s="403"/>
      <c r="M73" s="404" t="s">
        <v>92</v>
      </c>
      <c r="N73" s="402"/>
      <c r="O73" s="197" t="s">
        <v>64</v>
      </c>
      <c r="P73" s="213">
        <v>2000</v>
      </c>
      <c r="Q73" s="405" t="s">
        <v>91</v>
      </c>
      <c r="R73" s="86"/>
      <c r="S73" s="86"/>
      <c r="T73" s="86"/>
      <c r="U73" s="86"/>
      <c r="V73" s="403"/>
      <c r="W73" s="404" t="s">
        <v>92</v>
      </c>
      <c r="X73" s="402"/>
      <c r="Y73" s="197" t="s">
        <v>64</v>
      </c>
      <c r="Z73" s="213">
        <v>2000</v>
      </c>
      <c r="AA73" s="405" t="s">
        <v>91</v>
      </c>
      <c r="AE73" s="86"/>
      <c r="AF73" s="403"/>
      <c r="AG73" s="404" t="s">
        <v>92</v>
      </c>
      <c r="AH73" s="402"/>
      <c r="AI73" s="197" t="s">
        <v>64</v>
      </c>
      <c r="AJ73" s="213">
        <v>2000</v>
      </c>
      <c r="AK73" s="405" t="s">
        <v>91</v>
      </c>
    </row>
    <row r="74" spans="1:39" ht="14.25" customHeight="1" x14ac:dyDescent="0.2">
      <c r="R74" s="86"/>
      <c r="S74" s="86"/>
      <c r="T74" s="86"/>
    </row>
    <row r="76" spans="1:39" ht="14.25" customHeight="1" x14ac:dyDescent="0.2">
      <c r="A76" s="202" t="s">
        <v>90</v>
      </c>
      <c r="B76" s="410">
        <f>B72*D72/F73</f>
        <v>173336.23307105579</v>
      </c>
      <c r="C76" s="206" t="s">
        <v>94</v>
      </c>
      <c r="D76" s="202" t="s">
        <v>90</v>
      </c>
      <c r="E76" s="410">
        <f>B76*(2000/8760)</f>
        <v>39574.482436314102</v>
      </c>
      <c r="F76" s="206" t="s">
        <v>91</v>
      </c>
      <c r="G76" s="86"/>
      <c r="K76" s="202" t="s">
        <v>90</v>
      </c>
      <c r="L76" s="410">
        <f>L72*N72/P73</f>
        <v>149953.70572847992</v>
      </c>
      <c r="M76" s="206" t="s">
        <v>94</v>
      </c>
      <c r="N76" s="202" t="s">
        <v>90</v>
      </c>
      <c r="O76" s="410">
        <f>L76*(2000/8760)</f>
        <v>34236.00587408217</v>
      </c>
      <c r="P76" s="206" t="s">
        <v>91</v>
      </c>
      <c r="Q76" s="86"/>
      <c r="U76" s="202" t="s">
        <v>90</v>
      </c>
      <c r="V76" s="410">
        <f>V72*X72/Z73</f>
        <v>79548.06928710686</v>
      </c>
      <c r="W76" s="206" t="s">
        <v>94</v>
      </c>
      <c r="X76" s="202" t="s">
        <v>90</v>
      </c>
      <c r="Y76" s="410">
        <f>V76*(2000/8760)</f>
        <v>18161.659654590607</v>
      </c>
      <c r="Z76" s="206" t="s">
        <v>91</v>
      </c>
      <c r="AA76" s="86"/>
      <c r="AE76" s="202" t="s">
        <v>90</v>
      </c>
      <c r="AF76" s="410">
        <f>AF72*AH72/AJ73</f>
        <v>116418.59467917845</v>
      </c>
      <c r="AG76" s="206" t="s">
        <v>94</v>
      </c>
      <c r="AH76" s="202" t="s">
        <v>90</v>
      </c>
      <c r="AI76" s="410">
        <f>AF76*(2000/8760)</f>
        <v>26579.587826296447</v>
      </c>
      <c r="AJ76" s="206" t="s">
        <v>91</v>
      </c>
      <c r="AK76" s="86"/>
    </row>
    <row r="77" spans="1:39" ht="14.25" customHeight="1" x14ac:dyDescent="0.2">
      <c r="A77" s="86"/>
      <c r="B77" s="86"/>
      <c r="C77" s="198" t="s">
        <v>64</v>
      </c>
      <c r="D77" s="86"/>
      <c r="E77" s="86"/>
      <c r="F77" s="198" t="s">
        <v>95</v>
      </c>
      <c r="G77" s="86"/>
      <c r="K77" s="86"/>
      <c r="L77" s="86"/>
      <c r="M77" s="198" t="s">
        <v>64</v>
      </c>
      <c r="N77" s="86"/>
      <c r="O77" s="86"/>
      <c r="P77" s="198" t="s">
        <v>95</v>
      </c>
      <c r="Q77" s="86"/>
      <c r="U77" s="86"/>
      <c r="V77" s="86"/>
      <c r="W77" s="198" t="s">
        <v>64</v>
      </c>
      <c r="X77" s="86"/>
      <c r="Y77" s="86"/>
      <c r="Z77" s="198" t="s">
        <v>95</v>
      </c>
      <c r="AA77" s="86"/>
      <c r="AE77" s="86"/>
      <c r="AF77" s="86"/>
      <c r="AG77" s="198" t="s">
        <v>64</v>
      </c>
      <c r="AH77" s="86"/>
      <c r="AI77" s="86"/>
      <c r="AJ77" s="198" t="s">
        <v>95</v>
      </c>
      <c r="AK77" s="86"/>
    </row>
  </sheetData>
  <mergeCells count="12">
    <mergeCell ref="AE50:AM50"/>
    <mergeCell ref="A51:I51"/>
    <mergeCell ref="K51:S51"/>
    <mergeCell ref="U51:AC51"/>
    <mergeCell ref="A1:I1"/>
    <mergeCell ref="K1:S1"/>
    <mergeCell ref="U1:AC1"/>
    <mergeCell ref="AE1:AM1"/>
    <mergeCell ref="A3:B3"/>
    <mergeCell ref="K3:L3"/>
    <mergeCell ref="U3:V3"/>
    <mergeCell ref="AE3:AF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22394D"/>
  </sheetPr>
  <dimension ref="A1:O1048568"/>
  <sheetViews>
    <sheetView showGridLines="0" zoomScaleNormal="100" workbookViewId="0">
      <pane xSplit="2" ySplit="2" topLeftCell="C3" activePane="bottomRight" state="frozen"/>
      <selection sqref="A1:O1"/>
      <selection pane="topRight" sqref="A1:O1"/>
      <selection pane="bottomLeft" sqref="A1:O1"/>
      <selection pane="bottomRight" sqref="A1:O1"/>
    </sheetView>
  </sheetViews>
  <sheetFormatPr defaultColWidth="8.7109375" defaultRowHeight="12.75" x14ac:dyDescent="0.2"/>
  <cols>
    <col min="1" max="1" width="33" customWidth="1"/>
    <col min="2" max="15" width="15" customWidth="1"/>
    <col min="16376" max="16384" width="11.5703125" customWidth="1"/>
  </cols>
  <sheetData>
    <row r="1" spans="1:15" ht="30" customHeight="1" x14ac:dyDescent="0.2">
      <c r="A1" s="627" t="s">
        <v>362</v>
      </c>
      <c r="B1" s="627"/>
      <c r="C1" s="627"/>
      <c r="D1" s="627"/>
      <c r="E1" s="627"/>
      <c r="F1" s="627"/>
      <c r="G1" s="627"/>
      <c r="H1" s="627"/>
      <c r="I1" s="627"/>
      <c r="J1" s="627"/>
      <c r="K1" s="627"/>
      <c r="L1" s="627"/>
      <c r="M1" s="627"/>
      <c r="N1" s="627"/>
      <c r="O1" s="627"/>
    </row>
    <row r="2" spans="1:15" ht="19.5" customHeight="1" x14ac:dyDescent="0.2">
      <c r="A2" s="528" t="s">
        <v>363</v>
      </c>
      <c r="B2" s="529" t="s">
        <v>364</v>
      </c>
      <c r="C2" s="530">
        <v>45292</v>
      </c>
      <c r="D2" s="531">
        <v>45323</v>
      </c>
      <c r="E2" s="532">
        <v>45352</v>
      </c>
      <c r="F2" s="533">
        <v>45383</v>
      </c>
      <c r="G2" s="534">
        <v>45413</v>
      </c>
      <c r="H2" s="535">
        <v>45444</v>
      </c>
      <c r="I2" s="536">
        <v>45474</v>
      </c>
      <c r="J2" s="537">
        <v>45505</v>
      </c>
      <c r="K2" s="538">
        <v>45536</v>
      </c>
      <c r="L2" s="539">
        <v>45566</v>
      </c>
      <c r="M2" s="540">
        <v>45597</v>
      </c>
      <c r="N2" s="541">
        <v>45627</v>
      </c>
      <c r="O2" s="529" t="s">
        <v>26</v>
      </c>
    </row>
    <row r="3" spans="1:15" ht="21.75" customHeight="1" x14ac:dyDescent="0.2">
      <c r="A3" s="542" t="s">
        <v>17</v>
      </c>
      <c r="B3" s="543" t="s">
        <v>94</v>
      </c>
      <c r="C3" s="544">
        <f t="shared" ref="C3:N3" si="0">SUM(C21,C34,C51,C66,C110,C122,C134,C146,C162)</f>
        <v>59.845897743670058</v>
      </c>
      <c r="D3" s="544">
        <f t="shared" si="0"/>
        <v>80.613093011720821</v>
      </c>
      <c r="E3" s="544">
        <f t="shared" si="0"/>
        <v>72.854191268979918</v>
      </c>
      <c r="F3" s="544">
        <f t="shared" si="0"/>
        <v>70.265983250101471</v>
      </c>
      <c r="G3" s="544">
        <f t="shared" si="0"/>
        <v>143.109275475392</v>
      </c>
      <c r="H3" s="544">
        <f t="shared" si="0"/>
        <v>152.85032765106794</v>
      </c>
      <c r="I3" s="544">
        <f t="shared" si="0"/>
        <v>144.06454832328097</v>
      </c>
      <c r="J3" s="544">
        <f t="shared" si="0"/>
        <v>112.56308255233219</v>
      </c>
      <c r="K3" s="544">
        <f t="shared" si="0"/>
        <v>96.391332943459844</v>
      </c>
      <c r="L3" s="544">
        <f t="shared" si="0"/>
        <v>85.65473692232915</v>
      </c>
      <c r="M3" s="544">
        <f t="shared" si="0"/>
        <v>72.270870901237956</v>
      </c>
      <c r="N3" s="544">
        <f t="shared" si="0"/>
        <v>35.291153551131103</v>
      </c>
      <c r="O3" s="545">
        <f t="shared" ref="O3:O12" si="1">SUM(C3:N3)</f>
        <v>1125.7744935947035</v>
      </c>
    </row>
    <row r="4" spans="1:15" ht="21.75" customHeight="1" x14ac:dyDescent="0.2">
      <c r="A4" s="546" t="s">
        <v>18</v>
      </c>
      <c r="B4" s="547" t="s">
        <v>94</v>
      </c>
      <c r="C4" s="548">
        <f t="shared" ref="C4:N4" si="2">SUM(C22,C52,C80,C98)</f>
        <v>38.817771582630058</v>
      </c>
      <c r="D4" s="548">
        <f t="shared" si="2"/>
        <v>31.28294432129082</v>
      </c>
      <c r="E4" s="548">
        <f t="shared" si="2"/>
        <v>28.422891368187905</v>
      </c>
      <c r="F4" s="548">
        <f t="shared" si="2"/>
        <v>44.003757386256481</v>
      </c>
      <c r="G4" s="548">
        <f t="shared" si="2"/>
        <v>85.910592517067997</v>
      </c>
      <c r="H4" s="548">
        <f t="shared" si="2"/>
        <v>83.613772712882962</v>
      </c>
      <c r="I4" s="548">
        <f t="shared" si="2"/>
        <v>99.941889191196012</v>
      </c>
      <c r="J4" s="548">
        <f t="shared" si="2"/>
        <v>119.2959477143232</v>
      </c>
      <c r="K4" s="548">
        <f t="shared" si="2"/>
        <v>134.26401869387485</v>
      </c>
      <c r="L4" s="548">
        <f t="shared" si="2"/>
        <v>107.76445327492115</v>
      </c>
      <c r="M4" s="548">
        <f t="shared" si="2"/>
        <v>67.720578262701949</v>
      </c>
      <c r="N4" s="548">
        <f t="shared" si="2"/>
        <v>76.543528610112304</v>
      </c>
      <c r="O4" s="545">
        <f t="shared" si="1"/>
        <v>917.58214563544561</v>
      </c>
    </row>
    <row r="5" spans="1:15" ht="21.75" customHeight="1" x14ac:dyDescent="0.2">
      <c r="A5" s="542" t="s">
        <v>40</v>
      </c>
      <c r="B5" s="543" t="s">
        <v>94</v>
      </c>
      <c r="C5" s="544">
        <f t="shared" ref="C5:N5" si="3">SUM(C23,C53,C87)</f>
        <v>7.2456049082700611</v>
      </c>
      <c r="D5" s="544">
        <f t="shared" si="3"/>
        <v>6.0499066641028207</v>
      </c>
      <c r="E5" s="544">
        <f t="shared" si="3"/>
        <v>12.599314914771901</v>
      </c>
      <c r="F5" s="544">
        <f t="shared" si="3"/>
        <v>12.794094357816482</v>
      </c>
      <c r="G5" s="544">
        <f t="shared" si="3"/>
        <v>43.774045606308</v>
      </c>
      <c r="H5" s="544">
        <f t="shared" si="3"/>
        <v>52.039690839242951</v>
      </c>
      <c r="I5" s="544">
        <f t="shared" si="3"/>
        <v>63.268957365396012</v>
      </c>
      <c r="J5" s="544">
        <f t="shared" si="3"/>
        <v>42.594098852323206</v>
      </c>
      <c r="K5" s="544">
        <f t="shared" si="3"/>
        <v>52.124714125374837</v>
      </c>
      <c r="L5" s="544">
        <f t="shared" si="3"/>
        <v>42.331049873165163</v>
      </c>
      <c r="M5" s="544">
        <f t="shared" si="3"/>
        <v>26.380241646021958</v>
      </c>
      <c r="N5" s="544">
        <f t="shared" si="3"/>
        <v>34.531925008145102</v>
      </c>
      <c r="O5" s="545">
        <f t="shared" si="1"/>
        <v>395.73364416093847</v>
      </c>
    </row>
    <row r="6" spans="1:15" ht="21.75" customHeight="1" x14ac:dyDescent="0.2">
      <c r="A6" s="546" t="s">
        <v>365</v>
      </c>
      <c r="B6" s="547" t="s">
        <v>94</v>
      </c>
      <c r="C6" s="548">
        <f t="shared" ref="C6:N6" si="4">SUM(C24,C35,C54,C67,C81,C99,C111,C123,C135,C147,C163)</f>
        <v>605.09185324329769</v>
      </c>
      <c r="D6" s="548">
        <f t="shared" si="4"/>
        <v>787.24160121295643</v>
      </c>
      <c r="E6" s="548">
        <f t="shared" si="4"/>
        <v>627.19683459772648</v>
      </c>
      <c r="F6" s="548">
        <f t="shared" si="4"/>
        <v>653.88942911329661</v>
      </c>
      <c r="G6" s="548">
        <f t="shared" si="4"/>
        <v>1638.6415454272067</v>
      </c>
      <c r="H6" s="548">
        <f t="shared" si="4"/>
        <v>1731.2313357030212</v>
      </c>
      <c r="I6" s="548">
        <f t="shared" si="4"/>
        <v>1771.571049121912</v>
      </c>
      <c r="J6" s="548">
        <f t="shared" si="4"/>
        <v>1554.3057586721463</v>
      </c>
      <c r="K6" s="548">
        <f t="shared" si="4"/>
        <v>1557.7444675629677</v>
      </c>
      <c r="L6" s="548">
        <f t="shared" si="4"/>
        <v>1172.8663542974016</v>
      </c>
      <c r="M6" s="548">
        <f t="shared" si="4"/>
        <v>893.64358219691076</v>
      </c>
      <c r="N6" s="548">
        <f t="shared" si="4"/>
        <v>589.34320043075297</v>
      </c>
      <c r="O6" s="545">
        <f t="shared" si="1"/>
        <v>13582.767011579597</v>
      </c>
    </row>
    <row r="7" spans="1:15" ht="21.75" customHeight="1" x14ac:dyDescent="0.2">
      <c r="A7" s="542" t="s">
        <v>20</v>
      </c>
      <c r="B7" s="543" t="s">
        <v>94</v>
      </c>
      <c r="C7" s="544">
        <f t="shared" ref="C7:N7" si="5">SUM(C25,C36,C55,C68,C82,C103,C112,C124,C136,C148,C164)</f>
        <v>864.88628097383025</v>
      </c>
      <c r="D7" s="544">
        <f t="shared" si="5"/>
        <v>943.15242943896669</v>
      </c>
      <c r="E7" s="544">
        <f t="shared" si="5"/>
        <v>993.79176855176843</v>
      </c>
      <c r="F7" s="544">
        <f t="shared" si="5"/>
        <v>1308.3313341793555</v>
      </c>
      <c r="G7" s="544">
        <f t="shared" si="5"/>
        <v>1937.9315374219311</v>
      </c>
      <c r="H7" s="544">
        <f t="shared" si="5"/>
        <v>1883.4584974625336</v>
      </c>
      <c r="I7" s="544">
        <f t="shared" si="5"/>
        <v>1699.4166966376742</v>
      </c>
      <c r="J7" s="544">
        <f t="shared" si="5"/>
        <v>2028.0258670346816</v>
      </c>
      <c r="K7" s="544">
        <f t="shared" si="5"/>
        <v>2017.8148424035446</v>
      </c>
      <c r="L7" s="544">
        <f t="shared" si="5"/>
        <v>2046.9822345977341</v>
      </c>
      <c r="M7" s="544">
        <f t="shared" si="5"/>
        <v>1550.8605128005363</v>
      </c>
      <c r="N7" s="544">
        <f t="shared" si="5"/>
        <v>1300.8815960726031</v>
      </c>
      <c r="O7" s="545">
        <f t="shared" si="1"/>
        <v>18575.533597575159</v>
      </c>
    </row>
    <row r="8" spans="1:15" ht="21.75" customHeight="1" x14ac:dyDescent="0.2">
      <c r="A8" s="546" t="s">
        <v>22</v>
      </c>
      <c r="B8" s="547" t="s">
        <v>94</v>
      </c>
      <c r="C8" s="548">
        <f t="shared" ref="C8:N8" si="6">SUM(C26,C37,C56,C69,C83,C100,C113,C125,C137,C149,C165)</f>
        <v>10.16543214274731</v>
      </c>
      <c r="D8" s="548">
        <f t="shared" si="6"/>
        <v>11.946799822684172</v>
      </c>
      <c r="E8" s="548">
        <f t="shared" si="6"/>
        <v>10.835372715267329</v>
      </c>
      <c r="F8" s="548">
        <f t="shared" si="6"/>
        <v>12.246591638113681</v>
      </c>
      <c r="G8" s="548">
        <f t="shared" si="6"/>
        <v>18.821100763914</v>
      </c>
      <c r="H8" s="548">
        <f t="shared" si="6"/>
        <v>17.923470712310991</v>
      </c>
      <c r="I8" s="548">
        <f t="shared" si="6"/>
        <v>17.081790314207602</v>
      </c>
      <c r="J8" s="548">
        <f t="shared" si="6"/>
        <v>20.055158961057401</v>
      </c>
      <c r="K8" s="548">
        <f t="shared" si="6"/>
        <v>17.47508661514394</v>
      </c>
      <c r="L8" s="548">
        <f t="shared" si="6"/>
        <v>16.806068100304859</v>
      </c>
      <c r="M8" s="548">
        <f t="shared" si="6"/>
        <v>12.11231387053706</v>
      </c>
      <c r="N8" s="548">
        <f t="shared" si="6"/>
        <v>8.7986631316875492</v>
      </c>
      <c r="O8" s="545">
        <f t="shared" si="1"/>
        <v>174.26784878797591</v>
      </c>
    </row>
    <row r="9" spans="1:15" ht="21.75" customHeight="1" x14ac:dyDescent="0.2">
      <c r="A9" s="542" t="s">
        <v>21</v>
      </c>
      <c r="B9" s="543" t="s">
        <v>94</v>
      </c>
      <c r="C9" s="544">
        <f t="shared" ref="C9:N9" si="7">SUM(C27,C38,C57,C70,C84,C104,C114,C126,C138,C150,C166)</f>
        <v>67.586450170369005</v>
      </c>
      <c r="D9" s="544">
        <f t="shared" si="7"/>
        <v>76.418096110411</v>
      </c>
      <c r="E9" s="544">
        <f t="shared" si="7"/>
        <v>72.075614369104557</v>
      </c>
      <c r="F9" s="544">
        <f t="shared" si="7"/>
        <v>65.296343125497899</v>
      </c>
      <c r="G9" s="544">
        <f t="shared" si="7"/>
        <v>95.455824514134846</v>
      </c>
      <c r="H9" s="544">
        <f t="shared" si="7"/>
        <v>107.42047952544199</v>
      </c>
      <c r="I9" s="544">
        <f t="shared" si="7"/>
        <v>100.81235959356162</v>
      </c>
      <c r="J9" s="544">
        <f t="shared" si="7"/>
        <v>103.81812676773316</v>
      </c>
      <c r="K9" s="544">
        <f t="shared" si="7"/>
        <v>87.216229307436009</v>
      </c>
      <c r="L9" s="544">
        <f t="shared" si="7"/>
        <v>80.731446069980009</v>
      </c>
      <c r="M9" s="544">
        <f t="shared" si="7"/>
        <v>80.262797751127238</v>
      </c>
      <c r="N9" s="544">
        <f t="shared" si="7"/>
        <v>44.40037429339224</v>
      </c>
      <c r="O9" s="545">
        <f t="shared" si="1"/>
        <v>981.49414159818957</v>
      </c>
    </row>
    <row r="10" spans="1:15" ht="21.75" customHeight="1" x14ac:dyDescent="0.2">
      <c r="A10" s="546" t="s">
        <v>42</v>
      </c>
      <c r="B10" s="547" t="s">
        <v>94</v>
      </c>
      <c r="C10" s="548">
        <f t="shared" ref="C10:N10" si="8">SUM(C28,C58,C88)</f>
        <v>22.898739199410794</v>
      </c>
      <c r="D10" s="548">
        <f t="shared" si="8"/>
        <v>14.961382338169912</v>
      </c>
      <c r="E10" s="548">
        <f t="shared" si="8"/>
        <v>8.5451601970858206</v>
      </c>
      <c r="F10" s="548">
        <f t="shared" si="8"/>
        <v>12.852669609386131</v>
      </c>
      <c r="G10" s="548">
        <f t="shared" si="8"/>
        <v>36.43980220604309</v>
      </c>
      <c r="H10" s="548">
        <f t="shared" si="8"/>
        <v>38.935319224494862</v>
      </c>
      <c r="I10" s="548">
        <f t="shared" si="8"/>
        <v>48.040727811434856</v>
      </c>
      <c r="J10" s="548">
        <f t="shared" si="8"/>
        <v>43.493337542192378</v>
      </c>
      <c r="K10" s="548">
        <f t="shared" si="8"/>
        <v>52.217709362653608</v>
      </c>
      <c r="L10" s="548">
        <f t="shared" si="8"/>
        <v>29.895847880162567</v>
      </c>
      <c r="M10" s="548">
        <f t="shared" si="8"/>
        <v>17.079167597551734</v>
      </c>
      <c r="N10" s="548">
        <f t="shared" si="8"/>
        <v>15.135822685800143</v>
      </c>
      <c r="O10" s="545">
        <f t="shared" si="1"/>
        <v>340.49568565438597</v>
      </c>
    </row>
    <row r="11" spans="1:15" ht="21.75" customHeight="1" x14ac:dyDescent="0.2">
      <c r="A11" s="542" t="s">
        <v>23</v>
      </c>
      <c r="B11" s="543" t="s">
        <v>94</v>
      </c>
      <c r="C11" s="549">
        <f t="shared" ref="C11:N11" si="9">SUM(C29,C39,C59,C71,C85,C101,C115,C127,C139,C151,C167)</f>
        <v>2.3863894210480005E-2</v>
      </c>
      <c r="D11" s="549">
        <f t="shared" si="9"/>
        <v>2.6869408374375004E-2</v>
      </c>
      <c r="E11" s="549">
        <f t="shared" si="9"/>
        <v>2.2720708514892007E-2</v>
      </c>
      <c r="F11" s="549">
        <f t="shared" si="9"/>
        <v>2.9617549165269999E-2</v>
      </c>
      <c r="G11" s="549">
        <f t="shared" si="9"/>
        <v>4.8446987105329999E-2</v>
      </c>
      <c r="H11" s="549">
        <f t="shared" si="9"/>
        <v>4.1060407160850007E-2</v>
      </c>
      <c r="I11" s="549">
        <f t="shared" si="9"/>
        <v>3.6940288313210008E-2</v>
      </c>
      <c r="J11" s="549">
        <f t="shared" si="9"/>
        <v>4.7334262085455006E-2</v>
      </c>
      <c r="K11" s="549">
        <f t="shared" si="9"/>
        <v>4.4265040581274999E-2</v>
      </c>
      <c r="L11" s="549">
        <f t="shared" si="9"/>
        <v>4.2399456515129996E-2</v>
      </c>
      <c r="M11" s="549">
        <f t="shared" si="9"/>
        <v>2.5222607173039997E-2</v>
      </c>
      <c r="N11" s="549">
        <f t="shared" si="9"/>
        <v>2.1782721501065E-2</v>
      </c>
      <c r="O11" s="550">
        <f t="shared" si="1"/>
        <v>0.41052333070037195</v>
      </c>
    </row>
    <row r="12" spans="1:15" ht="21.75" customHeight="1" x14ac:dyDescent="0.2">
      <c r="A12" s="551" t="s">
        <v>24</v>
      </c>
      <c r="B12" s="552" t="s">
        <v>94</v>
      </c>
      <c r="C12" s="553">
        <f t="shared" ref="C12:N12" si="10">SUM(C30,C40,C60,C72,C86,C102,C116,C128,C140,C152,C168)</f>
        <v>444908.22477975138</v>
      </c>
      <c r="D12" s="553">
        <f t="shared" si="10"/>
        <v>479252.00503369782</v>
      </c>
      <c r="E12" s="553">
        <f t="shared" si="10"/>
        <v>486809.35056644544</v>
      </c>
      <c r="F12" s="553">
        <f t="shared" si="10"/>
        <v>547154.62659349805</v>
      </c>
      <c r="G12" s="553">
        <f t="shared" si="10"/>
        <v>860662.93445889407</v>
      </c>
      <c r="H12" s="553">
        <f t="shared" si="10"/>
        <v>884961.82807933225</v>
      </c>
      <c r="I12" s="553">
        <f t="shared" si="10"/>
        <v>849299.90605443949</v>
      </c>
      <c r="J12" s="553">
        <f t="shared" si="10"/>
        <v>889219.35738685168</v>
      </c>
      <c r="K12" s="553">
        <f t="shared" si="10"/>
        <v>863380.71325514559</v>
      </c>
      <c r="L12" s="553">
        <f t="shared" si="10"/>
        <v>817581.28618226643</v>
      </c>
      <c r="M12" s="553">
        <f t="shared" si="10"/>
        <v>645208.16802315332</v>
      </c>
      <c r="N12" s="553">
        <f t="shared" si="10"/>
        <v>521603.59436829056</v>
      </c>
      <c r="O12" s="554">
        <f t="shared" si="1"/>
        <v>8290041.9947817652</v>
      </c>
    </row>
    <row r="13" spans="1:15" ht="31.5" customHeight="1" x14ac:dyDescent="0.2">
      <c r="A13" s="628" t="s">
        <v>366</v>
      </c>
      <c r="B13" s="628"/>
      <c r="C13" s="628"/>
      <c r="D13" s="628"/>
      <c r="E13" s="628"/>
      <c r="F13" s="628"/>
      <c r="G13" s="628"/>
      <c r="H13" s="628"/>
      <c r="I13" s="628"/>
      <c r="J13" s="628"/>
      <c r="K13" s="628"/>
      <c r="L13" s="628"/>
      <c r="M13" s="628"/>
      <c r="N13" s="628"/>
      <c r="O13" s="628"/>
    </row>
    <row r="14" spans="1:15" ht="21.75" customHeight="1" x14ac:dyDescent="0.2">
      <c r="A14" s="626" t="s">
        <v>367</v>
      </c>
      <c r="B14" s="626"/>
      <c r="C14" s="555"/>
      <c r="D14" s="555"/>
      <c r="E14" s="555"/>
      <c r="F14" s="555"/>
      <c r="G14" s="555"/>
      <c r="H14" s="555"/>
      <c r="I14" s="555"/>
      <c r="J14" s="626"/>
      <c r="K14" s="626"/>
      <c r="L14" s="555"/>
      <c r="M14" s="555"/>
      <c r="N14" s="555"/>
      <c r="O14" s="555"/>
    </row>
    <row r="15" spans="1:15" ht="21.75" hidden="1" customHeight="1" x14ac:dyDescent="0.2">
      <c r="A15" s="543" t="s">
        <v>368</v>
      </c>
      <c r="B15" s="543" t="s">
        <v>92</v>
      </c>
      <c r="C15" s="556">
        <f>'Costa Sur'!$D$5</f>
        <v>0</v>
      </c>
      <c r="D15" s="556">
        <f>'Costa Sur'!$D$6</f>
        <v>1867.74</v>
      </c>
      <c r="E15" s="556">
        <f>'Costa Sur'!$D$7</f>
        <v>0</v>
      </c>
      <c r="F15" s="556">
        <f>'Costa Sur'!$D$8</f>
        <v>789179.16</v>
      </c>
      <c r="G15" s="556">
        <f>'Costa Sur'!$D$9</f>
        <v>10722631.5</v>
      </c>
      <c r="H15" s="556">
        <f>'Costa Sur'!$D$10</f>
        <v>4873351.1399999997</v>
      </c>
      <c r="I15" s="556">
        <f>'Costa Sur'!$D$11</f>
        <v>5422408.3200000003</v>
      </c>
      <c r="J15" s="556">
        <f>'Costa Sur'!$D$12</f>
        <v>6083690.3399999999</v>
      </c>
      <c r="K15" s="556">
        <f>'Costa Sur'!$D$13</f>
        <v>6636131.46</v>
      </c>
      <c r="L15" s="556">
        <f>'Costa Sur'!$D$14</f>
        <v>2387110.3199999998</v>
      </c>
      <c r="M15" s="556">
        <f>'Costa Sur'!$D$15</f>
        <v>310128</v>
      </c>
      <c r="N15" s="556">
        <f>'Costa Sur'!$D$16</f>
        <v>567774.9</v>
      </c>
      <c r="O15" s="557">
        <f>SUM(C15:N15)</f>
        <v>37794272.879999995</v>
      </c>
    </row>
    <row r="16" spans="1:15" ht="21.75" hidden="1" customHeight="1" x14ac:dyDescent="0.2">
      <c r="A16" s="543" t="s">
        <v>369</v>
      </c>
      <c r="B16" s="543" t="s">
        <v>73</v>
      </c>
      <c r="C16" s="558">
        <f>'Costa Sur'!$B$42</f>
        <v>0</v>
      </c>
      <c r="D16" s="558">
        <f>'Costa Sur'!$B$43</f>
        <v>71709</v>
      </c>
      <c r="E16" s="558">
        <f>'Costa Sur'!$B$44</f>
        <v>853651500</v>
      </c>
      <c r="F16" s="558">
        <f>'Costa Sur'!$B$45</f>
        <v>1876856600</v>
      </c>
      <c r="G16" s="558">
        <f>'Costa Sur'!$B$46</f>
        <v>265688800</v>
      </c>
      <c r="H16" s="558">
        <f>'Costa Sur'!$B$47</f>
        <v>785814100</v>
      </c>
      <c r="I16" s="558">
        <f>'Costa Sur'!$B$48</f>
        <v>732909900</v>
      </c>
      <c r="J16" s="558">
        <f>'Costa Sur'!$B$49</f>
        <v>903647500</v>
      </c>
      <c r="K16" s="558">
        <f>'Costa Sur'!$B$50</f>
        <v>1024263900</v>
      </c>
      <c r="L16" s="558">
        <f>'Costa Sur'!$B$51</f>
        <v>1398501544</v>
      </c>
      <c r="M16" s="558">
        <f>'Costa Sur'!$B$52</f>
        <v>1888307912.5</v>
      </c>
      <c r="N16" s="558">
        <f>'Costa Sur'!$B$53</f>
        <v>1398534054.4000001</v>
      </c>
      <c r="O16" s="559">
        <f>SUM(C16:N16)</f>
        <v>11128247519.9</v>
      </c>
    </row>
    <row r="17" spans="1:15" ht="21.75" hidden="1" customHeight="1" x14ac:dyDescent="0.2">
      <c r="A17" s="543" t="s">
        <v>370</v>
      </c>
      <c r="B17" s="543" t="s">
        <v>371</v>
      </c>
      <c r="C17" s="560">
        <f>'Costa Sur'!$H$5</f>
        <v>0.5</v>
      </c>
      <c r="D17" s="560">
        <f>'Costa Sur'!$H$6</f>
        <v>0.5</v>
      </c>
      <c r="E17" s="560">
        <f>'Costa Sur'!$H$7</f>
        <v>0.49</v>
      </c>
      <c r="F17" s="560">
        <f>'Costa Sur'!$H$8</f>
        <v>0.49</v>
      </c>
      <c r="G17" s="560">
        <f>'Costa Sur'!$H$9</f>
        <v>0.49</v>
      </c>
      <c r="H17" s="560">
        <f>'Costa Sur'!$H$10</f>
        <v>0.49</v>
      </c>
      <c r="I17" s="560">
        <f>'Costa Sur'!$H$11</f>
        <v>0.5</v>
      </c>
      <c r="J17" s="560">
        <f>'Costa Sur'!$H$12</f>
        <v>0.5</v>
      </c>
      <c r="K17" s="560">
        <f>'Costa Sur'!$H$13</f>
        <v>0.5</v>
      </c>
      <c r="L17" s="560">
        <f>'Costa Sur'!$H$14</f>
        <v>0.49</v>
      </c>
      <c r="M17" s="560">
        <f>'Costa Sur'!$H$15</f>
        <v>0.49</v>
      </c>
      <c r="N17" s="560">
        <f>'Costa Sur'!$H$16</f>
        <v>0.49</v>
      </c>
      <c r="O17" s="561">
        <f>IF(O15=0,0,SUMPRODUCT(C17:N17,C15:N15)/O15)</f>
        <v>0.49480075325634892</v>
      </c>
    </row>
    <row r="18" spans="1:15" ht="21.75" hidden="1" customHeight="1" x14ac:dyDescent="0.2">
      <c r="A18" s="543" t="s">
        <v>372</v>
      </c>
      <c r="B18" s="543" t="s">
        <v>92</v>
      </c>
      <c r="C18" s="556">
        <f>'Costa Sur'!$E$5</f>
        <v>0</v>
      </c>
      <c r="D18" s="556">
        <f>'Costa Sur'!$E$6</f>
        <v>0</v>
      </c>
      <c r="E18" s="556">
        <f>'Costa Sur'!$E$7</f>
        <v>0</v>
      </c>
      <c r="F18" s="556">
        <f>'Costa Sur'!$E$8</f>
        <v>0</v>
      </c>
      <c r="G18" s="556">
        <f>'Costa Sur'!$E$9</f>
        <v>3992586.78</v>
      </c>
      <c r="H18" s="556">
        <f>'Costa Sur'!$E$10</f>
        <v>10911365.220000001</v>
      </c>
      <c r="I18" s="556">
        <f>'Costa Sur'!$E$11</f>
        <v>14119245</v>
      </c>
      <c r="J18" s="556">
        <f>'Costa Sur'!$E$12</f>
        <v>4551498.84</v>
      </c>
      <c r="K18" s="556">
        <f>'Costa Sur'!$E$13</f>
        <v>9927512.2799999993</v>
      </c>
      <c r="L18" s="556">
        <f>'Costa Sur'!$E$14</f>
        <v>7214789.4000000004</v>
      </c>
      <c r="M18" s="556">
        <f>'Costa Sur'!$E$15</f>
        <v>2486694</v>
      </c>
      <c r="N18" s="556">
        <f>'Costa Sur'!$E$16</f>
        <v>7663387.2000000002</v>
      </c>
      <c r="O18" s="557">
        <f>SUM(C18:N18)</f>
        <v>60867078.720000006</v>
      </c>
    </row>
    <row r="19" spans="1:15" ht="21.75" hidden="1" customHeight="1" x14ac:dyDescent="0.2">
      <c r="A19" s="543" t="s">
        <v>373</v>
      </c>
      <c r="B19" s="543" t="s">
        <v>73</v>
      </c>
      <c r="C19" s="558">
        <f>'Costa Sur'!$C$42</f>
        <v>274565</v>
      </c>
      <c r="D19" s="558">
        <f>'Costa Sur'!$C$43</f>
        <v>0</v>
      </c>
      <c r="E19" s="558">
        <f>'Costa Sur'!$C$44</f>
        <v>0</v>
      </c>
      <c r="F19" s="558">
        <f>'Costa Sur'!$C$45</f>
        <v>0</v>
      </c>
      <c r="G19" s="558">
        <f>'Costa Sur'!$C$46</f>
        <v>369161400</v>
      </c>
      <c r="H19" s="558">
        <f>'Costa Sur'!$C$47</f>
        <v>554304900</v>
      </c>
      <c r="I19" s="558">
        <f>'Costa Sur'!$C$48</f>
        <v>63152000</v>
      </c>
      <c r="J19" s="558">
        <f>'Costa Sur'!$C$49</f>
        <v>892527600</v>
      </c>
      <c r="K19" s="558">
        <f>'Costa Sur'!$C$50</f>
        <v>587255900</v>
      </c>
      <c r="L19" s="558">
        <f>'Costa Sur'!$C$51</f>
        <v>1190046839</v>
      </c>
      <c r="M19" s="558">
        <f>'Costa Sur'!$C$52</f>
        <v>1656996722.5</v>
      </c>
      <c r="N19" s="558">
        <f>'Costa Sur'!$C$53</f>
        <v>840587756.20000005</v>
      </c>
      <c r="O19" s="559">
        <f>SUM(C19:N19)</f>
        <v>6154307682.6999998</v>
      </c>
    </row>
    <row r="20" spans="1:15" ht="21.75" hidden="1" customHeight="1" x14ac:dyDescent="0.2">
      <c r="A20" s="543" t="s">
        <v>374</v>
      </c>
      <c r="B20" s="543" t="s">
        <v>371</v>
      </c>
      <c r="C20" s="560">
        <f>'Costa Sur'!$I$5</f>
        <v>0.5</v>
      </c>
      <c r="D20" s="560">
        <f>'Costa Sur'!$I$6</f>
        <v>0.5</v>
      </c>
      <c r="E20" s="560">
        <f>'Costa Sur'!$I$7</f>
        <v>0.49</v>
      </c>
      <c r="F20" s="560">
        <f>'Costa Sur'!$I$8</f>
        <v>0.49</v>
      </c>
      <c r="G20" s="560">
        <f>'Costa Sur'!$I$9</f>
        <v>0.49</v>
      </c>
      <c r="H20" s="560">
        <f>'Costa Sur'!$I$10</f>
        <v>0.49</v>
      </c>
      <c r="I20" s="560">
        <f>'Costa Sur'!$I$11</f>
        <v>0.5</v>
      </c>
      <c r="J20" s="560">
        <f>'Costa Sur'!$I$12</f>
        <v>0.5</v>
      </c>
      <c r="K20" s="560">
        <f>'Costa Sur'!$I$13</f>
        <v>0.5</v>
      </c>
      <c r="L20" s="560">
        <f>'Costa Sur'!$I$14</f>
        <v>0.49</v>
      </c>
      <c r="M20" s="560">
        <f>'Costa Sur'!$I$15</f>
        <v>0.49</v>
      </c>
      <c r="N20" s="560">
        <f>'Costa Sur'!$I$16</f>
        <v>0.49</v>
      </c>
      <c r="O20" s="561">
        <f>IF(O18=0,0,SUMPRODUCT(C20:N20,C18:N18)/O18)</f>
        <v>0.49469847686490048</v>
      </c>
    </row>
    <row r="21" spans="1:15" ht="21.75" customHeight="1" x14ac:dyDescent="0.2">
      <c r="A21" s="543" t="s">
        <v>17</v>
      </c>
      <c r="B21" s="543" t="s">
        <v>94</v>
      </c>
      <c r="C21" s="544">
        <f>((((C15)*'CS 5'!$E$38*'CS 5'!$H$38+(C16)*'CS 5'!$O$38*'CS 5'!$R$38/1000000)/2000))+((((C18)*'CS6'!$E$38*'CS6'!$H$38+(C19)*'CS6'!$O$38*'CS6'!$R$38/1000000)/2000))</f>
        <v>7.1386900000000001E-4</v>
      </c>
      <c r="D21" s="544">
        <f>((((D15)*'CS 5'!$E$38*'CS 5'!$H$38+(D16)*'CS 5'!$O$38*'CS 5'!$R$38/1000000)/2000))+((((D18)*'CS6'!$E$38*'CS6'!$H$38+(D19)*'CS6'!$O$38*'CS6'!$R$38/1000000)/2000))</f>
        <v>4.0386571500000005E-3</v>
      </c>
      <c r="E21" s="544">
        <f>((((E15)*'CS 5'!$E$38*'CS 5'!$H$38+(E16)*'CS 5'!$O$38*'CS 5'!$R$38/1000000)/2000))+((((E18)*'CS6'!$E$38*'CS6'!$H$38+(E19)*'CS6'!$O$38*'CS6'!$R$38/1000000)/2000))</f>
        <v>2.2194938999999998</v>
      </c>
      <c r="F21" s="544">
        <f>((((F15)*'CS 5'!$E$38*'CS 5'!$H$38+(F16)*'CS 5'!$O$38*'CS 5'!$R$38/1000000)/2000))+((((F18)*'CS6'!$E$38*'CS6'!$H$38+(F19)*'CS6'!$O$38*'CS6'!$R$38/1000000)/2000))</f>
        <v>6.5075091775000002</v>
      </c>
      <c r="G21" s="544">
        <f>((((G15)*'CS 5'!$E$38*'CS 5'!$H$38+(G16)*'CS 5'!$O$38*'CS 5'!$R$38/1000000)/2000))+((((G18)*'CS6'!$E$38*'CS6'!$H$38+(G19)*'CS6'!$O$38*'CS6'!$R$38/1000000)/2000))</f>
        <v>32.000748222499993</v>
      </c>
      <c r="H21" s="544">
        <f>((((H15)*'CS 5'!$E$38*'CS 5'!$H$38+(H16)*'CS 5'!$O$38*'CS 5'!$R$38/1000000)/2000))+((((H18)*'CS6'!$E$38*'CS6'!$H$38+(H19)*'CS6'!$O$38*'CS6'!$R$38/1000000)/2000))</f>
        <v>36.040286892499999</v>
      </c>
      <c r="I21" s="544">
        <f>((((I15)*'CS 5'!$E$38*'CS 5'!$H$38+(I16)*'CS 5'!$O$38*'CS 5'!$R$38/1000000)/2000))+((((I18)*'CS6'!$E$38*'CS6'!$H$38+(I19)*'CS6'!$O$38*'CS6'!$R$38/1000000)/2000))</f>
        <v>42.3744209125</v>
      </c>
      <c r="J21" s="544">
        <f>((((J15)*'CS 5'!$E$38*'CS 5'!$H$38+(J16)*'CS 5'!$O$38*'CS 5'!$R$38/1000000)/2000))+((((J18)*'CS6'!$E$38*'CS6'!$H$38+(J19)*'CS6'!$O$38*'CS6'!$R$38/1000000)/2000))</f>
        <v>26.60513294375</v>
      </c>
      <c r="K21" s="544">
        <f>((((K15)*'CS 5'!$E$38*'CS 5'!$H$38+(K16)*'CS 5'!$O$38*'CS 5'!$R$38/1000000)/2000))+((((K18)*'CS6'!$E$38*'CS6'!$H$38+(K19)*'CS6'!$O$38*'CS6'!$R$38/1000000)/2000))</f>
        <v>38.352466693750003</v>
      </c>
      <c r="L21" s="544">
        <f>((((L15)*'CS 5'!$E$38*'CS 5'!$H$38+(L16)*'CS 5'!$O$38*'CS 5'!$R$38/1000000)/2000))+((((L18)*'CS6'!$E$38*'CS6'!$H$38+(L19)*'CS6'!$O$38*'CS6'!$R$38/1000000)/2000))</f>
        <v>26.534143968299997</v>
      </c>
      <c r="M21" s="544">
        <f>((((M15)*'CS 5'!$E$38*'CS 5'!$H$38+(M16)*'CS 5'!$O$38*'CS 5'!$R$38/1000000)/2000))+((((M18)*'CS6'!$E$38*'CS6'!$H$38+(M19)*'CS6'!$O$38*'CS6'!$R$38/1000000)/2000))</f>
        <v>14.986237426000002</v>
      </c>
      <c r="N21" s="544">
        <f>((((N15)*'CS 5'!$E$38*'CS 5'!$H$38+(N16)*'CS 5'!$O$38*'CS 5'!$R$38/1000000)/2000))+((((N18)*'CS6'!$E$38*'CS6'!$H$38+(N19)*'CS6'!$O$38*'CS6'!$R$38/1000000)/2000))</f>
        <v>22.798488538810002</v>
      </c>
      <c r="O21" s="562">
        <f t="shared" ref="O21:O30" si="11">SUM(C21:N21)</f>
        <v>248.42368120175999</v>
      </c>
    </row>
    <row r="22" spans="1:15" ht="21.75" customHeight="1" x14ac:dyDescent="0.2">
      <c r="A22" s="543" t="s">
        <v>18</v>
      </c>
      <c r="B22" s="543" t="s">
        <v>94</v>
      </c>
      <c r="C22" s="544">
        <f>((((C15)*'CS 5'!$E$44*'CS 5'!$H$44+(C16)*'CS 5'!$O$44*'CS 5'!$R$44/1000000)/2000))+((((C18)*'CS6'!$E$44*'CS6'!$H$44+(C19)*'CS6'!$O$44*'CS6'!$R$44/1000000)/2000))</f>
        <v>1.1564677800000001E-3</v>
      </c>
      <c r="D22" s="544">
        <f>((((D15)*'CS 5'!$E$44*'CS 5'!$H$44+(D16)*'CS 5'!$O$44*'CS 5'!$R$44/1000000)/2000))+((((D18)*'CS6'!$E$44*'CS6'!$H$44+(D19)*'CS6'!$O$44*'CS6'!$R$44/1000000)/2000))</f>
        <v>5.9052583080000005E-3</v>
      </c>
      <c r="E22" s="544">
        <f>((((E15)*'CS 5'!$E$44*'CS 5'!$H$44+(E16)*'CS 5'!$O$44*'CS 5'!$R$44/1000000)/2000))+((((E18)*'CS6'!$E$44*'CS6'!$H$44+(E19)*'CS6'!$O$44*'CS6'!$R$44/1000000)/2000))</f>
        <v>3.595580118</v>
      </c>
      <c r="F22" s="544">
        <f>((((F15)*'CS 5'!$E$44*'CS 5'!$H$44+(F16)*'CS 5'!$O$44*'CS 5'!$R$44/1000000)/2000))+((((F18)*'CS6'!$E$44*'CS6'!$H$44+(F19)*'CS6'!$O$44*'CS6'!$R$44/1000000)/2000))</f>
        <v>10.272857479200001</v>
      </c>
      <c r="G22" s="544">
        <f>((((G15)*'CS 5'!$E$44*'CS 5'!$H$44+(G16)*'CS 5'!$O$44*'CS 5'!$R$44/1000000)/2000))+((((G18)*'CS6'!$E$44*'CS6'!$H$44+(G19)*'CS6'!$O$44*'CS6'!$R$44/1000000)/2000))</f>
        <v>46.819643882400001</v>
      </c>
      <c r="H22" s="544">
        <f>((((H15)*'CS 5'!$E$44*'CS 5'!$H$44+(H16)*'CS 5'!$O$44*'CS 5'!$R$44/1000000)/2000))+((((H18)*'CS6'!$E$44*'CS6'!$H$44+(H19)*'CS6'!$O$44*'CS6'!$R$44/1000000)/2000))</f>
        <v>52.998730308000006</v>
      </c>
      <c r="I22" s="544">
        <f>((((I15)*'CS 5'!$E$44*'CS 5'!$H$44+(I16)*'CS 5'!$O$44*'CS 5'!$R$44/1000000)/2000))+((((I18)*'CS6'!$E$44*'CS6'!$H$44+(I19)*'CS6'!$O$44*'CS6'!$R$44/1000000)/2000))</f>
        <v>61.977972682800008</v>
      </c>
      <c r="J22" s="544">
        <f>((((J15)*'CS 5'!$E$44*'CS 5'!$H$44+(J16)*'CS 5'!$O$44*'CS 5'!$R$44/1000000)/2000))+((((J18)*'CS6'!$E$44*'CS6'!$H$44+(J19)*'CS6'!$O$44*'CS6'!$R$44/1000000)/2000))</f>
        <v>39.4710570612</v>
      </c>
      <c r="K22" s="544">
        <f>((((K15)*'CS 5'!$E$44*'CS 5'!$H$44+(K16)*'CS 5'!$O$44*'CS 5'!$R$44/1000000)/2000))+((((K18)*'CS6'!$E$44*'CS6'!$H$44+(K19)*'CS6'!$O$44*'CS6'!$R$44/1000000)/2000))</f>
        <v>56.478652617600005</v>
      </c>
      <c r="L22" s="544">
        <f>((((L15)*'CS 5'!$E$44*'CS 5'!$H$44+(L16)*'CS 5'!$O$44*'CS 5'!$R$44/1000000)/2000))+((((L18)*'CS6'!$E$44*'CS6'!$H$44+(L19)*'CS6'!$O$44*'CS6'!$R$44/1000000)/2000))</f>
        <v>39.708664949195999</v>
      </c>
      <c r="M22" s="544">
        <f>((((M15)*'CS 5'!$E$44*'CS 5'!$H$44+(M16)*'CS 5'!$O$44*'CS 5'!$R$44/1000000)/2000))+((((M18)*'CS6'!$E$44*'CS6'!$H$44+(M19)*'CS6'!$O$44*'CS6'!$R$44/1000000)/2000))</f>
        <v>23.323289122619997</v>
      </c>
      <c r="N22" s="544">
        <f>((((N15)*'CS 5'!$E$44*'CS 5'!$H$44+(N16)*'CS 5'!$O$44*'CS 5'!$R$44/1000000)/2000))+((((N18)*'CS6'!$E$44*'CS6'!$H$44+(N19)*'CS6'!$O$44*'CS6'!$R$44/1000000)/2000))</f>
        <v>34.124667366247202</v>
      </c>
      <c r="O22" s="562">
        <f t="shared" si="11"/>
        <v>368.77817731335125</v>
      </c>
    </row>
    <row r="23" spans="1:15" ht="21.75" customHeight="1" x14ac:dyDescent="0.2">
      <c r="A23" s="543" t="s">
        <v>40</v>
      </c>
      <c r="B23" s="543" t="s">
        <v>94</v>
      </c>
      <c r="C23" s="544">
        <f>((((C15)*'CS 5'!$E$50*'CS 5'!$H$50+(C16)*'CS 5'!$O$50*'CS 5'!$R$50/1000000)/2000))+((((C18)*'CS6'!$E$50*'CS6'!$H$50+(C19)*'CS6'!$O$50*'CS6'!$R$50/1000000)/2000))</f>
        <v>1.0708035000000001E-3</v>
      </c>
      <c r="D23" s="544">
        <f>((((D15)*'CS 5'!$E$50*'CS 5'!$H$50+(D16)*'CS 5'!$O$50*'CS 5'!$R$50/1000000)/2000))+((((D18)*'CS6'!$E$50*'CS6'!$H$50+(D19)*'CS6'!$O$50*'CS6'!$R$50/1000000)/2000))</f>
        <v>4.9023216000000005E-3</v>
      </c>
      <c r="E23" s="544">
        <f>((((E15)*'CS 5'!$E$50*'CS 5'!$H$50+(E16)*'CS 5'!$O$50*'CS 5'!$R$50/1000000)/2000))+((((E18)*'CS6'!$E$50*'CS6'!$H$50+(E19)*'CS6'!$O$50*'CS6'!$R$50/1000000)/2000))</f>
        <v>3.3292408500000001</v>
      </c>
      <c r="F23" s="544">
        <f>((((F15)*'CS 5'!$E$50*'CS 5'!$H$50+(F16)*'CS 5'!$O$50*'CS 5'!$R$50/1000000)/2000))+((((F18)*'CS6'!$E$50*'CS6'!$H$50+(F19)*'CS6'!$O$50*'CS6'!$R$50/1000000)/2000))</f>
        <v>9.2729591610000011</v>
      </c>
      <c r="G23" s="544">
        <f>((((G15)*'CS 5'!$E$50*'CS 5'!$H$50+(G16)*'CS 5'!$O$50*'CS 5'!$R$50/1000000)/2000))+((((G18)*'CS6'!$E$50*'CS6'!$H$50+(G19)*'CS6'!$O$50*'CS6'!$R$50/1000000)/2000))</f>
        <v>38.896081023000001</v>
      </c>
      <c r="H23" s="544">
        <f>((((H15)*'CS 5'!$E$50*'CS 5'!$H$50+(H16)*'CS 5'!$O$50*'CS 5'!$R$50/1000000)/2000))+((((H18)*'CS6'!$E$50*'CS6'!$H$50+(H19)*'CS6'!$O$50*'CS6'!$R$50/1000000)/2000))</f>
        <v>44.293637091000008</v>
      </c>
      <c r="I23" s="544">
        <f>((((I15)*'CS 5'!$E$50*'CS 5'!$H$50+(I16)*'CS 5'!$O$50*'CS 5'!$R$50/1000000)/2000))+((((I18)*'CS6'!$E$50*'CS6'!$H$50+(I19)*'CS6'!$O$50*'CS6'!$R$50/1000000)/2000))</f>
        <v>51.470233377000014</v>
      </c>
      <c r="J23" s="544">
        <f>((((J15)*'CS 5'!$E$50*'CS 5'!$H$50+(J16)*'CS 5'!$O$50*'CS 5'!$R$50/1000000)/2000))+((((J18)*'CS6'!$E$50*'CS6'!$H$50+(J19)*'CS6'!$O$50*'CS6'!$R$50/1000000)/2000))</f>
        <v>33.327176110500005</v>
      </c>
      <c r="K23" s="544">
        <f>((((K15)*'CS 5'!$E$50*'CS 5'!$H$50+(K16)*'CS 5'!$O$50*'CS 5'!$R$50/1000000)/2000))+((((K18)*'CS6'!$E$50*'CS6'!$H$50+(K19)*'CS6'!$O$50*'CS6'!$R$50/1000000)/2000))</f>
        <v>47.279945476499996</v>
      </c>
      <c r="L23" s="544">
        <f>((((L15)*'CS 5'!$E$50*'CS 5'!$H$50+(L16)*'CS 5'!$O$50*'CS 5'!$R$50/1000000)/2000))+((((L18)*'CS6'!$E$50*'CS6'!$H$50+(L19)*'CS6'!$O$50*'CS6'!$R$50/1000000)/2000))</f>
        <v>33.860040500700002</v>
      </c>
      <c r="M23" s="544">
        <f>((((M15)*'CS 5'!$E$50*'CS 5'!$H$50+(M16)*'CS 5'!$O$50*'CS 5'!$R$50/1000000)/2000))+((((M18)*'CS6'!$E$50*'CS6'!$H$50+(M19)*'CS6'!$O$50*'CS6'!$R$50/1000000)/2000))</f>
        <v>20.7488225265</v>
      </c>
      <c r="N23" s="544">
        <f>((((N15)*'CS 5'!$E$50*'CS 5'!$H$50+(N16)*'CS 5'!$O$50*'CS 5'!$R$50/1000000)/2000))+((((N18)*'CS6'!$E$50*'CS6'!$H$50+(N19)*'CS6'!$O$50*'CS6'!$R$50/1000000)/2000))</f>
        <v>29.104701258839999</v>
      </c>
      <c r="O23" s="562">
        <f t="shared" si="11"/>
        <v>311.58881050014003</v>
      </c>
    </row>
    <row r="24" spans="1:15" ht="21.75" customHeight="1" x14ac:dyDescent="0.2">
      <c r="A24" s="543" t="s">
        <v>365</v>
      </c>
      <c r="B24" s="543" t="s">
        <v>94</v>
      </c>
      <c r="C24" s="544">
        <f>((((C15)*((157)*C17)/'CS 5'!$H$57+(C16)*'CS 5'!$O$56*'CS 5'!$R$56/1000000)/2000))+((((C18)*((157)*C20)/'CS6'!$H$57+(C19)*'CS6'!$O$56*'CS6'!$R$56/1000000)/2000))</f>
        <v>5.7109520000000005E-4</v>
      </c>
      <c r="D24" s="544">
        <f>((((D15)*((157)*D17)/'CS 5'!$H$57+(D16)*'CS 5'!$O$56*'CS 5'!$R$56/1000000)/2000))+((((D18)*((157)*D20)/'CS6'!$H$57+(D19)*'CS6'!$O$56*'CS6'!$R$56/1000000)/2000))</f>
        <v>7.3457949719999999E-2</v>
      </c>
      <c r="E24" s="544">
        <f>((((E15)*((157)*E17)/'CS 5'!$H$57+(E16)*'CS 5'!$O$56*'CS 5'!$R$56/1000000)/2000))+((((E18)*((157)*E20)/'CS6'!$H$57+(E19)*'CS6'!$O$56*'CS6'!$R$56/1000000)/2000))</f>
        <v>1.77559512</v>
      </c>
      <c r="F24" s="544">
        <f>((((F15)*((157)*F17)/'CS 5'!$H$57+(F16)*'CS 5'!$O$56*'CS 5'!$R$56/1000000)/2000))+((((F18)*((157)*F20)/'CS6'!$H$57+(F19)*'CS6'!$O$56*'CS6'!$R$56/1000000)/2000))</f>
        <v>34.259638117400002</v>
      </c>
      <c r="G24" s="544">
        <f>((((G15)*((157)*G17)/'CS 5'!$H$57+(G16)*'CS 5'!$O$56*'CS 5'!$R$56/1000000)/2000))+((((G18)*((157)*G20)/'CS6'!$H$57+(G19)*'CS6'!$O$56*'CS6'!$R$56/1000000)/2000))</f>
        <v>567.3413595561999</v>
      </c>
      <c r="H24" s="544">
        <f>((((H15)*((157)*H17)/'CS 5'!$H$57+(H16)*'CS 5'!$O$56*'CS 5'!$R$56/1000000)/2000))+((((H18)*((157)*H20)/'CS6'!$H$57+(H19)*'CS6'!$O$56*'CS6'!$R$56/1000000)/2000))</f>
        <v>609.94656230739997</v>
      </c>
      <c r="I24" s="544">
        <f>((((I15)*((157)*I17)/'CS 5'!$H$57+(I16)*'CS 5'!$O$56*'CS 5'!$R$56/1000000)/2000))+((((I18)*((157)*I20)/'CS6'!$H$57+(I19)*'CS6'!$O$56*'CS6'!$R$56/1000000)/2000))</f>
        <v>768.66570156199987</v>
      </c>
      <c r="J24" s="544">
        <f>((((J15)*((157)*J17)/'CS 5'!$H$57+(J16)*'CS 5'!$O$56*'CS 5'!$R$56/1000000)/2000))+((((J18)*((157)*J20)/'CS6'!$H$57+(J19)*'CS6'!$O$56*'CS6'!$R$56/1000000)/2000))</f>
        <v>421.16721952299997</v>
      </c>
      <c r="K24" s="544">
        <f>((((K15)*((157)*K17)/'CS 5'!$H$57+(K16)*'CS 5'!$O$56*'CS 5'!$R$56/1000000)/2000))+((((K18)*((157)*K20)/'CS6'!$H$57+(K19)*'CS6'!$O$56*'CS6'!$R$56/1000000)/2000))</f>
        <v>653.47497797899996</v>
      </c>
      <c r="L24" s="544">
        <f>((((L15)*((157)*L17)/'CS 5'!$H$57+(L16)*'CS 5'!$O$56*'CS 5'!$R$56/1000000)/2000))+((((L18)*((157)*L20)/'CS6'!$H$57+(L19)*'CS6'!$O$56*'CS6'!$R$56/1000000)/2000))</f>
        <v>374.72125336644001</v>
      </c>
      <c r="M24" s="544">
        <f>((((M15)*((157)*M17)/'CS 5'!$H$57+(M16)*'CS 5'!$O$56*'CS 5'!$R$56/1000000)/2000))+((((M18)*((157)*M20)/'CS6'!$H$57+(M19)*'CS6'!$O$56*'CS6'!$R$56/1000000)/2000))</f>
        <v>114.95399187079998</v>
      </c>
      <c r="N24" s="544">
        <f>((((N15)*((157)*N17)/'CS 5'!$H$57+(N16)*'CS 5'!$O$56*'CS 5'!$R$56/1000000)/2000))+((((N18)*((157)*N20)/'CS6'!$H$57+(N19)*'CS6'!$O$56*'CS6'!$R$56/1000000)/2000))</f>
        <v>321.26902354254804</v>
      </c>
      <c r="O24" s="562">
        <f t="shared" si="11"/>
        <v>3867.6493519897081</v>
      </c>
    </row>
    <row r="25" spans="1:15" ht="21.75" customHeight="1" x14ac:dyDescent="0.2">
      <c r="A25" s="543" t="s">
        <v>20</v>
      </c>
      <c r="B25" s="543" t="s">
        <v>94</v>
      </c>
      <c r="C25" s="544">
        <f>((((C15)*'CS 5'!$E$20*'CS 5'!$H$20+(C16)*'CS 5'!$O$20*'CS 5'!$R$20/1000000)/2000))+((((C18)*'CS6'!$E$20*'CS6'!$H$20+(C19)*'CS6'!$O$20*'CS6'!$R$20/1000000)/2000))</f>
        <v>4.9970830000000001E-2</v>
      </c>
      <c r="D25" s="544">
        <f>((((D15)*'CS 5'!$E$20*'CS 5'!$H$20+(D16)*'CS 5'!$O$20*'CS 5'!$R$20/1000000)/2000))+((((D18)*'CS6'!$E$20*'CS6'!$H$20+(D19)*'CS6'!$O$20*'CS6'!$R$20/1000000)/2000))</f>
        <v>6.2079212999999994E-2</v>
      </c>
      <c r="E25" s="544">
        <f>((((E15)*'CS 5'!$E$20*'CS 5'!$H$20+(E16)*'CS 5'!$O$20*'CS 5'!$R$20/1000000)/2000))+((((E18)*'CS6'!$E$20*'CS6'!$H$20+(E19)*'CS6'!$O$20*'CS6'!$R$20/1000000)/2000))</f>
        <v>155.36457300000001</v>
      </c>
      <c r="F25" s="544">
        <f>((((F15)*'CS 5'!$E$20*'CS 5'!$H$20+(F16)*'CS 5'!$O$20*'CS 5'!$R$20/1000000)/2000))+((((F18)*'CS6'!$E$20*'CS6'!$H$20+(F19)*'CS6'!$O$20*'CS6'!$R$20/1000000)/2000))</f>
        <v>362.30385415000001</v>
      </c>
      <c r="G25" s="544">
        <f>((((G15)*'CS 5'!$E$20*'CS 5'!$H$20+(G16)*'CS 5'!$O$20*'CS 5'!$R$20/1000000)/2000))+((((G18)*'CS6'!$E$20*'CS6'!$H$20+(G19)*'CS6'!$O$20*'CS6'!$R$20/1000000)/2000))</f>
        <v>501.81721624999994</v>
      </c>
      <c r="H25" s="544">
        <f>((((H15)*'CS 5'!$E$20*'CS 5'!$H$20+(H16)*'CS 5'!$O$20*'CS 5'!$R$20/1000000)/2000))+((((H18)*'CS6'!$E$20*'CS6'!$H$20+(H19)*'CS6'!$O$20*'CS6'!$R$20/1000000)/2000))</f>
        <v>658.25046244999999</v>
      </c>
      <c r="I25" s="544">
        <f>((((I15)*'CS 5'!$E$20*'CS 5'!$H$20+(I16)*'CS 5'!$O$20*'CS 5'!$R$20/1000000)/2000))+((((I18)*'CS6'!$E$20*'CS6'!$H$20+(I19)*'CS6'!$O$20*'CS6'!$R$20/1000000)/2000))</f>
        <v>657.85166544999993</v>
      </c>
      <c r="J25" s="544">
        <f>((((J15)*'CS 5'!$E$20*'CS 5'!$H$20+(J16)*'CS 5'!$O$20*'CS 5'!$R$20/1000000)/2000))+((((J18)*'CS6'!$E$20*'CS6'!$H$20+(J19)*'CS6'!$O$20*'CS6'!$R$20/1000000)/2000))</f>
        <v>606.07758417499997</v>
      </c>
      <c r="K25" s="544">
        <f>((((K15)*'CS 5'!$E$20*'CS 5'!$H$20+(K16)*'CS 5'!$O$20*'CS 5'!$R$20/1000000)/2000))+((((K18)*'CS6'!$E$20*'CS6'!$H$20+(K19)*'CS6'!$O$20*'CS6'!$R$20/1000000)/2000))</f>
        <v>728.09225177499991</v>
      </c>
      <c r="L25" s="544">
        <f>((((L15)*'CS 5'!$E$20*'CS 5'!$H$20+(L16)*'CS 5'!$O$20*'CS 5'!$R$20/1000000)/2000))+((((L18)*'CS6'!$E$20*'CS6'!$H$20+(L19)*'CS6'!$O$20*'CS6'!$R$20/1000000)/2000))</f>
        <v>723.16567335599996</v>
      </c>
      <c r="M25" s="544">
        <f>((((M15)*'CS 5'!$E$20*'CS 5'!$H$20+(M16)*'CS 5'!$O$20*'CS 5'!$R$20/1000000)/2000))+((((M18)*'CS6'!$E$20*'CS6'!$H$20+(M19)*'CS6'!$O$20*'CS6'!$R$20/1000000)/2000))</f>
        <v>718.66202107000004</v>
      </c>
      <c r="N25" s="544">
        <f>((((N15)*'CS 5'!$E$20*'CS 5'!$H$20+(N16)*'CS 5'!$O$20*'CS 5'!$R$20/1000000)/2000))+((((N18)*'CS6'!$E$20*'CS6'!$H$20+(N19)*'CS6'!$O$20*'CS6'!$R$20/1000000)/2000))</f>
        <v>623.58817465419997</v>
      </c>
      <c r="O25" s="562">
        <f t="shared" si="11"/>
        <v>5735.2855263731999</v>
      </c>
    </row>
    <row r="26" spans="1:15" ht="21.75" customHeight="1" x14ac:dyDescent="0.2">
      <c r="A26" s="543" t="s">
        <v>22</v>
      </c>
      <c r="B26" s="543" t="s">
        <v>94</v>
      </c>
      <c r="C26" s="544">
        <f>((((C15)*'CS 5'!$E$32*'CS 5'!$H$32+(C16)*'CS 5'!$O$32*'CS 5'!$R$32/1000000)/2000))+((((C18)*'CS6'!$E$32*'CS6'!$H$32+(C19)*'CS6'!$O$32*'CS6'!$R$32/1000000)/2000))</f>
        <v>1.1421904E-4</v>
      </c>
      <c r="D26" s="544">
        <f>((((D15)*'CS 5'!$E$32*'CS 5'!$H$32+(D16)*'CS 5'!$O$32*'CS 5'!$R$32/1000000)/2000))+((((D18)*'CS6'!$E$32*'CS6'!$H$32+(D19)*'CS6'!$O$32*'CS6'!$R$32/1000000)/2000))</f>
        <v>2.1193559399999997E-4</v>
      </c>
      <c r="E26" s="544">
        <f>((((E15)*'CS 5'!$E$32*'CS 5'!$H$32+(E16)*'CS 5'!$O$32*'CS 5'!$R$32/1000000)/2000))+((((E18)*'CS6'!$E$32*'CS6'!$H$32+(E19)*'CS6'!$O$32*'CS6'!$R$32/1000000)/2000))</f>
        <v>0.35511902400000001</v>
      </c>
      <c r="F26" s="544">
        <f>((((F15)*'CS 5'!$E$32*'CS 5'!$H$32+(F16)*'CS 5'!$O$32*'CS 5'!$R$32/1000000)/2000))+((((F18)*'CS6'!$E$32*'CS6'!$H$32+(F19)*'CS6'!$O$32*'CS6'!$R$32/1000000)/2000))</f>
        <v>0.85771731369999993</v>
      </c>
      <c r="G26" s="544">
        <f>((((G15)*'CS 5'!$E$32*'CS 5'!$H$32+(G16)*'CS 5'!$O$32*'CS 5'!$R$32/1000000)/2000))+((((G18)*'CS6'!$E$32*'CS6'!$H$32+(G19)*'CS6'!$O$32*'CS6'!$R$32/1000000)/2000))</f>
        <v>1.6988314655000001</v>
      </c>
      <c r="H26" s="544">
        <f>((((H15)*'CS 5'!$E$32*'CS 5'!$H$32+(H16)*'CS 5'!$O$32*'CS 5'!$R$32/1000000)/2000))+((((H18)*'CS6'!$E$32*'CS6'!$H$32+(H19)*'CS6'!$O$32*'CS6'!$R$32/1000000)/2000))</f>
        <v>2.0964993491000001</v>
      </c>
      <c r="I26" s="544">
        <f>((((I15)*'CS 5'!$E$32*'CS 5'!$H$32+(I16)*'CS 5'!$O$32*'CS 5'!$R$32/1000000)/2000))+((((I18)*'CS6'!$E$32*'CS6'!$H$32+(I19)*'CS6'!$O$32*'CS6'!$R$32/1000000)/2000))</f>
        <v>2.2364729490999999</v>
      </c>
      <c r="J26" s="544">
        <f>((((J15)*'CS 5'!$E$32*'CS 5'!$H$32+(J16)*'CS 5'!$O$32*'CS 5'!$R$32/1000000)/2000))+((((J18)*'CS6'!$E$32*'CS6'!$H$32+(J19)*'CS6'!$O$32*'CS6'!$R$32/1000000)/2000))</f>
        <v>1.7841397866499999</v>
      </c>
      <c r="K26" s="544">
        <f>((((K15)*'CS 5'!$E$32*'CS 5'!$H$32+(K16)*'CS 5'!$O$32*'CS 5'!$R$32/1000000)/2000))+((((K18)*'CS6'!$E$32*'CS6'!$H$32+(K19)*'CS6'!$O$32*'CS6'!$R$32/1000000)/2000))</f>
        <v>2.28534750145</v>
      </c>
      <c r="L26" s="544">
        <f>((((L15)*'CS 5'!$E$32*'CS 5'!$H$32+(L16)*'CS 5'!$O$32*'CS 5'!$R$32/1000000)/2000))+((((L18)*'CS6'!$E$32*'CS6'!$H$32+(L19)*'CS6'!$O$32*'CS6'!$R$32/1000000)/2000))</f>
        <v>2.0130213500279996</v>
      </c>
      <c r="M26" s="544">
        <f>((((M15)*'CS 5'!$E$32*'CS 5'!$H$32+(M16)*'CS 5'!$O$32*'CS 5'!$R$32/1000000)/2000))+((((M18)*'CS6'!$E$32*'CS6'!$H$32+(M19)*'CS6'!$O$32*'CS6'!$R$32/1000000)/2000))</f>
        <v>1.7475368731600001</v>
      </c>
      <c r="N26" s="544">
        <f>((((N15)*'CS 5'!$E$32*'CS 5'!$H$32+(N16)*'CS 5'!$O$32*'CS 5'!$R$32/1000000)/2000))+((((N18)*'CS6'!$E$32*'CS6'!$H$32+(N19)*'CS6'!$O$32*'CS6'!$R$32/1000000)/2000))</f>
        <v>1.7340129779596001</v>
      </c>
      <c r="O26" s="562">
        <f t="shared" si="11"/>
        <v>16.809024745281597</v>
      </c>
    </row>
    <row r="27" spans="1:15" ht="21.75" customHeight="1" x14ac:dyDescent="0.2">
      <c r="A27" s="543" t="s">
        <v>21</v>
      </c>
      <c r="B27" s="543" t="s">
        <v>94</v>
      </c>
      <c r="C27" s="544">
        <f>((((C15)*'CS 5'!$E$26*'CS 5'!$H$26+(C16)*'CS 5'!$O$26*'CS 5'!$R$26/1000000)/2000))+((((C18)*'CS6'!$E$26*'CS6'!$H$26+(C19)*'CS6'!$O$26*'CS6'!$R$26/1000000)/2000))</f>
        <v>1.2849641999999998E-3</v>
      </c>
      <c r="D27" s="544">
        <f>((((D15)*'CS 5'!$E$26*'CS 5'!$H$26+(D16)*'CS 5'!$O$26*'CS 5'!$R$26/1000000)/2000))+((((D18)*'CS6'!$E$26*'CS6'!$H$26+(D19)*'CS6'!$O$26*'CS6'!$R$26/1000000)/2000))</f>
        <v>8.6790401999999999E-4</v>
      </c>
      <c r="E27" s="544">
        <f>((((E15)*'CS 5'!$E$26*'CS 5'!$H$26+(E16)*'CS 5'!$O$26*'CS 5'!$R$26/1000000)/2000))+((((E18)*'CS6'!$E$26*'CS6'!$H$26+(E19)*'CS6'!$O$26*'CS6'!$R$26/1000000)/2000))</f>
        <v>3.9950890199999995</v>
      </c>
      <c r="F27" s="544">
        <f>((((F15)*'CS 5'!$E$26*'CS 5'!$H$26+(F16)*'CS 5'!$O$26*'CS 5'!$R$26/1000000)/2000))+((((F18)*'CS6'!$E$26*'CS6'!$H$26+(F19)*'CS6'!$O$26*'CS6'!$R$26/1000000)/2000))</f>
        <v>9.0086049486000004</v>
      </c>
      <c r="G27" s="544">
        <f>((((G15)*'CS 5'!$E$26*'CS 5'!$H$26+(G16)*'CS 5'!$O$26*'CS 5'!$R$26/1000000)/2000))+((((G18)*'CS6'!$E$26*'CS6'!$H$26+(G19)*'CS6'!$O$26*'CS6'!$R$26/1000000)/2000))</f>
        <v>7.1649361457999987</v>
      </c>
      <c r="H27" s="544">
        <f>((((H15)*'CS 5'!$E$26*'CS 5'!$H$26+(H16)*'CS 5'!$O$26*'CS 5'!$R$26/1000000)/2000))+((((H18)*'CS6'!$E$26*'CS6'!$H$26+(H19)*'CS6'!$O$26*'CS6'!$R$26/1000000)/2000))</f>
        <v>10.770401082599999</v>
      </c>
      <c r="I27" s="544">
        <f>((((I15)*'CS 5'!$E$26*'CS 5'!$H$26+(I16)*'CS 5'!$O$26*'CS 5'!$R$26/1000000)/2000))+((((I18)*'CS6'!$E$26*'CS6'!$H$26+(I19)*'CS6'!$O$26*'CS6'!$R$26/1000000)/2000))</f>
        <v>9.2949408881999993</v>
      </c>
      <c r="J27" s="544">
        <f>((((J15)*'CS 5'!$E$26*'CS 5'!$H$26+(J16)*'CS 5'!$O$26*'CS 5'!$R$26/1000000)/2000))+((((J18)*'CS6'!$E$26*'CS6'!$H$26+(J19)*'CS6'!$O$26*'CS6'!$R$26/1000000)/2000))</f>
        <v>11.437128384299999</v>
      </c>
      <c r="K27" s="544">
        <f>((((K15)*'CS 5'!$E$26*'CS 5'!$H$26+(K16)*'CS 5'!$O$26*'CS 5'!$R$26/1000000)/2000))+((((K18)*'CS6'!$E$26*'CS6'!$H$26+(K19)*'CS6'!$O$26*'CS6'!$R$26/1000000)/2000))</f>
        <v>12.2625511299</v>
      </c>
      <c r="L27" s="544">
        <f>((((L15)*'CS 5'!$E$26*'CS 5'!$H$26+(L16)*'CS 5'!$O$26*'CS 5'!$R$26/1000000)/2000))+((((L18)*'CS6'!$E$26*'CS6'!$H$26+(L19)*'CS6'!$O$26*'CS6'!$R$26/1000000)/2000))</f>
        <v>14.850947852639997</v>
      </c>
      <c r="M27" s="544">
        <f>((((M15)*'CS 5'!$E$26*'CS 5'!$H$26+(M16)*'CS 5'!$O$26*'CS 5'!$R$26/1000000)/2000))+((((M18)*'CS6'!$E$26*'CS6'!$H$26+(M19)*'CS6'!$O$26*'CS6'!$R$26/1000000)/2000))</f>
        <v>17.389119961799999</v>
      </c>
      <c r="N27" s="544">
        <f>((((N15)*'CS 5'!$E$26*'CS 5'!$H$26+(N16)*'CS 5'!$O$26*'CS 5'!$R$26/1000000)/2000))+((((N18)*'CS6'!$E$26*'CS6'!$H$26+(N19)*'CS6'!$O$26*'CS6'!$R$26/1000000)/2000))</f>
        <v>12.824971272107998</v>
      </c>
      <c r="O27" s="562">
        <f t="shared" si="11"/>
        <v>109.000843554168</v>
      </c>
    </row>
    <row r="28" spans="1:15" ht="21.75" customHeight="1" x14ac:dyDescent="0.2">
      <c r="A28" s="543" t="s">
        <v>42</v>
      </c>
      <c r="B28" s="543" t="s">
        <v>94</v>
      </c>
      <c r="C28" s="544">
        <f>((((C15)*'CS 5'!$E$62*'CS 5'!$H$62+(C16)*'CS 5'!$O$62*'CS 5'!$R$62/1000000)/2000))+((((C18)*'CS6'!$E$62*'CS6'!$H$62+(C19)*'CS6'!$O$62*'CS6'!$R$62/1000000)/2000))</f>
        <v>6.1392733999999992E-5</v>
      </c>
      <c r="D28" s="544">
        <f>((((D15)*'CS 5'!$E$62*'CS 5'!$H$62+(D16)*'CS 5'!$O$62*'CS 5'!$R$62/1000000)/2000))+((((D18)*'CS6'!$E$62*'CS6'!$H$62+(D19)*'CS6'!$O$62*'CS6'!$R$62/1000000)/2000))</f>
        <v>3.1804526274000003E-3</v>
      </c>
      <c r="E28" s="544">
        <f>((((E15)*'CS 5'!$E$62*'CS 5'!$H$62+(E16)*'CS 5'!$O$62*'CS 5'!$R$62/1000000)/2000))+((((E18)*'CS6'!$E$62*'CS6'!$H$62+(E19)*'CS6'!$O$62*'CS6'!$R$62/1000000)/2000))</f>
        <v>0.1908764754</v>
      </c>
      <c r="F28" s="544">
        <f>((((F15)*'CS 5'!$E$62*'CS 5'!$H$62+(F16)*'CS 5'!$O$62*'CS 5'!$R$62/1000000)/2000))+((((F18)*'CS6'!$E$62*'CS6'!$H$62+(F19)*'CS6'!$O$62*'CS6'!$R$62/1000000)/2000))</f>
        <v>1.75673192759</v>
      </c>
      <c r="G28" s="544">
        <f>((((G15)*'CS 5'!$E$62*'CS 5'!$H$62+(G16)*'CS 5'!$O$62*'CS 5'!$R$62/1000000)/2000))+((((G18)*'CS6'!$E$62*'CS6'!$H$62+(G19)*'CS6'!$O$62*'CS6'!$R$62/1000000)/2000))</f>
        <v>25.073211075609997</v>
      </c>
      <c r="H28" s="544">
        <f>((((H15)*'CS 5'!$E$62*'CS 5'!$H$62+(H16)*'CS 5'!$O$62*'CS 5'!$R$62/1000000)/2000))+((((H18)*'CS6'!$E$62*'CS6'!$H$62+(H19)*'CS6'!$O$62*'CS6'!$R$62/1000000)/2000))</f>
        <v>27.04290630133</v>
      </c>
      <c r="I28" s="544">
        <f>((((I15)*'CS 5'!$E$62*'CS 5'!$H$62+(I16)*'CS 5'!$O$62*'CS 5'!$R$62/1000000)/2000))+((((I18)*'CS6'!$E$62*'CS6'!$H$62+(I19)*'CS6'!$O$62*'CS6'!$R$62/1000000)/2000))</f>
        <v>33.286445578249996</v>
      </c>
      <c r="J28" s="544">
        <f>((((J15)*'CS 5'!$E$62*'CS 5'!$H$62+(J16)*'CS 5'!$O$62*'CS 5'!$R$62/1000000)/2000))+((((J18)*'CS6'!$E$62*'CS6'!$H$62+(J19)*'CS6'!$O$62*'CS6'!$R$62/1000000)/2000))</f>
        <v>18.420294020575</v>
      </c>
      <c r="K28" s="544">
        <f>((((K15)*'CS 5'!$E$62*'CS 5'!$H$62+(K16)*'CS 5'!$O$62*'CS 5'!$R$62/1000000)/2000))+((((K18)*'CS6'!$E$62*'CS6'!$H$62+(K19)*'CS6'!$O$62*'CS6'!$R$62/1000000)/2000))</f>
        <v>28.423289233774994</v>
      </c>
      <c r="L28" s="544">
        <f>((((L15)*'CS 5'!$E$62*'CS 5'!$H$62+(L16)*'CS 5'!$O$62*'CS 5'!$R$62/1000000)/2000))+((((L18)*'CS6'!$E$62*'CS6'!$H$62+(L19)*'CS6'!$O$62*'CS6'!$R$62/1000000)/2000))</f>
        <v>16.846818019048797</v>
      </c>
      <c r="M28" s="544">
        <f>((((M15)*'CS 5'!$E$62*'CS 5'!$H$62+(M16)*'CS 5'!$O$62*'CS 5'!$R$62/1000000)/2000))+((((M18)*'CS6'!$E$62*'CS6'!$H$62+(M19)*'CS6'!$O$62*'CS6'!$R$62/1000000)/2000))</f>
        <v>5.5312457898859995</v>
      </c>
      <c r="N28" s="544">
        <f>((((N15)*'CS 5'!$E$62*'CS 5'!$H$62+(N16)*'CS 5'!$O$62*'CS 5'!$R$62/1000000)/2000))+((((N18)*'CS6'!$E$62*'CS6'!$H$62+(N19)*'CS6'!$O$62*'CS6'!$R$62/1000000)/2000))</f>
        <v>14.446314024775162</v>
      </c>
      <c r="O28" s="562">
        <f t="shared" si="11"/>
        <v>171.02137429160132</v>
      </c>
    </row>
    <row r="29" spans="1:15" ht="21.75" customHeight="1" x14ac:dyDescent="0.2">
      <c r="A29" s="543" t="s">
        <v>23</v>
      </c>
      <c r="B29" s="543" t="s">
        <v>94</v>
      </c>
      <c r="C29" s="549">
        <f>((((C15)*'CS 5'!$E$68*'CS 5'!$H$68+(C16)*'CS 5'!$O$68*'CS 5'!$R$68/1000000)/2000))+((((C18)*'CS6'!$E$68*'CS6'!$H$68+(C19)*'CS6'!$O$68*'CS6'!$R$68/1000000)/2000))</f>
        <v>0</v>
      </c>
      <c r="D29" s="549">
        <f>((((D15)*'CS 5'!$E$68*'CS 5'!$H$68+(D16)*'CS 5'!$O$68*'CS 5'!$R$68/1000000)/2000))+((((D18)*'CS6'!$E$68*'CS6'!$H$68+(D19)*'CS6'!$O$68*'CS6'!$R$68/1000000)/2000))</f>
        <v>6.4857271500000005E-7</v>
      </c>
      <c r="E29" s="549">
        <f>((((E15)*'CS 5'!$E$68*'CS 5'!$H$68+(E16)*'CS 5'!$O$68*'CS 5'!$R$68/1000000)/2000))+((((E18)*'CS6'!$E$68*'CS6'!$H$68+(E19)*'CS6'!$O$68*'CS6'!$R$68/1000000)/2000))</f>
        <v>0</v>
      </c>
      <c r="F29" s="549">
        <f>((((F15)*'CS 5'!$E$68*'CS 5'!$H$68+(F16)*'CS 5'!$O$68*'CS 5'!$R$68/1000000)/2000))+((((F18)*'CS6'!$E$68*'CS6'!$H$68+(F19)*'CS6'!$O$68*'CS6'!$R$68/1000000)/2000))</f>
        <v>2.7404246330999996E-4</v>
      </c>
      <c r="G29" s="549">
        <f>((((G15)*'CS 5'!$E$68*'CS 5'!$H$68+(G16)*'CS 5'!$O$68*'CS 5'!$R$68/1000000)/2000))+((((G18)*'CS6'!$E$68*'CS6'!$H$68+(G19)*'CS6'!$O$68*'CS6'!$R$68/1000000)/2000))</f>
        <v>5.109859547729999E-3</v>
      </c>
      <c r="H29" s="549">
        <f>((((H15)*'CS 5'!$E$68*'CS 5'!$H$68+(H16)*'CS 5'!$O$68*'CS 5'!$R$68/1000000)/2000))+((((H18)*'CS6'!$E$68*'CS6'!$H$68+(H19)*'CS6'!$O$68*'CS6'!$R$68/1000000)/2000))</f>
        <v>5.4812427560100001E-3</v>
      </c>
      <c r="I29" s="549">
        <f>((((I15)*'CS 5'!$E$68*'CS 5'!$H$68+(I16)*'CS 5'!$O$68*'CS 5'!$R$68/1000000)/2000))+((((I18)*'CS6'!$E$68*'CS6'!$H$68+(I19)*'CS6'!$O$68*'CS6'!$R$68/1000000)/2000))</f>
        <v>6.7858391153699993E-3</v>
      </c>
      <c r="J29" s="549">
        <f>((((J15)*'CS 5'!$E$68*'CS 5'!$H$68+(J16)*'CS 5'!$O$68*'CS 5'!$R$68/1000000)/2000))+((((J18)*'CS6'!$E$68*'CS6'!$H$68+(J19)*'CS6'!$O$68*'CS6'!$R$68/1000000)/2000))</f>
        <v>3.693069442755E-3</v>
      </c>
      <c r="K29" s="549">
        <f>((((K15)*'CS 5'!$E$68*'CS 5'!$H$68+(K16)*'CS 5'!$O$68*'CS 5'!$R$68/1000000)/2000))+((((K18)*'CS6'!$E$68*'CS6'!$H$68+(K19)*'CS6'!$O$68*'CS6'!$R$68/1000000)/2000))</f>
        <v>5.751725288714999E-3</v>
      </c>
      <c r="L29" s="549">
        <f>((((L15)*'CS 5'!$E$68*'CS 5'!$H$68+(L16)*'CS 5'!$O$68*'CS 5'!$R$68/1000000)/2000))+((((L18)*'CS6'!$E$68*'CS6'!$H$68+(L19)*'CS6'!$O$68*'CS6'!$R$68/1000000)/2000))</f>
        <v>3.3342596777699999E-3</v>
      </c>
      <c r="M29" s="549">
        <f>((((M15)*'CS 5'!$E$68*'CS 5'!$H$68+(M16)*'CS 5'!$O$68*'CS 5'!$R$68/1000000)/2000))+((((M18)*'CS6'!$E$68*'CS6'!$H$68+(M19)*'CS6'!$O$68*'CS6'!$R$68/1000000)/2000))</f>
        <v>9.7119643949999978E-4</v>
      </c>
      <c r="N29" s="549">
        <f>((((N15)*'CS 5'!$E$68*'CS 5'!$H$68+(N16)*'CS 5'!$O$68*'CS 5'!$R$68/1000000)/2000))+((((N18)*'CS6'!$E$68*'CS6'!$H$68+(N19)*'CS6'!$O$68*'CS6'!$R$68/1000000)/2000))</f>
        <v>2.8582710392249999E-3</v>
      </c>
      <c r="O29" s="563">
        <f t="shared" si="11"/>
        <v>3.4260154343100001E-2</v>
      </c>
    </row>
    <row r="30" spans="1:15" ht="21.75" customHeight="1" x14ac:dyDescent="0.2">
      <c r="A30" s="543" t="s">
        <v>24</v>
      </c>
      <c r="B30" s="543" t="s">
        <v>94</v>
      </c>
      <c r="C30" s="544">
        <f>((((C15)*'CS 5'!$E$74+(C16)*'CS 5'!$O$74)/'CS 5'!$H$75))+((((C18)*'CS6'!$E$74+(C19)*'CS6'!$O$74)/'CS6'!$H$75))</f>
        <v>16.541687721027859</v>
      </c>
      <c r="D30" s="544">
        <f>((((D15)*'CS 5'!$E$74+(D16)*'CS 5'!$O$74)/'CS 5'!$H$75))+((((D18)*'CS6'!$E$74+(D19)*'CS6'!$O$74)/'CS6'!$H$75))</f>
        <v>28.243835449739624</v>
      </c>
      <c r="E30" s="544">
        <f>((((E15)*'CS 5'!$E$74+(E16)*'CS 5'!$O$74)/'CS 5'!$H$75))+((((E18)*'CS6'!$E$74+(E19)*'CS6'!$O$74)/'CS6'!$H$75))</f>
        <v>51429.84916353874</v>
      </c>
      <c r="F30" s="544">
        <f>((((F15)*'CS 5'!$E$74+(F16)*'CS 5'!$O$74)/'CS 5'!$H$75))+((((F18)*'CS6'!$E$74+(F19)*'CS6'!$O$74)/'CS6'!$H$75))</f>
        <v>123183.24874025132</v>
      </c>
      <c r="G30" s="544">
        <f>((((G15)*'CS 5'!$E$74+(G16)*'CS 5'!$O$74)/'CS 5'!$H$75))+((((G18)*'CS6'!$E$74+(G19)*'CS6'!$O$74)/'CS6'!$H$75))</f>
        <v>226732.69289948093</v>
      </c>
      <c r="H30" s="544">
        <f>((((H15)*'CS 5'!$E$74+(H16)*'CS 5'!$O$74)/'CS 5'!$H$75))+((((H18)*'CS6'!$E$74+(H19)*'CS6'!$O$74)/'CS6'!$H$75))</f>
        <v>282921.98019724997</v>
      </c>
      <c r="I30" s="544">
        <f>((((I15)*'CS 5'!$E$74+(I16)*'CS 5'!$O$74)/'CS 5'!$H$75))+((((I18)*'CS6'!$E$74+(I19)*'CS6'!$O$74)/'CS6'!$H$75))</f>
        <v>298266.25231026427</v>
      </c>
      <c r="J30" s="544">
        <f>((((J15)*'CS 5'!$E$74+(J16)*'CS 5'!$O$74)/'CS 5'!$H$75))+((((J18)*'CS6'!$E$74+(J19)*'CS6'!$O$74)/'CS6'!$H$75))</f>
        <v>244438.44989955943</v>
      </c>
      <c r="K30" s="544">
        <f>((((K15)*'CS 5'!$E$74+(K16)*'CS 5'!$O$74)/'CS 5'!$H$75))+((((K18)*'CS6'!$E$74+(K19)*'CS6'!$O$74)/'CS6'!$H$75))</f>
        <v>309250.19434692757</v>
      </c>
      <c r="L30" s="544">
        <f>((((L15)*'CS 5'!$E$74+(L16)*'CS 5'!$O$74)/'CS 5'!$H$75))+((((L18)*'CS6'!$E$74+(L19)*'CS6'!$O$74)/'CS6'!$H$75))</f>
        <v>278941.23302497366</v>
      </c>
      <c r="M30" s="544">
        <f>((((M15)*'CS 5'!$E$74+(M16)*'CS 5'!$O$74)/'CS 5'!$H$75))+((((M18)*'CS6'!$E$74+(M19)*'CS6'!$O$74)/'CS6'!$H$75))</f>
        <v>249417.64104607809</v>
      </c>
      <c r="N30" s="544">
        <f>((((N15)*'CS 5'!$E$74+(N16)*'CS 5'!$O$74)/'CS 5'!$H$75))+((((N18)*'CS6'!$E$74+(N19)*'CS6'!$O$74)/'CS6'!$H$75))</f>
        <v>240331.80334022784</v>
      </c>
      <c r="O30" s="562">
        <f t="shared" si="11"/>
        <v>2304958.1304917228</v>
      </c>
    </row>
    <row r="31" spans="1:15" ht="21.75" customHeight="1" x14ac:dyDescent="0.2">
      <c r="A31" s="626" t="s">
        <v>375</v>
      </c>
      <c r="B31" s="626"/>
      <c r="C31" s="555"/>
      <c r="D31" s="555"/>
      <c r="E31" s="555"/>
      <c r="F31" s="555"/>
      <c r="G31" s="555"/>
      <c r="H31" s="555"/>
      <c r="I31" s="555"/>
      <c r="J31" s="626"/>
      <c r="K31" s="626"/>
      <c r="L31" s="555"/>
      <c r="M31" s="555"/>
      <c r="N31" s="555"/>
      <c r="O31" s="555"/>
    </row>
    <row r="32" spans="1:15" ht="21.75" hidden="1" customHeight="1" x14ac:dyDescent="0.2">
      <c r="A32" s="543" t="s">
        <v>86</v>
      </c>
      <c r="B32" s="543" t="s">
        <v>92</v>
      </c>
      <c r="C32" s="556">
        <f>SUM('Costa Sur'!$B$24,'Costa Sur'!$C$24)</f>
        <v>0</v>
      </c>
      <c r="D32" s="556">
        <f>SUM('Costa Sur'!$B$25,'Costa Sur'!$C$25)</f>
        <v>0</v>
      </c>
      <c r="E32" s="556">
        <f>SUM('Costa Sur'!$B$26,'Costa Sur'!$C$26)</f>
        <v>0</v>
      </c>
      <c r="F32" s="556">
        <f>SUM('Costa Sur'!$B$27,'Costa Sur'!$C$27)</f>
        <v>0</v>
      </c>
      <c r="G32" s="556">
        <f>SUM('Costa Sur'!$B$28,'Costa Sur'!$C$28)</f>
        <v>0</v>
      </c>
      <c r="H32" s="556">
        <f>SUM('Costa Sur'!$B$29,'Costa Sur'!$C$29)</f>
        <v>0</v>
      </c>
      <c r="I32" s="556">
        <f>SUM('Costa Sur'!$B$30,'Costa Sur'!$C$30)</f>
        <v>4650</v>
      </c>
      <c r="J32" s="556">
        <f>SUM('Costa Sur'!$B$31,'Costa Sur'!$C$31)</f>
        <v>4931</v>
      </c>
      <c r="K32" s="556">
        <f>SUM('Costa Sur'!$B$32,'Costa Sur'!$C$32)</f>
        <v>21642</v>
      </c>
      <c r="L32" s="556">
        <f>SUM('Costa Sur'!$B$33,'Costa Sur'!$C$33)</f>
        <v>85390</v>
      </c>
      <c r="M32" s="556">
        <f>SUM('Costa Sur'!$B$34,'Costa Sur'!$C$34)</f>
        <v>13630</v>
      </c>
      <c r="N32" s="556">
        <f>SUM('Costa Sur'!$B$35,'Costa Sur'!$C$35)</f>
        <v>0</v>
      </c>
      <c r="O32" s="564">
        <f>SUM(C32:N32)</f>
        <v>130243</v>
      </c>
    </row>
    <row r="33" spans="1:15" ht="21.75" hidden="1" customHeight="1" x14ac:dyDescent="0.2">
      <c r="A33" s="543" t="s">
        <v>376</v>
      </c>
      <c r="B33" s="543" t="s">
        <v>371</v>
      </c>
      <c r="C33" s="560">
        <f>IF(C32=0,0,('Costa Sur'!$B$24*'Costa Sur'!$D$24+'Costa Sur'!$C$24*'Costa Sur'!$E$24)/C32)</f>
        <v>0</v>
      </c>
      <c r="D33" s="560">
        <f>IF(D32=0,0,('Costa Sur'!$B$25*'Costa Sur'!$D$25+'Costa Sur'!$C$25*'Costa Sur'!$E$25)/D32)</f>
        <v>0</v>
      </c>
      <c r="E33" s="560">
        <f>IF(E32=0,0,('Costa Sur'!$B$26*'Costa Sur'!$D$26+'Costa Sur'!$C$26*'Costa Sur'!$E$26)/E32)</f>
        <v>0</v>
      </c>
      <c r="F33" s="560">
        <f>IF(F32=0,0,('Costa Sur'!$B$27*'Costa Sur'!$D$27+'Costa Sur'!$C$27*'Costa Sur'!$E$27)/F32)</f>
        <v>0</v>
      </c>
      <c r="G33" s="560">
        <f>IF(G32=0,0,('Costa Sur'!$B$28*'Costa Sur'!$D$28+'Costa Sur'!$C$28*'Costa Sur'!$E$28)/G32)</f>
        <v>0</v>
      </c>
      <c r="H33" s="560">
        <f>IF(H32=0,0,('Costa Sur'!$B$29*'Costa Sur'!$D$29+'Costa Sur'!$C$29*'Costa Sur'!$E$29)/H32)</f>
        <v>0</v>
      </c>
      <c r="I33" s="560">
        <f>IF(I32=0,0,('Costa Sur'!$B$30*'Costa Sur'!$D$30+'Costa Sur'!$C$30*'Costa Sur'!$E$30)/I32)</f>
        <v>8.0000000000000004E-4</v>
      </c>
      <c r="J33" s="560">
        <f>IF(J32=0,0,('Costa Sur'!$B$31*'Costa Sur'!$D$31+'Costa Sur'!$C$31*'Costa Sur'!$E$31)/J32)</f>
        <v>8.0000000000000004E-4</v>
      </c>
      <c r="K33" s="560">
        <f>IF(K32=0,0,('Costa Sur'!$B$32*'Costa Sur'!$D$32+'Costa Sur'!$C$32*'Costa Sur'!$E$32)/K32)</f>
        <v>8.0000000000000004E-4</v>
      </c>
      <c r="L33" s="560">
        <f>IF(L32=0,0,('Costa Sur'!$B$33*'Costa Sur'!$D$33+'Costa Sur'!$C$33*'Costa Sur'!$E$33)/L32)</f>
        <v>7.9999999999999993E-4</v>
      </c>
      <c r="M33" s="560">
        <f>IF(M32=0,0,('Costa Sur'!$B$34*'Costa Sur'!$D$34+'Costa Sur'!$C$34*'Costa Sur'!$E$34)/M32)</f>
        <v>8.0000000000000004E-4</v>
      </c>
      <c r="N33" s="560">
        <f>IF(N32=0,0,('Costa Sur'!$B$35*'Costa Sur'!$D$35+'Costa Sur'!$C$35*'Costa Sur'!$E$35)/N32)</f>
        <v>0</v>
      </c>
      <c r="O33" s="565">
        <f>IF(O32=0,0,SUMPRODUCT(C33:N33,C32:N32)/O32)</f>
        <v>8.0000000000000004E-4</v>
      </c>
    </row>
    <row r="34" spans="1:15" ht="21.75" customHeight="1" x14ac:dyDescent="0.2">
      <c r="A34" s="543" t="s">
        <v>17</v>
      </c>
      <c r="B34" s="543" t="s">
        <v>94</v>
      </c>
      <c r="C34" s="544">
        <f>('Turbinas CS'!$C$19*(C32)*'Turbinas CS'!$G$19/'Turbinas CS'!$I$20)</f>
        <v>0</v>
      </c>
      <c r="D34" s="544">
        <f>('Turbinas CS'!$C$19*(D32)*'Turbinas CS'!$G$19/'Turbinas CS'!$I$20)</f>
        <v>0</v>
      </c>
      <c r="E34" s="544">
        <f>('Turbinas CS'!$C$19*(E32)*'Turbinas CS'!$G$19/'Turbinas CS'!$I$20)</f>
        <v>0</v>
      </c>
      <c r="F34" s="544">
        <f>('Turbinas CS'!$C$19*(F32)*'Turbinas CS'!$G$19/'Turbinas CS'!$I$20)</f>
        <v>0</v>
      </c>
      <c r="G34" s="544">
        <f>('Turbinas CS'!$C$19*(G32)*'Turbinas CS'!$G$19/'Turbinas CS'!$I$20)</f>
        <v>0</v>
      </c>
      <c r="H34" s="544">
        <f>('Turbinas CS'!$C$19*(H32)*'Turbinas CS'!$G$19/'Turbinas CS'!$I$20)</f>
        <v>0</v>
      </c>
      <c r="I34" s="544">
        <f>('Turbinas CS'!$C$19*(I32)*'Turbinas CS'!$G$19/'Turbinas CS'!$I$20)</f>
        <v>3.8502000000000007E-3</v>
      </c>
      <c r="J34" s="544">
        <f>('Turbinas CS'!$C$19*(J32)*'Turbinas CS'!$G$19/'Turbinas CS'!$I$20)</f>
        <v>4.0828680000000008E-3</v>
      </c>
      <c r="K34" s="544">
        <f>('Turbinas CS'!$C$19*(K32)*'Turbinas CS'!$G$19/'Turbinas CS'!$I$20)</f>
        <v>1.7919576000000003E-2</v>
      </c>
      <c r="L34" s="544">
        <f>('Turbinas CS'!$C$19*(L32)*'Turbinas CS'!$G$19/'Turbinas CS'!$I$20)</f>
        <v>7.0702920000000002E-2</v>
      </c>
      <c r="M34" s="544">
        <f>('Turbinas CS'!$C$19*(M32)*'Turbinas CS'!$G$19/'Turbinas CS'!$I$20)</f>
        <v>1.1285640000000001E-2</v>
      </c>
      <c r="N34" s="544">
        <f>('Turbinas CS'!$C$19*(N32)*'Turbinas CS'!$G$19/'Turbinas CS'!$I$20)</f>
        <v>0</v>
      </c>
      <c r="O34" s="562">
        <f t="shared" ref="O34:O40" si="12">SUM(C34:N34)</f>
        <v>0.10784120400000001</v>
      </c>
    </row>
    <row r="35" spans="1:15" ht="21.75" customHeight="1" x14ac:dyDescent="0.2">
      <c r="A35" s="543" t="s">
        <v>365</v>
      </c>
      <c r="B35" s="543" t="s">
        <v>94</v>
      </c>
      <c r="C35" s="544">
        <f>((1.01*C33)*((C32))*'Turbinas CS'!$G$28/'Turbinas CS'!$I$29)</f>
        <v>0</v>
      </c>
      <c r="D35" s="544">
        <f>((1.01*D33)*((D32))*'Turbinas CS'!$G$28/'Turbinas CS'!$I$29)</f>
        <v>0</v>
      </c>
      <c r="E35" s="544">
        <f>((1.01*E33)*((E32))*'Turbinas CS'!$G$28/'Turbinas CS'!$I$29)</f>
        <v>0</v>
      </c>
      <c r="F35" s="544">
        <f>((1.01*F33)*((F32))*'Turbinas CS'!$G$28/'Turbinas CS'!$I$29)</f>
        <v>0</v>
      </c>
      <c r="G35" s="544">
        <f>((1.01*G33)*((G32))*'Turbinas CS'!$G$28/'Turbinas CS'!$I$29)</f>
        <v>0</v>
      </c>
      <c r="H35" s="544">
        <f>((1.01*H33)*((H32))*'Turbinas CS'!$G$28/'Turbinas CS'!$I$29)</f>
        <v>0</v>
      </c>
      <c r="I35" s="544">
        <f>((1.01*I33)*((I32))*'Turbinas CS'!$G$28/'Turbinas CS'!$I$29)</f>
        <v>2.5924680000000003E-4</v>
      </c>
      <c r="J35" s="544">
        <f>((1.01*J33)*((J32))*'Turbinas CS'!$G$28/'Turbinas CS'!$I$29)</f>
        <v>2.7491311199999999E-4</v>
      </c>
      <c r="K35" s="544">
        <f>((1.01*K33)*((K32))*'Turbinas CS'!$G$28/'Turbinas CS'!$I$29)</f>
        <v>1.206584784E-3</v>
      </c>
      <c r="L35" s="544">
        <f>((1.01*L33)*((L32))*'Turbinas CS'!$G$28/'Turbinas CS'!$I$29)</f>
        <v>4.7606632799999989E-3</v>
      </c>
      <c r="M35" s="544">
        <f>((1.01*M33)*((M32))*'Turbinas CS'!$G$28/'Turbinas CS'!$I$29)</f>
        <v>7.5989976000000008E-4</v>
      </c>
      <c r="N35" s="544">
        <f>((1.01*N33)*((N32))*'Turbinas CS'!$G$28/'Turbinas CS'!$I$29)</f>
        <v>0</v>
      </c>
      <c r="O35" s="562">
        <f t="shared" si="12"/>
        <v>7.2613077359999986E-3</v>
      </c>
    </row>
    <row r="36" spans="1:15" ht="21.75" customHeight="1" x14ac:dyDescent="0.2">
      <c r="A36" s="543" t="s">
        <v>20</v>
      </c>
      <c r="B36" s="543" t="s">
        <v>94</v>
      </c>
      <c r="C36" s="544">
        <f>('Turbinas CS'!$C$37*((C32))*'Turbinas CS'!$G$37/'Turbinas CS'!$I$38)</f>
        <v>0</v>
      </c>
      <c r="D36" s="544">
        <f>('Turbinas CS'!$C$37*((D32))*'Turbinas CS'!$G$37/'Turbinas CS'!$I$38)</f>
        <v>0</v>
      </c>
      <c r="E36" s="544">
        <f>('Turbinas CS'!$C$37*((E32))*'Turbinas CS'!$G$37/'Turbinas CS'!$I$38)</f>
        <v>0</v>
      </c>
      <c r="F36" s="544">
        <f>('Turbinas CS'!$C$37*((F32))*'Turbinas CS'!$G$37/'Turbinas CS'!$I$38)</f>
        <v>0</v>
      </c>
      <c r="G36" s="544">
        <f>('Turbinas CS'!$C$37*((G32))*'Turbinas CS'!$G$37/'Turbinas CS'!$I$38)</f>
        <v>0</v>
      </c>
      <c r="H36" s="544">
        <f>('Turbinas CS'!$C$37*((H32))*'Turbinas CS'!$G$37/'Turbinas CS'!$I$38)</f>
        <v>0</v>
      </c>
      <c r="I36" s="544">
        <f>('Turbinas CS'!$C$37*((I32))*'Turbinas CS'!$G$37/'Turbinas CS'!$I$38)</f>
        <v>0.28234799999999999</v>
      </c>
      <c r="J36" s="544">
        <f>('Turbinas CS'!$C$37*((J32))*'Turbinas CS'!$G$37/'Turbinas CS'!$I$38)</f>
        <v>0.29941032000000001</v>
      </c>
      <c r="K36" s="544">
        <f>('Turbinas CS'!$C$37*((K32))*'Turbinas CS'!$G$37/'Turbinas CS'!$I$38)</f>
        <v>1.31410224</v>
      </c>
      <c r="L36" s="544">
        <f>('Turbinas CS'!$C$37*((L32))*'Turbinas CS'!$G$37/'Turbinas CS'!$I$38)</f>
        <v>5.1848808000000002</v>
      </c>
      <c r="M36" s="544">
        <f>('Turbinas CS'!$C$37*((M32))*'Turbinas CS'!$G$37/'Turbinas CS'!$I$38)</f>
        <v>0.82761360000000006</v>
      </c>
      <c r="N36" s="544">
        <f>('Turbinas CS'!$C$37*((N32))*'Turbinas CS'!$G$37/'Turbinas CS'!$I$38)</f>
        <v>0</v>
      </c>
      <c r="O36" s="562">
        <f t="shared" si="12"/>
        <v>7.9083549600000005</v>
      </c>
    </row>
    <row r="37" spans="1:15" ht="21.75" customHeight="1" x14ac:dyDescent="0.2">
      <c r="A37" s="543" t="s">
        <v>22</v>
      </c>
      <c r="B37" s="543" t="s">
        <v>94</v>
      </c>
      <c r="C37" s="544">
        <f>('Turbinas CS'!$C$46*((C32))*'Turbinas CS'!$G$46/'Turbinas CS'!$I$47)</f>
        <v>0</v>
      </c>
      <c r="D37" s="544">
        <f>('Turbinas CS'!$C$46*((D32))*'Turbinas CS'!$G$46/'Turbinas CS'!$I$47)</f>
        <v>0</v>
      </c>
      <c r="E37" s="544">
        <f>('Turbinas CS'!$C$46*((E32))*'Turbinas CS'!$G$46/'Turbinas CS'!$I$47)</f>
        <v>0</v>
      </c>
      <c r="F37" s="544">
        <f>('Turbinas CS'!$C$46*((F32))*'Turbinas CS'!$G$46/'Turbinas CS'!$I$47)</f>
        <v>0</v>
      </c>
      <c r="G37" s="544">
        <f>('Turbinas CS'!$C$46*((G32))*'Turbinas CS'!$G$46/'Turbinas CS'!$I$47)</f>
        <v>0</v>
      </c>
      <c r="H37" s="544">
        <f>('Turbinas CS'!$C$46*((H32))*'Turbinas CS'!$G$46/'Turbinas CS'!$I$47)</f>
        <v>0</v>
      </c>
      <c r="I37" s="544">
        <f>('Turbinas CS'!$C$46*((I32))*'Turbinas CS'!$G$46/'Turbinas CS'!$I$47)</f>
        <v>1.315485E-4</v>
      </c>
      <c r="J37" s="544">
        <f>('Turbinas CS'!$C$46*((J32))*'Turbinas CS'!$G$46/'Turbinas CS'!$I$47)</f>
        <v>1.3949799000000001E-4</v>
      </c>
      <c r="K37" s="544">
        <f>('Turbinas CS'!$C$46*((K32))*'Turbinas CS'!$G$46/'Turbinas CS'!$I$47)</f>
        <v>6.1225218000000002E-4</v>
      </c>
      <c r="L37" s="544">
        <f>('Turbinas CS'!$C$46*((L32))*'Turbinas CS'!$G$46/'Turbinas CS'!$I$47)</f>
        <v>2.4156831000000001E-3</v>
      </c>
      <c r="M37" s="544">
        <f>('Turbinas CS'!$C$46*((M32))*'Turbinas CS'!$G$46/'Turbinas CS'!$I$47)</f>
        <v>3.8559270000000005E-4</v>
      </c>
      <c r="N37" s="544">
        <f>('Turbinas CS'!$C$46*((N32))*'Turbinas CS'!$G$46/'Turbinas CS'!$I$47)</f>
        <v>0</v>
      </c>
      <c r="O37" s="562">
        <f t="shared" si="12"/>
        <v>3.6845744700000002E-3</v>
      </c>
    </row>
    <row r="38" spans="1:15" ht="21.75" customHeight="1" x14ac:dyDescent="0.2">
      <c r="A38" s="543" t="s">
        <v>21</v>
      </c>
      <c r="B38" s="543" t="s">
        <v>94</v>
      </c>
      <c r="C38" s="544">
        <f>('Turbinas CS'!$C$55*((C32))*'Turbinas CS'!$G$55/'Turbinas CS'!$I$56)</f>
        <v>0</v>
      </c>
      <c r="D38" s="544">
        <f>('Turbinas CS'!$C$55*((D32))*'Turbinas CS'!$G$55/'Turbinas CS'!$I$56)</f>
        <v>0</v>
      </c>
      <c r="E38" s="544">
        <f>('Turbinas CS'!$C$55*((E32))*'Turbinas CS'!$G$55/'Turbinas CS'!$I$56)</f>
        <v>0</v>
      </c>
      <c r="F38" s="544">
        <f>('Turbinas CS'!$C$55*((F32))*'Turbinas CS'!$G$55/'Turbinas CS'!$I$56)</f>
        <v>0</v>
      </c>
      <c r="G38" s="544">
        <f>('Turbinas CS'!$C$55*((G32))*'Turbinas CS'!$G$55/'Turbinas CS'!$I$56)</f>
        <v>0</v>
      </c>
      <c r="H38" s="544">
        <f>('Turbinas CS'!$C$55*((H32))*'Turbinas CS'!$G$55/'Turbinas CS'!$I$56)</f>
        <v>0</v>
      </c>
      <c r="I38" s="544">
        <f>('Turbinas CS'!$C$55*((I32))*'Turbinas CS'!$G$55/'Turbinas CS'!$I$56)</f>
        <v>1.0588050000000001E-3</v>
      </c>
      <c r="J38" s="544">
        <f>('Turbinas CS'!$C$55*((J32))*'Turbinas CS'!$G$55/'Turbinas CS'!$I$56)</f>
        <v>1.1227887E-3</v>
      </c>
      <c r="K38" s="544">
        <f>('Turbinas CS'!$C$55*((K32))*'Turbinas CS'!$G$55/'Turbinas CS'!$I$56)</f>
        <v>4.9278834000000011E-3</v>
      </c>
      <c r="L38" s="544">
        <f>('Turbinas CS'!$C$55*((L32))*'Turbinas CS'!$G$55/'Turbinas CS'!$I$56)</f>
        <v>1.9443302999999999E-2</v>
      </c>
      <c r="M38" s="544">
        <f>('Turbinas CS'!$C$55*((M32))*'Turbinas CS'!$G$55/'Turbinas CS'!$I$56)</f>
        <v>3.1035510000000004E-3</v>
      </c>
      <c r="N38" s="544">
        <f>('Turbinas CS'!$C$55*((N32))*'Turbinas CS'!$G$55/'Turbinas CS'!$I$56)</f>
        <v>0</v>
      </c>
      <c r="O38" s="562">
        <f t="shared" si="12"/>
        <v>2.9656331099999999E-2</v>
      </c>
    </row>
    <row r="39" spans="1:15" ht="21.75" customHeight="1" x14ac:dyDescent="0.2">
      <c r="A39" s="543" t="s">
        <v>23</v>
      </c>
      <c r="B39" s="543" t="s">
        <v>94</v>
      </c>
      <c r="C39" s="549">
        <f>('Turbinas CS'!$C$64*((C32))*'Turbinas CS'!$G$64/'Turbinas CS'!$I$65)</f>
        <v>0</v>
      </c>
      <c r="D39" s="549">
        <f>('Turbinas CS'!$C$64*((D32))*'Turbinas CS'!$G$64/'Turbinas CS'!$I$65)</f>
        <v>0</v>
      </c>
      <c r="E39" s="549">
        <f>('Turbinas CS'!$C$64*((E32))*'Turbinas CS'!$G$64/'Turbinas CS'!$I$65)</f>
        <v>0</v>
      </c>
      <c r="F39" s="549">
        <f>('Turbinas CS'!$C$64*((F32))*'Turbinas CS'!$G$64/'Turbinas CS'!$I$65)</f>
        <v>0</v>
      </c>
      <c r="G39" s="549">
        <f>('Turbinas CS'!$C$64*((G32))*'Turbinas CS'!$G$64/'Turbinas CS'!$I$65)</f>
        <v>0</v>
      </c>
      <c r="H39" s="549">
        <f>('Turbinas CS'!$C$64*((H32))*'Turbinas CS'!$G$64/'Turbinas CS'!$I$65)</f>
        <v>0</v>
      </c>
      <c r="I39" s="549">
        <f>('Turbinas CS'!$C$64*((I32))*'Turbinas CS'!$G$64/'Turbinas CS'!$I$65)</f>
        <v>4.491900000000001E-6</v>
      </c>
      <c r="J39" s="549">
        <f>('Turbinas CS'!$C$64*((J32))*'Turbinas CS'!$G$64/'Turbinas CS'!$I$65)</f>
        <v>4.7633459999999998E-6</v>
      </c>
      <c r="K39" s="549">
        <f>('Turbinas CS'!$C$64*((K32))*'Turbinas CS'!$G$64/'Turbinas CS'!$I$65)</f>
        <v>2.0906172E-5</v>
      </c>
      <c r="L39" s="549">
        <f>('Turbinas CS'!$C$64*((L32))*'Turbinas CS'!$G$64/'Turbinas CS'!$I$65)</f>
        <v>8.2486740000000007E-5</v>
      </c>
      <c r="M39" s="549">
        <f>('Turbinas CS'!$C$64*((M32))*'Turbinas CS'!$G$64/'Turbinas CS'!$I$65)</f>
        <v>1.3166580000000001E-5</v>
      </c>
      <c r="N39" s="549">
        <f>('Turbinas CS'!$C$64*((N32))*'Turbinas CS'!$G$64/'Turbinas CS'!$I$65)</f>
        <v>0</v>
      </c>
      <c r="O39" s="563">
        <f t="shared" si="12"/>
        <v>1.25814738E-4</v>
      </c>
    </row>
    <row r="40" spans="1:15" ht="21.75" customHeight="1" x14ac:dyDescent="0.2">
      <c r="A40" s="543" t="s">
        <v>24</v>
      </c>
      <c r="B40" s="543" t="s">
        <v>94</v>
      </c>
      <c r="C40" s="544">
        <f>('Turbinas CS'!$C$73*((C32))*'Turbinas CS'!$G$73/'Turbinas CS'!$I$74)</f>
        <v>0</v>
      </c>
      <c r="D40" s="544">
        <f>('Turbinas CS'!$C$73*((D32))*'Turbinas CS'!$G$73/'Turbinas CS'!$I$74)</f>
        <v>0</v>
      </c>
      <c r="E40" s="544">
        <f>('Turbinas CS'!$C$73*((E32))*'Turbinas CS'!$G$73/'Turbinas CS'!$I$74)</f>
        <v>0</v>
      </c>
      <c r="F40" s="544">
        <f>('Turbinas CS'!$C$73*((F32))*'Turbinas CS'!$G$73/'Turbinas CS'!$I$74)</f>
        <v>0</v>
      </c>
      <c r="G40" s="544">
        <f>('Turbinas CS'!$C$73*((G32))*'Turbinas CS'!$G$73/'Turbinas CS'!$I$74)</f>
        <v>0</v>
      </c>
      <c r="H40" s="544">
        <f>('Turbinas CS'!$C$73*((H32))*'Turbinas CS'!$G$73/'Turbinas CS'!$I$74)</f>
        <v>0</v>
      </c>
      <c r="I40" s="544">
        <f>('Turbinas CS'!$C$73*((I32))*'Turbinas CS'!$G$73/'Turbinas CS'!$I$74)</f>
        <v>52.494827895558004</v>
      </c>
      <c r="J40" s="544">
        <f>('Turbinas CS'!$C$73*((J32))*'Turbinas CS'!$G$73/'Turbinas CS'!$I$74)</f>
        <v>55.667095989891727</v>
      </c>
      <c r="K40" s="544">
        <f>('Turbinas CS'!$C$73*((K32))*'Turbinas CS'!$G$73/'Turbinas CS'!$I$74)</f>
        <v>244.32108931519704</v>
      </c>
      <c r="L40" s="544">
        <f>('Turbinas CS'!$C$73*((L32))*'Turbinas CS'!$G$73/'Turbinas CS'!$I$74)</f>
        <v>963.98566752724696</v>
      </c>
      <c r="M40" s="544">
        <f>('Turbinas CS'!$C$73*((M32))*'Turbinas CS'!$G$73/'Turbinas CS'!$I$74)</f>
        <v>153.87193639063563</v>
      </c>
      <c r="N40" s="544">
        <f>('Turbinas CS'!$C$73*((N32))*'Turbinas CS'!$G$73/'Turbinas CS'!$I$74)</f>
        <v>0</v>
      </c>
      <c r="O40" s="562">
        <f t="shared" si="12"/>
        <v>1470.3406171185295</v>
      </c>
    </row>
    <row r="41" spans="1:15" ht="21.75" customHeight="1" x14ac:dyDescent="0.2">
      <c r="A41" s="626" t="s">
        <v>16</v>
      </c>
      <c r="B41" s="626"/>
      <c r="C41" s="555"/>
      <c r="D41" s="555"/>
      <c r="E41" s="555"/>
      <c r="F41" s="555"/>
      <c r="G41" s="555"/>
      <c r="H41" s="555"/>
      <c r="I41" s="555"/>
      <c r="J41" s="566"/>
      <c r="K41" s="566"/>
      <c r="L41" s="566"/>
      <c r="M41" s="566"/>
      <c r="N41" s="566"/>
      <c r="O41" s="567"/>
    </row>
    <row r="42" spans="1:15" ht="21.75" hidden="1" customHeight="1" x14ac:dyDescent="0.2">
      <c r="A42" s="543" t="s">
        <v>377</v>
      </c>
      <c r="B42" s="543" t="s">
        <v>92</v>
      </c>
      <c r="C42" s="556">
        <f>SUM('San Juan'!$F$5,'San Juan'!$G$5)</f>
        <v>3758402.3400000003</v>
      </c>
      <c r="D42" s="556">
        <f>SUM('San Juan'!$F$6,'San Juan'!$G$6)</f>
        <v>2148477.66</v>
      </c>
      <c r="E42" s="556">
        <f>SUM('San Juan'!$F$7,'San Juan'!$G$7)</f>
        <v>1022797.8600000001</v>
      </c>
      <c r="F42" s="556">
        <f>SUM('San Juan'!$F$8,'San Juan'!$G$8)</f>
        <v>0</v>
      </c>
      <c r="G42" s="556">
        <f>SUM('San Juan'!$F$9,'San Juan'!$G$9)</f>
        <v>0</v>
      </c>
      <c r="H42" s="556">
        <f>SUM('San Juan'!$F$10,'San Juan'!$G$10)</f>
        <v>0</v>
      </c>
      <c r="I42" s="556">
        <f>SUM('San Juan'!$F$11,'San Juan'!$G$11)</f>
        <v>2206052.1</v>
      </c>
      <c r="J42" s="556">
        <f>SUM('San Juan'!$F$12,'San Juan'!$G$12)</f>
        <v>3909106.3200000003</v>
      </c>
      <c r="K42" s="556">
        <f>SUM('San Juan'!$F$13,'San Juan'!$G$13)</f>
        <v>4140238.2</v>
      </c>
      <c r="L42" s="556">
        <f>SUM('San Juan'!$F$14,'San Juan'!$G$14)</f>
        <v>170853.9</v>
      </c>
      <c r="M42" s="556">
        <f>SUM('San Juan'!$F$15,'San Juan'!$G$15)</f>
        <v>0</v>
      </c>
      <c r="N42" s="556">
        <f>SUM('San Juan'!$F$16,'San Juan'!$G$16)</f>
        <v>0</v>
      </c>
      <c r="O42" s="564">
        <f>SUM(C42:N42)</f>
        <v>17355928.379999999</v>
      </c>
    </row>
    <row r="43" spans="1:15" ht="21.75" hidden="1" customHeight="1" x14ac:dyDescent="0.2">
      <c r="A43" s="543" t="s">
        <v>378</v>
      </c>
      <c r="B43" s="543" t="s">
        <v>92</v>
      </c>
      <c r="C43" s="556">
        <f>SUM('San Juan'!$H$5,'San Juan'!$I$5)</f>
        <v>3614495.22</v>
      </c>
      <c r="D43" s="556">
        <f>SUM('San Juan'!$H$6,'San Juan'!$I$6)</f>
        <v>2644272.54</v>
      </c>
      <c r="E43" s="556">
        <f>SUM('San Juan'!$H$7,'San Juan'!$I$7)</f>
        <v>1388976.96</v>
      </c>
      <c r="F43" s="556">
        <f>SUM('San Juan'!$H$8,'San Juan'!$I$8)</f>
        <v>3577315.14</v>
      </c>
      <c r="G43" s="556">
        <f>SUM('San Juan'!$H$9,'San Juan'!$I$9)</f>
        <v>3632107.5</v>
      </c>
      <c r="H43" s="556">
        <f>SUM('San Juan'!$H$10,'San Juan'!$I$10)</f>
        <v>3676066.8</v>
      </c>
      <c r="I43" s="556">
        <f>SUM('San Juan'!$H$11,'San Juan'!$I$11)</f>
        <v>2120207.04</v>
      </c>
      <c r="J43" s="556">
        <f>SUM('San Juan'!$H$12,'San Juan'!$I$12)</f>
        <v>3958549.98</v>
      </c>
      <c r="K43" s="556">
        <f>SUM('San Juan'!$H$13,'San Juan'!$I$13)</f>
        <v>3609812.22</v>
      </c>
      <c r="L43" s="556">
        <f>SUM('San Juan'!$H$14,'San Juan'!$I$14)</f>
        <v>3728314.8</v>
      </c>
      <c r="M43" s="556">
        <f>SUM('San Juan'!$H$15,'San Juan'!$I$15)</f>
        <v>3559117.38</v>
      </c>
      <c r="N43" s="556">
        <f>SUM('San Juan'!$H$16,'San Juan'!$I$16)</f>
        <v>0</v>
      </c>
      <c r="O43" s="564">
        <f>SUM(C43:N43)</f>
        <v>35509235.579999998</v>
      </c>
    </row>
    <row r="44" spans="1:15" ht="21.75" hidden="1" customHeight="1" x14ac:dyDescent="0.2">
      <c r="A44" s="543" t="s">
        <v>379</v>
      </c>
      <c r="B44" s="543" t="s">
        <v>371</v>
      </c>
      <c r="C44" s="560">
        <f>IF(SUM(C42:C43)=0,0,SUMPRODUCT('San Juan'!F5:I5,'San Juan'!J5:M5)/SUM(C42:C43))</f>
        <v>0.48</v>
      </c>
      <c r="D44" s="560">
        <f>IF(SUM(D42:D43)=0,0,SUMPRODUCT('San Juan'!F6:I6,'San Juan'!J6:M6)/SUM(D42:D43))</f>
        <v>0.48</v>
      </c>
      <c r="E44" s="560">
        <f>IF(SUM(E42:E43)=0,0,SUMPRODUCT('San Juan'!F7:I7,'San Juan'!J7:M7)/SUM(E42:E43))</f>
        <v>0.47</v>
      </c>
      <c r="F44" s="560">
        <f>IF(SUM(F42:F43)=0,0,SUMPRODUCT('San Juan'!F8:I8,'San Juan'!J8:M8)/SUM(F42:F43))</f>
        <v>0.47</v>
      </c>
      <c r="G44" s="560">
        <f>IF(SUM(G42:G43)=0,0,SUMPRODUCT('San Juan'!F9:I9,'San Juan'!J9:M9)/SUM(G42:G43))</f>
        <v>0.47</v>
      </c>
      <c r="H44" s="560">
        <f>IF(SUM(H42:H43)=0,0,SUMPRODUCT('San Juan'!F10:I10,'San Juan'!J10:M10)/SUM(H42:H43))</f>
        <v>0.49</v>
      </c>
      <c r="I44" s="560">
        <f>IF(SUM(I42:I43)=0,0,SUMPRODUCT('San Juan'!F11:I11,'San Juan'!J11:M11)/SUM(I42:I43))</f>
        <v>0.47999999999999987</v>
      </c>
      <c r="J44" s="560">
        <f>IF(SUM(J42:J43)=0,0,SUMPRODUCT('San Juan'!F12:I12,'San Juan'!J12:M12)/SUM(J42:J43))</f>
        <v>0.48</v>
      </c>
      <c r="K44" s="560">
        <f>IF(SUM(K42:K43)=0,0,SUMPRODUCT('San Juan'!F13:I13,'San Juan'!J13:M13)/SUM(K42:K43))</f>
        <v>0.49000000000000005</v>
      </c>
      <c r="L44" s="560">
        <f>IF(SUM(L42:L43)=0,0,SUMPRODUCT('San Juan'!F14:I14,'San Juan'!J14:M14)/SUM(L42:L43))</f>
        <v>0.49000000000000005</v>
      </c>
      <c r="M44" s="560">
        <f>IF(SUM(M42:M43)=0,0,SUMPRODUCT('San Juan'!F15:I15,'San Juan'!J15:M15)/SUM(M42:M43))</f>
        <v>0.5</v>
      </c>
      <c r="N44" s="560">
        <f>IF(SUM(N42:N43)=0,0,SUMPRODUCT('San Juan'!F16:I16,'San Juan'!J16:M16)/SUM(N42:N43))</f>
        <v>0</v>
      </c>
      <c r="O44" s="565">
        <f>IF(SUM(O42:O43)=0,0,(SUMPRODUCT(C44:N44,C42:N42)+SUMPRODUCT(C44:N44,C43:N43))/SUM(O42:O43))</f>
        <v>0.48242547686595694</v>
      </c>
    </row>
    <row r="45" spans="1:15" ht="21.75" hidden="1" customHeight="1" x14ac:dyDescent="0.2">
      <c r="A45" s="543" t="s">
        <v>380</v>
      </c>
      <c r="B45" s="543" t="s">
        <v>92</v>
      </c>
      <c r="C45" s="556">
        <f>'San Juan'!$D$23</f>
        <v>0</v>
      </c>
      <c r="D45" s="556">
        <f>'San Juan'!$D$24</f>
        <v>0</v>
      </c>
      <c r="E45" s="556">
        <f>'San Juan'!$D$25</f>
        <v>164657.22</v>
      </c>
      <c r="F45" s="556">
        <f>'San Juan'!$D$26</f>
        <v>41727.839999999997</v>
      </c>
      <c r="G45" s="556">
        <f>'San Juan'!$D$27</f>
        <v>155799</v>
      </c>
      <c r="H45" s="556">
        <f>'San Juan'!$D$28</f>
        <v>314725.32</v>
      </c>
      <c r="I45" s="556">
        <f>'San Juan'!$D$29</f>
        <v>2297904</v>
      </c>
      <c r="J45" s="556">
        <f>'San Juan'!$D$30</f>
        <v>1709106</v>
      </c>
      <c r="K45" s="556">
        <f>'San Juan'!$D$31</f>
        <v>0</v>
      </c>
      <c r="L45" s="556">
        <f>'San Juan'!$D$32</f>
        <v>1941200.1</v>
      </c>
      <c r="M45" s="556">
        <f>'San Juan'!$D$33</f>
        <v>1061999.82</v>
      </c>
      <c r="N45" s="556">
        <f>'San Juan'!$D$34</f>
        <v>908244.96000000008</v>
      </c>
      <c r="O45" s="564">
        <f>SUM(C45:N45)</f>
        <v>8595364.2600000016</v>
      </c>
    </row>
    <row r="46" spans="1:15" ht="21.75" hidden="1" customHeight="1" x14ac:dyDescent="0.2">
      <c r="A46" s="543" t="s">
        <v>381</v>
      </c>
      <c r="B46" s="543" t="s">
        <v>73</v>
      </c>
      <c r="C46" s="558">
        <f>'San Juan'!$N$23</f>
        <v>1004167539.2</v>
      </c>
      <c r="D46" s="558">
        <f>'San Juan'!$N$24</f>
        <v>971563130.87</v>
      </c>
      <c r="E46" s="558">
        <f>'San Juan'!$N$25</f>
        <v>1039795015.27</v>
      </c>
      <c r="F46" s="558">
        <f>'San Juan'!$N$26</f>
        <v>929926447.27999997</v>
      </c>
      <c r="G46" s="558">
        <f>'San Juan'!$N$27</f>
        <v>1098783938</v>
      </c>
      <c r="H46" s="558">
        <f>'San Juan'!$N$28</f>
        <v>967300262.52999997</v>
      </c>
      <c r="I46" s="558">
        <f>'San Juan'!$N$29</f>
        <v>729409265.10000002</v>
      </c>
      <c r="J46" s="558">
        <f>'San Juan'!$N$30</f>
        <v>814666364.41999996</v>
      </c>
      <c r="K46" s="558">
        <f>'San Juan'!$N$31</f>
        <v>1086279524.74</v>
      </c>
      <c r="L46" s="558">
        <f>'San Juan'!$N$32</f>
        <v>717860810.25999999</v>
      </c>
      <c r="M46" s="558">
        <f>'San Juan'!$N$33</f>
        <v>761485379.05999994</v>
      </c>
      <c r="N46" s="558">
        <f>'San Juan'!$N$34</f>
        <v>942732974.85000002</v>
      </c>
      <c r="O46" s="568">
        <f>SUM(C46:N46)</f>
        <v>11063970651.58</v>
      </c>
    </row>
    <row r="47" spans="1:15" ht="21.75" hidden="1" customHeight="1" x14ac:dyDescent="0.2">
      <c r="A47" s="543" t="s">
        <v>382</v>
      </c>
      <c r="B47" s="543" t="s">
        <v>371</v>
      </c>
      <c r="C47" s="560">
        <f>'San Juan'!$F$23</f>
        <v>4.6000000000000001E-4</v>
      </c>
      <c r="D47" s="560">
        <f>'San Juan'!$F$24</f>
        <v>5.5000000000000003E-4</v>
      </c>
      <c r="E47" s="560">
        <f>'San Juan'!$F$25</f>
        <v>4.6000000000000001E-4</v>
      </c>
      <c r="F47" s="560">
        <f>'San Juan'!$F$26</f>
        <v>1E-3</v>
      </c>
      <c r="G47" s="560">
        <f>'San Juan'!$F$27</f>
        <v>5.9999999999999995E-4</v>
      </c>
      <c r="H47" s="560">
        <f>'San Juan'!$F$28</f>
        <v>5.9999999999999995E-4</v>
      </c>
      <c r="I47" s="560">
        <f>'San Juan'!$F$29</f>
        <v>5.9999999999999995E-4</v>
      </c>
      <c r="J47" s="560">
        <f>'San Juan'!$F$30</f>
        <v>1E-3</v>
      </c>
      <c r="K47" s="560">
        <f>'San Juan'!$F$31</f>
        <v>1E-3</v>
      </c>
      <c r="L47" s="560">
        <f>'San Juan'!$F$32</f>
        <v>6.9999999999999999E-4</v>
      </c>
      <c r="M47" s="560">
        <f>'San Juan'!$F$33</f>
        <v>1E-3</v>
      </c>
      <c r="N47" s="560">
        <f>'San Juan'!$F$34</f>
        <v>1E-3</v>
      </c>
      <c r="O47" s="565">
        <f>IF(O45=0,0,SUMPRODUCT(C47:N47,C45:N45)/O45)</f>
        <v>7.9306912389074226E-4</v>
      </c>
    </row>
    <row r="48" spans="1:15" ht="21.75" hidden="1" customHeight="1" x14ac:dyDescent="0.2">
      <c r="A48" s="543" t="s">
        <v>383</v>
      </c>
      <c r="B48" s="543" t="s">
        <v>92</v>
      </c>
      <c r="C48" s="556">
        <f>'San Juan'!$E$23</f>
        <v>89991.3</v>
      </c>
      <c r="D48" s="556">
        <f>'San Juan'!$E$24</f>
        <v>17210.759999999998</v>
      </c>
      <c r="E48" s="556">
        <f>'San Juan'!$E$25</f>
        <v>989293.2</v>
      </c>
      <c r="F48" s="556">
        <f>'San Juan'!$E$26</f>
        <v>0</v>
      </c>
      <c r="G48" s="556">
        <f>'San Juan'!$E$27</f>
        <v>0</v>
      </c>
      <c r="H48" s="556">
        <f>'San Juan'!$E$28</f>
        <v>368856.18000000005</v>
      </c>
      <c r="I48" s="556">
        <f>'San Juan'!$E$29</f>
        <v>0</v>
      </c>
      <c r="J48" s="556">
        <f>'San Juan'!$E$30</f>
        <v>34314.42</v>
      </c>
      <c r="K48" s="556">
        <f>'San Juan'!$E$31</f>
        <v>0</v>
      </c>
      <c r="L48" s="556">
        <f>'San Juan'!$E$32</f>
        <v>0</v>
      </c>
      <c r="M48" s="556">
        <f>'San Juan'!$E$33</f>
        <v>0</v>
      </c>
      <c r="N48" s="556">
        <f>'San Juan'!$E$34</f>
        <v>0</v>
      </c>
      <c r="O48" s="564">
        <f>SUM(C48:N48)</f>
        <v>1499665.8599999999</v>
      </c>
    </row>
    <row r="49" spans="1:15" ht="21.75" hidden="1" customHeight="1" x14ac:dyDescent="0.2">
      <c r="A49" s="543" t="s">
        <v>384</v>
      </c>
      <c r="B49" s="543" t="s">
        <v>73</v>
      </c>
      <c r="C49" s="558">
        <f>'San Juan'!$O$23</f>
        <v>1071647711.21</v>
      </c>
      <c r="D49" s="558">
        <f>'San Juan'!$O$24</f>
        <v>811743190.39999998</v>
      </c>
      <c r="E49" s="558">
        <f>'San Juan'!$O$25</f>
        <v>850733838.38</v>
      </c>
      <c r="F49" s="558">
        <f>'San Juan'!$O$26</f>
        <v>0</v>
      </c>
      <c r="G49" s="558">
        <f>'San Juan'!$O$27</f>
        <v>0</v>
      </c>
      <c r="H49" s="558">
        <f>'San Juan'!$O$28</f>
        <v>652704802.55999994</v>
      </c>
      <c r="I49" s="558">
        <f>'San Juan'!$O$29</f>
        <v>1051356590.9</v>
      </c>
      <c r="J49" s="558">
        <f>'San Juan'!$O$30</f>
        <v>234377239.78</v>
      </c>
      <c r="K49" s="558">
        <f>'San Juan'!$O$31</f>
        <v>0</v>
      </c>
      <c r="L49" s="558">
        <f>'San Juan'!$O$32</f>
        <v>0</v>
      </c>
      <c r="M49" s="558">
        <f>'San Juan'!$O$33</f>
        <v>0</v>
      </c>
      <c r="N49" s="558">
        <f>'San Juan'!$O$34</f>
        <v>0</v>
      </c>
      <c r="O49" s="568">
        <f>SUM(C49:N49)</f>
        <v>4672563373.2299995</v>
      </c>
    </row>
    <row r="50" spans="1:15" ht="21.75" hidden="1" customHeight="1" x14ac:dyDescent="0.2">
      <c r="A50" s="543" t="s">
        <v>385</v>
      </c>
      <c r="B50" s="543" t="s">
        <v>371</v>
      </c>
      <c r="C50" s="560">
        <f>'San Juan'!$G$23</f>
        <v>4.6000000000000001E-4</v>
      </c>
      <c r="D50" s="560">
        <f>'San Juan'!$G$24</f>
        <v>5.5000000000000003E-4</v>
      </c>
      <c r="E50" s="560">
        <f>'San Juan'!$G$25</f>
        <v>4.6000000000000001E-4</v>
      </c>
      <c r="F50" s="560">
        <f>'San Juan'!$G$26</f>
        <v>1E-3</v>
      </c>
      <c r="G50" s="560">
        <f>'San Juan'!$G$27</f>
        <v>5.9999999999999995E-4</v>
      </c>
      <c r="H50" s="560">
        <f>'San Juan'!$G$28</f>
        <v>5.9999999999999995E-4</v>
      </c>
      <c r="I50" s="560">
        <f>'San Juan'!$G$29</f>
        <v>5.9999999999999995E-4</v>
      </c>
      <c r="J50" s="560">
        <f>'San Juan'!$G$30</f>
        <v>1E-3</v>
      </c>
      <c r="K50" s="560">
        <f>'San Juan'!$G$31</f>
        <v>1E-3</v>
      </c>
      <c r="L50" s="560">
        <f>'San Juan'!$G$32</f>
        <v>6.9999999999999999E-4</v>
      </c>
      <c r="M50" s="560">
        <f>'San Juan'!$G$33</f>
        <v>1E-3</v>
      </c>
      <c r="N50" s="560">
        <f>'San Juan'!$G$34</f>
        <v>1E-3</v>
      </c>
      <c r="O50" s="565">
        <f>IF(O48=0,0,SUMPRODUCT(C50:N50,C48:N48)/O48)</f>
        <v>5.0782306666633068E-4</v>
      </c>
    </row>
    <row r="51" spans="1:15" ht="21.75" customHeight="1" x14ac:dyDescent="0.2">
      <c r="A51" s="543" t="s">
        <v>17</v>
      </c>
      <c r="B51" s="543" t="s">
        <v>94</v>
      </c>
      <c r="C51" s="544">
        <f>((('Cálculos SJ'!$B$31*((C42+C43))*'Cálculos SJ'!$H$31)/'Cálculos SJ'!$F$32))+((((C45)*'Cálculos SJ5'!$E$38*'Cálculos SJ5'!$H$38+(C46)*'Cálculos SJ5'!$O$38*'Cálculos SJ5'!$R$38/1000000)/2000))+((((C48)*'Cálculos SJ6'!$E$38*'Cálculos SJ6'!$H$38+(C49)*'Cálculos SJ6'!$O$38*'Cálculos SJ6'!$R$38/1000000)/2000))</f>
        <v>23.752560594360066</v>
      </c>
      <c r="D51" s="544">
        <f>((('Cálculos SJ'!$B$31*((D42+D43))*'Cálculos SJ'!$H$31)/'Cálculos SJ'!$F$32))+((((D45)*'Cálculos SJ5'!$E$38*'Cálculos SJ5'!$H$38+(D46)*'Cálculos SJ5'!$O$38*'Cálculos SJ5'!$R$38/1000000)/2000))+((((D48)*'Cálculos SJ6'!$E$38*'Cálculos SJ6'!$H$38+(D49)*'Cálculos SJ6'!$O$38*'Cálculos SJ6'!$R$38/1000000)/2000))</f>
        <v>16.820023232690819</v>
      </c>
      <c r="E51" s="544">
        <f>((('Cálculos SJ'!$B$31*((E42+E43))*'Cálculos SJ'!$H$31)/'Cálculos SJ'!$F$32))+((((E45)*'Cálculos SJ5'!$E$38*'Cálculos SJ5'!$H$38+(E46)*'Cálculos SJ5'!$O$38*'Cálculos SJ5'!$R$38/1000000)/2000))+((((E48)*'Cálculos SJ6'!$E$38*'Cálculos SJ6'!$H$38+(E49)*'Cálculos SJ6'!$O$38*'Cálculos SJ6'!$R$38/1000000)/2000))</f>
        <v>14.051294709417899</v>
      </c>
      <c r="F51" s="544">
        <f>((('Cálculos SJ'!$B$31*((F42+F43))*'Cálculos SJ'!$H$31)/'Cálculos SJ'!$F$32))+((((F45)*'Cálculos SJ5'!$E$38*'Cálculos SJ5'!$H$38+(F46)*'Cálculos SJ5'!$O$38*'Cálculos SJ5'!$R$38/1000000)/2000))+((((F48)*'Cálculos SJ6'!$E$38*'Cálculos SJ6'!$H$38+(F49)*'Cálculos SJ6'!$O$38*'Cálculos SJ6'!$R$38/1000000)/2000))</f>
        <v>11.260861361808477</v>
      </c>
      <c r="G51" s="544">
        <f>((('Cálculos SJ'!$B$31*((G42+G43))*'Cálculos SJ'!$H$31)/'Cálculos SJ'!$F$32))+((((G45)*'Cálculos SJ5'!$E$38*'Cálculos SJ5'!$H$38+(G46)*'Cálculos SJ5'!$O$38*'Cálculos SJ5'!$R$38/1000000)/2000))+((((G48)*'Cálculos SJ6'!$E$38*'Cálculos SJ6'!$H$38+(G49)*'Cálculos SJ6'!$O$38*'Cálculos SJ6'!$R$38/1000000)/2000))</f>
        <v>12.176052330708</v>
      </c>
      <c r="H51" s="544">
        <f>((('Cálculos SJ'!$B$31*((H42+H43))*'Cálculos SJ'!$H$31)/'Cálculos SJ'!$F$32))+((((H45)*'Cálculos SJ5'!$E$38*'Cálculos SJ5'!$H$38+(H46)*'Cálculos SJ5'!$O$38*'Cálculos SJ5'!$R$38/1000000)/2000))+((((H48)*'Cálculos SJ6'!$E$38*'Cálculos SJ6'!$H$38+(H49)*'Cálculos SJ6'!$O$38*'Cálculos SJ6'!$R$38/1000000)/2000))</f>
        <v>15.063633656492939</v>
      </c>
      <c r="I51" s="544">
        <f>((('Cálculos SJ'!$B$31*((I42+I43))*'Cálculos SJ'!$H$31)/'Cálculos SJ'!$F$32))+((((I45)*'Cálculos SJ5'!$E$38*'Cálculos SJ5'!$H$38+(I46)*'Cálculos SJ5'!$O$38*'Cálculos SJ5'!$R$38/1000000)/2000))+((((I48)*'Cálculos SJ6'!$E$38*'Cálculos SJ6'!$H$38+(I49)*'Cálculos SJ6'!$O$38*'Cálculos SJ6'!$R$38/1000000)/2000))</f>
        <v>20.231113614696</v>
      </c>
      <c r="J51" s="544">
        <f>((('Cálculos SJ'!$B$31*((J42+J43))*'Cálculos SJ'!$H$31)/'Cálculos SJ'!$F$32))+((((J45)*'Cálculos SJ5'!$E$38*'Cálculos SJ5'!$H$38+(J46)*'Cálculos SJ5'!$O$38*'Cálculos SJ5'!$R$38/1000000)/2000))+((((J48)*'Cálculos SJ6'!$E$38*'Cálculos SJ6'!$H$38+(J49)*'Cálculos SJ6'!$O$38*'Cálculos SJ6'!$R$38/1000000)/2000))</f>
        <v>24.649714101769202</v>
      </c>
      <c r="K51" s="544">
        <f>((('Cálculos SJ'!$B$31*((K42+K43))*'Cálculos SJ'!$H$31)/'Cálculos SJ'!$F$32))+((((K45)*'Cálculos SJ5'!$E$38*'Cálculos SJ5'!$H$38+(K46)*'Cálculos SJ5'!$O$38*'Cálculos SJ5'!$R$38/1000000)/2000))+((((K48)*'Cálculos SJ6'!$E$38*'Cálculos SJ6'!$H$38+(K49)*'Cálculos SJ6'!$O$38*'Cálculos SJ6'!$R$38/1000000)/2000))</f>
        <v>21.09403032527484</v>
      </c>
      <c r="L51" s="544">
        <f>((('Cálculos SJ'!$B$31*((L42+L43))*'Cálculos SJ'!$H$31)/'Cálculos SJ'!$F$32))+((((L45)*'Cálculos SJ5'!$E$38*'Cálculos SJ5'!$H$38+(L46)*'Cálculos SJ5'!$O$38*'Cálculos SJ5'!$R$38/1000000)/2000))+((((L48)*'Cálculos SJ6'!$E$38*'Cálculos SJ6'!$H$38+(L49)*'Cálculos SJ6'!$O$38*'Cálculos SJ6'!$R$38/1000000)/2000))</f>
        <v>14.993424778295159</v>
      </c>
      <c r="M51" s="544">
        <f>((('Cálculos SJ'!$B$31*((M42+M43))*'Cálculos SJ'!$H$31)/'Cálculos SJ'!$F$32))+((((M45)*'Cálculos SJ5'!$E$38*'Cálculos SJ5'!$H$38+(M46)*'Cálculos SJ5'!$O$38*'Cálculos SJ5'!$R$38/1000000)/2000))+((((M48)*'Cálculos SJ6'!$E$38*'Cálculos SJ6'!$H$38+(M49)*'Cálculos SJ6'!$O$38*'Cálculos SJ6'!$R$38/1000000)/2000))</f>
        <v>12.65226873818796</v>
      </c>
      <c r="N51" s="544">
        <f>((('Cálculos SJ'!$B$31*((N42+N43))*'Cálculos SJ'!$H$31)/'Cálculos SJ'!$F$32))+((((N45)*'Cálculos SJ5'!$E$38*'Cálculos SJ5'!$H$38+(N46)*'Cálculos SJ5'!$O$38*'Cálculos SJ5'!$R$38/1000000)/2000))+((((N48)*'Cálculos SJ6'!$E$38*'Cálculos SJ6'!$H$38+(N49)*'Cálculos SJ6'!$O$38*'Cálculos SJ6'!$R$38/1000000)/2000))</f>
        <v>4.9530360169611001</v>
      </c>
      <c r="O51" s="562">
        <f t="shared" ref="O51:O60" si="13">SUM(C51:N51)</f>
        <v>191.69801346066245</v>
      </c>
    </row>
    <row r="52" spans="1:15" ht="21.75" customHeight="1" x14ac:dyDescent="0.2">
      <c r="A52" s="543" t="s">
        <v>18</v>
      </c>
      <c r="B52" s="543" t="s">
        <v>94</v>
      </c>
      <c r="C52" s="544">
        <f>((('Cálculos SJ'!$B$23*(C42+C43)*'Cálculos SJ'!$H$23)/'Cálculos SJ'!$F$24))+((((C45)*'Cálculos SJ5'!$E$44*'Cálculos SJ5'!$H$44+(C46)*'Cálculos SJ5'!$O$44*'Cálculos SJ5'!$R$44/1000000)/2000))+((((C48)*'Cálculos SJ6'!$E$44*'Cálculos SJ6'!$H$44+(C49)*'Cálculos SJ6'!$O$44*'Cálculos SJ6'!$R$44/1000000)/2000))</f>
        <v>29.327562382170061</v>
      </c>
      <c r="D52" s="544">
        <f>((('Cálculos SJ'!$B$23*(D42+D43)*'Cálculos SJ'!$H$23)/'Cálculos SJ'!$F$24))+((((D45)*'Cálculos SJ5'!$E$44*'Cálculos SJ5'!$H$44+(D46)*'Cálculos SJ5'!$O$44*'Cálculos SJ5'!$R$44/1000000)/2000))+((((D48)*'Cálculos SJ6'!$E$44*'Cálculos SJ6'!$H$44+(D49)*'Cálculos SJ6'!$O$44*'Cálculos SJ6'!$R$44/1000000)/2000))</f>
        <v>20.423254942502819</v>
      </c>
      <c r="E52" s="544">
        <f>((('Cálculos SJ'!$B$23*(E42+E43)*'Cálculos SJ'!$H$23)/'Cálculos SJ'!$F$24))+((((E45)*'Cálculos SJ5'!$E$44*'Cálculos SJ5'!$H$44+(E46)*'Cálculos SJ5'!$O$44*'Cálculos SJ5'!$R$44/1000000)/2000))+((((E48)*'Cálculos SJ6'!$E$44*'Cálculos SJ6'!$H$44+(E49)*'Cálculos SJ6'!$O$44*'Cálculos SJ6'!$R$44/1000000)/2000))</f>
        <v>16.441370650971901</v>
      </c>
      <c r="F52" s="544">
        <f>((('Cálculos SJ'!$B$23*(F42+F43)*'Cálculos SJ'!$H$23)/'Cálculos SJ'!$F$24))+((((F45)*'Cálculos SJ5'!$E$44*'Cálculos SJ5'!$H$44+(F46)*'Cálculos SJ5'!$O$44*'Cálculos SJ5'!$R$44/1000000)/2000))+((((F48)*'Cálculos SJ6'!$E$44*'Cálculos SJ6'!$H$44+(F49)*'Cálculos SJ6'!$O$44*'Cálculos SJ6'!$R$44/1000000)/2000))</f>
        <v>13.964866029816481</v>
      </c>
      <c r="G52" s="544">
        <f>((('Cálculos SJ'!$B$23*(G42+G43)*'Cálculos SJ'!$H$23)/'Cálculos SJ'!$F$24))+((((G45)*'Cálculos SJ5'!$E$44*'Cálculos SJ5'!$H$44+(G46)*'Cálculos SJ5'!$O$44*'Cálculos SJ5'!$R$44/1000000)/2000))+((((G48)*'Cálculos SJ6'!$E$44*'Cálculos SJ6'!$H$44+(G49)*'Cálculos SJ6'!$O$44*'Cálculos SJ6'!$R$44/1000000)/2000))</f>
        <v>14.978608912007999</v>
      </c>
      <c r="H52" s="544">
        <f>((('Cálculos SJ'!$B$23*(H42+H43)*'Cálculos SJ'!$H$23)/'Cálculos SJ'!$F$24))+((((H45)*'Cálculos SJ5'!$E$44*'Cálculos SJ5'!$H$44+(H46)*'Cálculos SJ5'!$O$44*'Cálculos SJ5'!$R$44/1000000)/2000))+((((H48)*'Cálculos SJ6'!$E$44*'Cálculos SJ6'!$H$44+(H49)*'Cálculos SJ6'!$O$44*'Cálculos SJ6'!$R$44/1000000)/2000))</f>
        <v>18.165003758042939</v>
      </c>
      <c r="I52" s="544">
        <f>((('Cálculos SJ'!$B$23*(I42+I43)*'Cálculos SJ'!$H$23)/'Cálculos SJ'!$F$24))+((((I45)*'Cálculos SJ5'!$E$44*'Cálculos SJ5'!$H$44+(I46)*'Cálculos SJ5'!$O$44*'Cálculos SJ5'!$R$44/1000000)/2000))+((((I48)*'Cálculos SJ6'!$E$44*'Cálculos SJ6'!$H$44+(I49)*'Cálculos SJ6'!$O$44*'Cálculos SJ6'!$R$44/1000000)/2000))</f>
        <v>24.633262214496003</v>
      </c>
      <c r="J52" s="544">
        <f>((('Cálculos SJ'!$B$23*(J42+J43)*'Cálculos SJ'!$H$23)/'Cálculos SJ'!$F$24))+((((J45)*'Cálculos SJ5'!$E$44*'Cálculos SJ5'!$H$44+(J46)*'Cálculos SJ5'!$O$44*'Cálculos SJ5'!$R$44/1000000)/2000))+((((J48)*'Cálculos SJ6'!$E$44*'Cálculos SJ6'!$H$44+(J49)*'Cálculos SJ6'!$O$44*'Cálculos SJ6'!$R$44/1000000)/2000))</f>
        <v>31.428617192323205</v>
      </c>
      <c r="K52" s="544">
        <f>((('Cálculos SJ'!$B$23*(K42+K43)*'Cálculos SJ'!$H$23)/'Cálculos SJ'!$F$24))+((((K45)*'Cálculos SJ5'!$E$44*'Cálculos SJ5'!$H$44+(K46)*'Cálculos SJ5'!$O$44*'Cálculos SJ5'!$R$44/1000000)/2000))+((((K48)*'Cálculos SJ6'!$E$44*'Cálculos SJ6'!$H$44+(K49)*'Cálculos SJ6'!$O$44*'Cálculos SJ6'!$R$44/1000000)/2000))</f>
        <v>26.906568140274839</v>
      </c>
      <c r="L52" s="544">
        <f>((('Cálculos SJ'!$B$23*(L42+L43)*'Cálculos SJ'!$H$23)/'Cálculos SJ'!$F$24))+((((L45)*'Cálculos SJ5'!$E$44*'Cálculos SJ5'!$H$44+(L46)*'Cálculos SJ5'!$O$44*'Cálculos SJ5'!$R$44/1000000)/2000))+((((L48)*'Cálculos SJ6'!$E$44*'Cálculos SJ6'!$H$44+(L49)*'Cálculos SJ6'!$O$44*'Cálculos SJ6'!$R$44/1000000)/2000))</f>
        <v>18.89558379366516</v>
      </c>
      <c r="M52" s="544">
        <f>((('Cálculos SJ'!$B$23*(M42+M43)*'Cálculos SJ'!$H$23)/'Cálculos SJ'!$F$24))+((((M45)*'Cálculos SJ5'!$E$44*'Cálculos SJ5'!$H$44+(M46)*'Cálculos SJ5'!$O$44*'Cálculos SJ5'!$R$44/1000000)/2000))+((((M48)*'Cálculos SJ6'!$E$44*'Cálculos SJ6'!$H$44+(M49)*'Cálculos SJ6'!$O$44*'Cálculos SJ6'!$R$44/1000000)/2000))</f>
        <v>15.856536082521959</v>
      </c>
      <c r="N52" s="544">
        <f>((('Cálculos SJ'!$B$23*(N42+N43)*'Cálculos SJ'!$H$23)/'Cálculos SJ'!$F$24))+((((N45)*'Cálculos SJ5'!$E$44*'Cálculos SJ5'!$H$44+(N46)*'Cálculos SJ5'!$O$44*'Cálculos SJ5'!$R$44/1000000)/2000))+((((N48)*'Cálculos SJ6'!$E$44*'Cálculos SJ6'!$H$44+(N49)*'Cálculos SJ6'!$O$44*'Cálculos SJ6'!$R$44/1000000)/2000))</f>
        <v>5.4105190033130999</v>
      </c>
      <c r="O52" s="562">
        <f t="shared" si="13"/>
        <v>236.43175310210648</v>
      </c>
    </row>
    <row r="53" spans="1:15" ht="21.75" customHeight="1" x14ac:dyDescent="0.2">
      <c r="A53" s="543" t="s">
        <v>40</v>
      </c>
      <c r="B53" s="543" t="s">
        <v>94</v>
      </c>
      <c r="C53" s="544">
        <f>((((C45)*'Cálculos SJ5'!$E$50*'Cálculos SJ5'!$H$50+(C46)*'Cálculos SJ5'!$O$50*'Cálculos SJ5'!$R$50/1000000)/2000))+((((C48)*'Cálculos SJ6'!$E$50*'Cálculos SJ6'!$H$50+(C49)*'Cálculos SJ6'!$O$50*'Cálculos SJ6'!$R$50/1000000)/2000))</f>
        <v>7.2088697021700607</v>
      </c>
      <c r="D53" s="544">
        <f>((((D45)*'Cálculos SJ5'!$E$50*'Cálculos SJ5'!$H$50+(D46)*'Cálculos SJ5'!$O$50*'Cálculos SJ5'!$R$50/1000000)/2000))+((((D48)*'Cálculos SJ6'!$E$50*'Cálculos SJ6'!$H$50+(D49)*'Cálculos SJ6'!$O$50*'Cálculos SJ6'!$R$50/1000000)/2000))</f>
        <v>6.0450043425028204</v>
      </c>
      <c r="E53" s="544">
        <f>((((E45)*'Cálculos SJ5'!$E$50*'Cálculos SJ5'!$H$50+(E46)*'Cálculos SJ5'!$O$50*'Cálculos SJ5'!$R$50/1000000)/2000))+((((E48)*'Cálculos SJ6'!$E$50*'Cálculos SJ6'!$H$50+(E49)*'Cálculos SJ6'!$O$50*'Cálculos SJ6'!$R$50/1000000)/2000))</f>
        <v>9.2060461909719002</v>
      </c>
      <c r="F53" s="544">
        <f>((((F45)*'Cálculos SJ5'!$E$50*'Cálculos SJ5'!$H$50+(F46)*'Cálculos SJ5'!$O$50*'Cálculos SJ5'!$R$50/1000000)/2000))+((((F48)*'Cálculos SJ6'!$E$50*'Cálculos SJ6'!$H$50+(F49)*'Cálculos SJ6'!$O$50*'Cálculos SJ6'!$R$50/1000000)/2000))</f>
        <v>3.2329206098164796</v>
      </c>
      <c r="G53" s="544">
        <f>((((G45)*'Cálculos SJ5'!$E$50*'Cálculos SJ5'!$H$50+(G46)*'Cálculos SJ5'!$O$50*'Cálculos SJ5'!$R$50/1000000)/2000))+((((G48)*'Cálculos SJ6'!$E$50*'Cálculos SJ6'!$H$50+(G49)*'Cálculos SJ6'!$O$50*'Cálculos SJ6'!$R$50/1000000)/2000))</f>
        <v>4.082286412008</v>
      </c>
      <c r="H53" s="544">
        <f>((((H45)*'Cálculos SJ5'!$E$50*'Cálculos SJ5'!$H$50+(H46)*'Cálculos SJ5'!$O$50*'Cálculos SJ5'!$R$50/1000000)/2000))+((((H48)*'Cálculos SJ6'!$E$50*'Cálculos SJ6'!$H$50+(H49)*'Cálculos SJ6'!$O$50*'Cálculos SJ6'!$R$50/1000000)/2000))</f>
        <v>7.1368033580429406</v>
      </c>
      <c r="I53" s="544">
        <f>((((I45)*'Cálculos SJ5'!$E$50*'Cálculos SJ5'!$H$50+(I46)*'Cálculos SJ5'!$O$50*'Cálculos SJ5'!$R$50/1000000)/2000))+((((I48)*'Cálculos SJ6'!$E$50*'Cálculos SJ6'!$H$50+(I49)*'Cálculos SJ6'!$O$50*'Cálculos SJ6'!$R$50/1000000)/2000))</f>
        <v>11.654484794496001</v>
      </c>
      <c r="J53" s="544">
        <f>((((J45)*'Cálculos SJ5'!$E$50*'Cálculos SJ5'!$H$50+(J46)*'Cálculos SJ5'!$O$50*'Cálculos SJ5'!$R$50/1000000)/2000))+((((J48)*'Cálculos SJ6'!$E$50*'Cálculos SJ6'!$H$50+(J49)*'Cálculos SJ6'!$O$50*'Cálculos SJ6'!$R$50/1000000)/2000))</f>
        <v>7.8256482923232014</v>
      </c>
      <c r="K53" s="544">
        <f>((((K45)*'Cálculos SJ5'!$E$50*'Cálculos SJ5'!$H$50+(K46)*'Cálculos SJ5'!$O$50*'Cálculos SJ5'!$R$50/1000000)/2000))+((((K48)*'Cálculos SJ6'!$E$50*'Cálculos SJ6'!$H$50+(K49)*'Cálculos SJ6'!$O$50*'Cálculos SJ6'!$R$50/1000000)/2000))</f>
        <v>3.6564168802748402</v>
      </c>
      <c r="L53" s="544">
        <f>((((L45)*'Cálculos SJ5'!$E$50*'Cálculos SJ5'!$H$50+(L46)*'Cálculos SJ5'!$O$50*'Cálculos SJ5'!$R$50/1000000)/2000))+((((L48)*'Cálculos SJ6'!$E$50*'Cálculos SJ6'!$H$50+(L49)*'Cálculos SJ6'!$O$50*'Cálculos SJ6'!$R$50/1000000)/2000))</f>
        <v>7.1980776936651623</v>
      </c>
      <c r="M53" s="544">
        <f>((((M45)*'Cálculos SJ5'!$E$50*'Cálculos SJ5'!$H$50+(M46)*'Cálculos SJ5'!$O$50*'Cálculos SJ5'!$R$50/1000000)/2000))+((((M48)*'Cálculos SJ6'!$E$50*'Cálculos SJ6'!$H$50+(M49)*'Cálculos SJ6'!$O$50*'Cálculos SJ6'!$R$50/1000000)/2000))</f>
        <v>5.1791839425219601</v>
      </c>
      <c r="N53" s="544">
        <f>((((N45)*'Cálculos SJ5'!$E$50*'Cálculos SJ5'!$H$50+(N46)*'Cálculos SJ5'!$O$50*'Cálculos SJ5'!$R$50/1000000)/2000))+((((N48)*'Cálculos SJ6'!$E$50*'Cálculos SJ6'!$H$50+(N49)*'Cálculos SJ6'!$O$50*'Cálculos SJ6'!$R$50/1000000)/2000))</f>
        <v>5.4105190033130999</v>
      </c>
      <c r="O53" s="562">
        <f t="shared" si="13"/>
        <v>77.836261222106458</v>
      </c>
    </row>
    <row r="54" spans="1:15" ht="21.75" customHeight="1" x14ac:dyDescent="0.2">
      <c r="A54" s="543" t="s">
        <v>365</v>
      </c>
      <c r="B54" s="543" t="s">
        <v>94</v>
      </c>
      <c r="C54" s="544">
        <f>(((((157+5.7)*C44)/'Cálculos SJ'!$B$49*((((C42+C43)))))/'Cálculos SJ'!$F$49))+((((C45)*'Cálculos SJ5'!$E$56*(1.01*C47)+(C46)*'Cálculos SJ5'!$O$56*'Cálculos SJ5'!$R$56/1000000)/2000))+((((C48)*'Cálculos SJ6'!$E$56*(1.01*C50)+(C49)*'Cálculos SJ6'!$O$56*'Cálculos SJ6'!$R$56/1000000)/2000))</f>
        <v>290.86405298756608</v>
      </c>
      <c r="D54" s="544">
        <f>(((((157+5.7)*D44)/'Cálculos SJ'!$B$49*((((D42+D43)))))/'Cálculos SJ'!$F$49))+((((D45)*'Cálculos SJ5'!$E$56*(1.01*D47)+(D46)*'Cálculos SJ5'!$O$56*'Cálculos SJ5'!$R$56/1000000)/2000))+((((D48)*'Cálculos SJ6'!$E$56*(1.01*D50)+(D49)*'Cálculos SJ6'!$O$56*'Cálculos SJ6'!$R$56/1000000)/2000))</f>
        <v>189.69453091619894</v>
      </c>
      <c r="E54" s="544">
        <f>(((((157+5.7)*E44)/'Cálculos SJ'!$B$49*((((E42+E43)))))/'Cálculos SJ'!$F$49))+((((E45)*'Cálculos SJ5'!$E$56*(1.01*E47)+(E46)*'Cálculos SJ5'!$O$56*'Cálculos SJ5'!$R$56/1000000)/2000))+((((E48)*'Cálculos SJ6'!$E$56*(1.01*E50)+(E49)*'Cálculos SJ6'!$O$56*'Cálculos SJ6'!$R$56/1000000)/2000))</f>
        <v>94.949672208496295</v>
      </c>
      <c r="F54" s="544">
        <f>(((((157+5.7)*F44)/'Cálculos SJ'!$B$49*((((F42+F43)))))/'Cálculos SJ'!$F$49))+((((F45)*'Cálculos SJ5'!$E$56*(1.01*F47)+(F46)*'Cálculos SJ5'!$O$56*'Cálculos SJ5'!$R$56/1000000)/2000))+((((F48)*'Cálculos SJ6'!$E$56*(1.01*F50)+(F49)*'Cálculos SJ6'!$O$56*'Cálculos SJ6'!$R$56/1000000)/2000))</f>
        <v>138.10769870021542</v>
      </c>
      <c r="G54" s="544">
        <f>(((((157+5.7)*G44)/'Cálculos SJ'!$B$49*((((G42+G43)))))/'Cálculos SJ'!$F$49))+((((G45)*'Cálculos SJ5'!$E$56*(1.01*G47)+(G46)*'Cálculos SJ5'!$O$56*'Cálculos SJ5'!$R$56/1000000)/2000))+((((G48)*'Cálculos SJ6'!$E$56*(1.01*G50)+(G49)*'Cálculos SJ6'!$O$56*'Cálculos SJ6'!$R$56/1000000)/2000))</f>
        <v>140.44739225160001</v>
      </c>
      <c r="H54" s="544">
        <f>(((((157+5.7)*H44)/'Cálculos SJ'!$B$49*((((H42+H43)))))/'Cálculos SJ'!$F$49))+((((H45)*'Cálculos SJ5'!$E$56*(1.01*H47)+(H46)*'Cálculos SJ5'!$O$56*'Cálculos SJ5'!$R$56/1000000)/2000))+((((H48)*'Cálculos SJ6'!$E$56*(1.01*H50)+(H49)*'Cálculos SJ6'!$O$56*'Cálculos SJ6'!$R$56/1000000)/2000))</f>
        <v>148.8754872579895</v>
      </c>
      <c r="I54" s="544">
        <f>(((((157+5.7)*I44)/'Cálculos SJ'!$B$49*((((I42+I43)))))/'Cálculos SJ'!$F$49))+((((I45)*'Cálculos SJ5'!$E$56*(1.01*I47)+(I46)*'Cálculos SJ5'!$O$56*'Cálculos SJ5'!$R$56/1000000)/2000))+((((I48)*'Cálculos SJ6'!$E$56*(1.01*I50)+(I49)*'Cálculos SJ6'!$O$56*'Cálculos SJ6'!$R$56/1000000)/2000))</f>
        <v>171.57078509894399</v>
      </c>
      <c r="J54" s="544">
        <f>(((((157+5.7)*J44)/'Cálculos SJ'!$B$49*((((J42+J43)))))/'Cálculos SJ'!$F$49))+((((J45)*'Cálculos SJ5'!$E$56*(1.01*J47)+(J46)*'Cálculos SJ5'!$O$56*'Cálculos SJ5'!$R$56/1000000)/2000))+((((J48)*'Cálculos SJ6'!$E$56*(1.01*J50)+(J49)*'Cálculos SJ6'!$O$56*'Cálculos SJ6'!$R$56/1000000)/2000))</f>
        <v>308.83577643826737</v>
      </c>
      <c r="K54" s="544">
        <f>(((((157+5.7)*K44)/'Cálculos SJ'!$B$49*((((K42+K43)))))/'Cálculos SJ'!$F$49))+((((K45)*'Cálculos SJ5'!$E$56*(1.01*K47)+(K46)*'Cálculos SJ5'!$O$56*'Cálculos SJ5'!$R$56/1000000)/2000))+((((K48)*'Cálculos SJ6'!$E$56*(1.01*K50)+(K49)*'Cálculos SJ6'!$O$56*'Cálculos SJ6'!$R$56/1000000)/2000))</f>
        <v>310.47984197815867</v>
      </c>
      <c r="L54" s="544">
        <f>(((((157+5.7)*L44)/'Cálculos SJ'!$B$49*((((L42+L43)))))/'Cálculos SJ'!$F$49))+((((L45)*'Cálculos SJ5'!$E$56*(1.01*L47)+(L46)*'Cálculos SJ5'!$O$56*'Cálculos SJ5'!$R$56/1000000)/2000))+((((L48)*'Cálculos SJ6'!$E$56*(1.01*L50)+(L49)*'Cálculos SJ6'!$O$56*'Cálculos SJ6'!$R$56/1000000)/2000))</f>
        <v>156.54651593657957</v>
      </c>
      <c r="M54" s="544">
        <f>(((((157+5.7)*M44)/'Cálculos SJ'!$B$49*((((M42+M43)))))/'Cálculos SJ'!$F$49))+((((M45)*'Cálculos SJ5'!$E$56*(1.01*M47)+(M46)*'Cálculos SJ5'!$O$56*'Cálculos SJ5'!$R$56/1000000)/2000))+((((M48)*'Cálculos SJ6'!$E$56*(1.01*M50)+(M49)*'Cálculos SJ6'!$O$56*'Cálculos SJ6'!$R$56/1000000)/2000))</f>
        <v>145.92851132025348</v>
      </c>
      <c r="N54" s="544">
        <f>(((((157+5.7)*N44)/'Cálculos SJ'!$B$49*((((N42+N43)))))/'Cálculos SJ'!$F$49))+((((N45)*'Cálculos SJ5'!$E$56*(1.01*N47)+(N46)*'Cálculos SJ5'!$O$56*'Cálculos SJ5'!$R$56/1000000)/2000))+((((N48)*'Cálculos SJ6'!$E$56*(1.01*N50)+(N49)*'Cálculos SJ6'!$O$56*'Cálculos SJ6'!$R$56/1000000)/2000))</f>
        <v>1.4095182793482</v>
      </c>
      <c r="O54" s="562">
        <f t="shared" si="13"/>
        <v>2097.7097833736175</v>
      </c>
    </row>
    <row r="55" spans="1:15" ht="21.75" customHeight="1" x14ac:dyDescent="0.2">
      <c r="A55" s="543" t="s">
        <v>20</v>
      </c>
      <c r="B55" s="543" t="s">
        <v>94</v>
      </c>
      <c r="C55" s="544">
        <f>((('Cálculos SJ'!$B$59/'Cálculos SJ'!$B$60)*(C42))/'Cálculos SJ'!$F$60)+((('Cálculos SJ'!$B$67/'Cálculos SJ'!$B$68)*(C43))/'Cálculos SJ'!$F$68)+((((C45)*'Cálculos SJ5'!$E$20*'Cálculos SJ5'!$H$20+(C46)*'Cálculos SJ5'!$O$20*'Cálculos SJ5'!$R$20/1000000)/2000))+((((C48)*'Cálculos SJ6'!$E$20*'Cálculos SJ6'!$H$20+(C49)*'Cálculos SJ6'!$O$20*'Cálculos SJ6'!$R$20/1000000)/2000))</f>
        <v>244.32783174016708</v>
      </c>
      <c r="D55" s="544">
        <f>((('Cálculos SJ'!$B$59/'Cálculos SJ'!$B$60)*(D42))/'Cálculos SJ'!$F$60)+((('Cálculos SJ'!$B$67/'Cálculos SJ'!$B$68)*(D43))/'Cálculos SJ'!$F$68)+((((D45)*'Cálculos SJ5'!$E$20*'Cálculos SJ5'!$H$20+(D46)*'Cálculos SJ5'!$O$20*'Cálculos SJ5'!$R$20/1000000)/2000))+((((D48)*'Cálculos SJ6'!$E$20*'Cálculos SJ6'!$H$20+(D49)*'Cálculos SJ6'!$O$20*'Cálculos SJ6'!$R$20/1000000)/2000))</f>
        <v>176.68903828492736</v>
      </c>
      <c r="E55" s="544">
        <f>((('Cálculos SJ'!$B$59/'Cálculos SJ'!$B$60)*(E42))/'Cálculos SJ'!$F$60)+((('Cálculos SJ'!$B$67/'Cálculos SJ'!$B$68)*(E43))/'Cálculos SJ'!$F$68)+((((E45)*'Cálculos SJ5'!$E$20*'Cálculos SJ5'!$H$20+(E46)*'Cálculos SJ5'!$O$20*'Cálculos SJ5'!$R$20/1000000)/2000))+((((E48)*'Cálculos SJ6'!$E$20*'Cálculos SJ6'!$H$20+(E49)*'Cálculos SJ6'!$O$20*'Cálculos SJ6'!$R$20/1000000)/2000))</f>
        <v>143.66272193323636</v>
      </c>
      <c r="F55" s="544">
        <f>((('Cálculos SJ'!$B$59/'Cálculos SJ'!$B$60)*(F42))/'Cálculos SJ'!$F$60)+((('Cálculos SJ'!$B$67/'Cálculos SJ'!$B$68)*(F43))/'Cálculos SJ'!$F$68)+((((F45)*'Cálculos SJ5'!$E$20*'Cálculos SJ5'!$H$20+(F46)*'Cálculos SJ5'!$O$20*'Cálculos SJ5'!$R$20/1000000)/2000))+((((F48)*'Cálculos SJ6'!$E$20*'Cálculos SJ6'!$H$20+(F49)*'Cálculos SJ6'!$O$20*'Cálculos SJ6'!$R$20/1000000)/2000))</f>
        <v>101.22745349986515</v>
      </c>
      <c r="G55" s="544">
        <f>((('Cálculos SJ'!$B$59/'Cálculos SJ'!$B$60)*(G42))/'Cálculos SJ'!$F$60)+((('Cálculos SJ'!$B$67/'Cálculos SJ'!$B$68)*(G43))/'Cálculos SJ'!$F$68)+((((G45)*'Cálculos SJ5'!$E$20*'Cálculos SJ5'!$H$20+(G46)*'Cálculos SJ5'!$O$20*'Cálculos SJ5'!$R$20/1000000)/2000))+((((G48)*'Cálculos SJ6'!$E$20*'Cálculos SJ6'!$H$20+(G49)*'Cálculos SJ6'!$O$20*'Cálculos SJ6'!$R$20/1000000)/2000))</f>
        <v>110.88600281074491</v>
      </c>
      <c r="H55" s="544">
        <f>((('Cálculos SJ'!$B$59/'Cálculos SJ'!$B$60)*(H42))/'Cálculos SJ'!$F$60)+((('Cálculos SJ'!$B$67/'Cálculos SJ'!$B$68)*(H43))/'Cálculos SJ'!$F$68)+((((H45)*'Cálculos SJ5'!$E$20*'Cálculos SJ5'!$H$20+(H46)*'Cálculos SJ5'!$O$20*'Cálculos SJ5'!$R$20/1000000)/2000))+((((H48)*'Cálculos SJ6'!$E$20*'Cálculos SJ6'!$H$20+(H49)*'Cálculos SJ6'!$O$20*'Cálculos SJ6'!$R$20/1000000)/2000))</f>
        <v>140.00663299794542</v>
      </c>
      <c r="I55" s="544">
        <f>((('Cálculos SJ'!$B$59/'Cálculos SJ'!$B$60)*(I42))/'Cálculos SJ'!$F$60)+((('Cálculos SJ'!$B$67/'Cálculos SJ'!$B$68)*(I43))/'Cálculos SJ'!$F$68)+((((I45)*'Cálculos SJ5'!$E$20*'Cálculos SJ5'!$H$20+(I46)*'Cálculos SJ5'!$O$20*'Cálculos SJ5'!$R$20/1000000)/2000))+((((I48)*'Cálculos SJ6'!$E$20*'Cálculos SJ6'!$H$20+(I49)*'Cálculos SJ6'!$O$20*'Cálculos SJ6'!$R$20/1000000)/2000))</f>
        <v>186.54259323971391</v>
      </c>
      <c r="J55" s="544">
        <f>((('Cálculos SJ'!$B$59/'Cálculos SJ'!$B$60)*(J42))/'Cálculos SJ'!$F$60)+((('Cálculos SJ'!$B$67/'Cálculos SJ'!$B$68)*(J43))/'Cálculos SJ'!$F$68)+((((J45)*'Cálculos SJ5'!$E$20*'Cálculos SJ5'!$H$20+(J46)*'Cálculos SJ5'!$O$20*'Cálculos SJ5'!$R$20/1000000)/2000))+((((J48)*'Cálculos SJ6'!$E$20*'Cálculos SJ6'!$H$20+(J49)*'Cálculos SJ6'!$O$20*'Cálculos SJ6'!$R$20/1000000)/2000))</f>
        <v>217.47410575080198</v>
      </c>
      <c r="K55" s="544">
        <f>((('Cálculos SJ'!$B$59/'Cálculos SJ'!$B$60)*(K42))/'Cálculos SJ'!$F$60)+((('Cálculos SJ'!$B$67/'Cálculos SJ'!$B$68)*(K43))/'Cálculos SJ'!$F$68)+((((K45)*'Cálculos SJ5'!$E$20*'Cálculos SJ5'!$H$20+(K46)*'Cálculos SJ5'!$O$20*'Cálculos SJ5'!$R$20/1000000)/2000))+((((K48)*'Cálculos SJ6'!$E$20*'Cálculos SJ6'!$H$20+(K49)*'Cálculos SJ6'!$O$20*'Cálculos SJ6'!$R$20/1000000)/2000))</f>
        <v>206.07589214958477</v>
      </c>
      <c r="L55" s="544">
        <f>((('Cálculos SJ'!$B$59/'Cálculos SJ'!$B$60)*(L42))/'Cálculos SJ'!$F$60)+((('Cálculos SJ'!$B$67/'Cálculos SJ'!$B$68)*(L43))/'Cálculos SJ'!$F$68)+((((L45)*'Cálculos SJ5'!$E$20*'Cálculos SJ5'!$H$20+(L46)*'Cálculos SJ5'!$O$20*'Cálculos SJ5'!$R$20/1000000)/2000))+((((L48)*'Cálculos SJ6'!$E$20*'Cálculos SJ6'!$H$20+(L49)*'Cálculos SJ6'!$O$20*'Cálculos SJ6'!$R$20/1000000)/2000))</f>
        <v>111.86017904132217</v>
      </c>
      <c r="M55" s="544">
        <f>((('Cálculos SJ'!$B$59/'Cálculos SJ'!$B$60)*(M42))/'Cálculos SJ'!$F$60)+((('Cálculos SJ'!$B$67/'Cálculos SJ'!$B$68)*(M43))/'Cálculos SJ'!$F$68)+((((M45)*'Cálculos SJ5'!$E$20*'Cálculos SJ5'!$H$20+(M46)*'Cálculos SJ5'!$O$20*'Cálculos SJ5'!$R$20/1000000)/2000))+((((M48)*'Cálculos SJ6'!$E$20*'Cálculos SJ6'!$H$20+(M49)*'Cálculos SJ6'!$O$20*'Cálculos SJ6'!$R$20/1000000)/2000))</f>
        <v>100.63168078872809</v>
      </c>
      <c r="N55" s="544">
        <f>((('Cálculos SJ'!$B$59/'Cálculos SJ'!$B$60)*(N42))/'Cálculos SJ'!$F$60)+((('Cálculos SJ'!$B$67/'Cálculos SJ'!$B$68)*(N43))/'Cálculos SJ'!$F$68)+((((N45)*'Cálculos SJ5'!$E$20*'Cálculos SJ5'!$H$20+(N46)*'Cálculos SJ5'!$O$20*'Cálculos SJ5'!$R$20/1000000)/2000))+((((N48)*'Cálculos SJ6'!$E$20*'Cálculos SJ6'!$H$20+(N49)*'Cálculos SJ6'!$O$20*'Cálculos SJ6'!$R$20/1000000)/2000))</f>
        <v>51.052725584414262</v>
      </c>
      <c r="O55" s="562">
        <f t="shared" si="13"/>
        <v>1790.4368578214517</v>
      </c>
    </row>
    <row r="56" spans="1:15" ht="21.75" customHeight="1" x14ac:dyDescent="0.2">
      <c r="A56" s="543" t="s">
        <v>22</v>
      </c>
      <c r="B56" s="543" t="s">
        <v>94</v>
      </c>
      <c r="C56" s="544">
        <f>((('Cálculos SJ'!$B$75/'Cálculos SJ'!$B$76)*(((((C42+C43))))))/'Cálculos SJ'!$F$76)+((((C45)*'Cálculos SJ5'!$E$32*'Cálculos SJ5'!$H$32+(C46)*'Cálculos SJ5'!$O$32*'Cálculos SJ5'!$R$32/1000000)/2000))+((((C48)*'Cálculos SJ6'!$E$32*'Cálculos SJ6'!$H$32+(C49)*'Cálculos SJ6'!$O$32*'Cálculos SJ6'!$R$32/1000000)/2000))</f>
        <v>5.0764372234991102</v>
      </c>
      <c r="D56" s="544">
        <f>((('Cálculos SJ'!$B$75/'Cálculos SJ'!$B$76)*(((((D42+D43))))))/'Cálculos SJ'!$F$76)+((((D45)*'Cálculos SJ5'!$E$32*'Cálculos SJ5'!$H$32+(D46)*'Cálculos SJ5'!$O$32*'Cálculos SJ5'!$R$32/1000000)/2000))+((((D48)*'Cálculos SJ6'!$E$32*'Cálculos SJ6'!$H$32+(D49)*'Cálculos SJ6'!$O$32*'Cálculos SJ6'!$R$32/1000000)/2000))</f>
        <v>3.7410227483321696</v>
      </c>
      <c r="E56" s="544">
        <f>((('Cálculos SJ'!$B$75/'Cálculos SJ'!$B$76)*(((((E42+E43))))))/'Cálculos SJ'!$F$76)+((((E45)*'Cálculos SJ5'!$E$32*'Cálculos SJ5'!$H$32+(E46)*'Cálculos SJ5'!$O$32*'Cálculos SJ5'!$R$32/1000000)/2000))+((((E48)*'Cálculos SJ6'!$E$32*'Cálculos SJ6'!$H$32+(E49)*'Cálculos SJ6'!$O$32*'Cálculos SJ6'!$R$32/1000000)/2000))</f>
        <v>3.6020982393931495</v>
      </c>
      <c r="F56" s="544">
        <f>((('Cálculos SJ'!$B$75/'Cálculos SJ'!$B$76)*(((((F42+F43))))))/'Cálculos SJ'!$F$76)+((((F45)*'Cálculos SJ5'!$E$32*'Cálculos SJ5'!$H$32+(F46)*'Cálculos SJ5'!$O$32*'Cálculos SJ5'!$R$32/1000000)/2000))+((((F48)*'Cálculos SJ6'!$E$32*'Cálculos SJ6'!$H$32+(F49)*'Cálculos SJ6'!$O$32*'Cálculos SJ6'!$R$32/1000000)/2000))</f>
        <v>2.3792285122048797</v>
      </c>
      <c r="G56" s="544">
        <f>((('Cálculos SJ'!$B$75/'Cálculos SJ'!$B$76)*(((((G42+G43))))))/'Cálculos SJ'!$F$76)+((((G45)*'Cálculos SJ5'!$E$32*'Cálculos SJ5'!$H$32+(G46)*'Cálculos SJ5'!$O$32*'Cálculos SJ5'!$R$32/1000000)/2000))+((((G48)*'Cálculos SJ6'!$E$32*'Cálculos SJ6'!$H$32+(G49)*'Cálculos SJ6'!$O$32*'Cálculos SJ6'!$R$32/1000000)/2000))</f>
        <v>2.6462245348979998</v>
      </c>
      <c r="H56" s="544">
        <f>((('Cálculos SJ'!$B$75/'Cálculos SJ'!$B$76)*(((((H42+H43))))))/'Cálculos SJ'!$F$76)+((((H45)*'Cálculos SJ5'!$E$32*'Cálculos SJ5'!$H$32+(H46)*'Cálculos SJ5'!$O$32*'Cálculos SJ5'!$R$32/1000000)/2000))+((((H48)*'Cálculos SJ6'!$E$32*'Cálculos SJ6'!$H$32+(H49)*'Cálculos SJ6'!$O$32*'Cálculos SJ6'!$R$32/1000000)/2000))</f>
        <v>3.5234179337613898</v>
      </c>
      <c r="I56" s="544">
        <f>((('Cálculos SJ'!$B$75/'Cálculos SJ'!$B$76)*(((((I42+I43))))))/'Cálculos SJ'!$F$76)+((((I45)*'Cálculos SJ5'!$E$32*'Cálculos SJ5'!$H$32+(I46)*'Cálculos SJ5'!$O$32*'Cálculos SJ5'!$R$32/1000000)/2000))+((((I48)*'Cálculos SJ6'!$E$32*'Cálculos SJ6'!$H$32+(I49)*'Cálculos SJ6'!$O$32*'Cálculos SJ6'!$R$32/1000000)/2000))</f>
        <v>4.8671883257760005</v>
      </c>
      <c r="J56" s="544">
        <f>((('Cálculos SJ'!$B$75/'Cálculos SJ'!$B$76)*(((((J42+J43))))))/'Cálculos SJ'!$F$76)+((((J45)*'Cálculos SJ5'!$E$32*'Cálculos SJ5'!$H$32+(J46)*'Cálculos SJ5'!$O$32*'Cálculos SJ5'!$R$32/1000000)/2000))+((((J48)*'Cálculos SJ6'!$E$32*'Cálculos SJ6'!$H$32+(J49)*'Cálculos SJ6'!$O$32*'Cálculos SJ6'!$R$32/1000000)/2000))</f>
        <v>5.1116919686322007</v>
      </c>
      <c r="K56" s="544">
        <f>((('Cálculos SJ'!$B$75/'Cálculos SJ'!$B$76)*(((((K42+K43))))))/'Cálculos SJ'!$F$76)+((((K45)*'Cálculos SJ5'!$E$32*'Cálculos SJ5'!$H$32+(K46)*'Cálculos SJ5'!$O$32*'Cálculos SJ5'!$R$32/1000000)/2000))+((((K48)*'Cálculos SJ6'!$E$32*'Cálculos SJ6'!$H$32+(K49)*'Cálculos SJ6'!$O$32*'Cálculos SJ6'!$R$32/1000000)/2000))</f>
        <v>4.1084245305965403</v>
      </c>
      <c r="L56" s="544">
        <f>((('Cálculos SJ'!$B$75/'Cálculos SJ'!$B$76)*(((((L42+L43))))))/'Cálculos SJ'!$F$76)+((((L45)*'Cálculos SJ5'!$E$32*'Cálculos SJ5'!$H$32+(L46)*'Cálculos SJ5'!$O$32*'Cálculos SJ5'!$R$32/1000000)/2000))+((((L48)*'Cálculos SJ6'!$E$32*'Cálculos SJ6'!$H$32+(L49)*'Cálculos SJ6'!$O$32*'Cálculos SJ6'!$R$32/1000000)/2000))</f>
        <v>3.3622383310584603</v>
      </c>
      <c r="M56" s="544">
        <f>((('Cálculos SJ'!$B$75/'Cálculos SJ'!$B$76)*(((((M42+M43))))))/'Cálculos SJ'!$F$76)+((((M45)*'Cálculos SJ5'!$E$32*'Cálculos SJ5'!$H$32+(M46)*'Cálculos SJ5'!$O$32*'Cálculos SJ5'!$R$32/1000000)/2000))+((((M48)*'Cálculos SJ6'!$E$32*'Cálculos SJ6'!$H$32+(M49)*'Cálculos SJ6'!$O$32*'Cálculos SJ6'!$R$32/1000000)/2000))</f>
        <v>2.7762227422872603</v>
      </c>
      <c r="N56" s="544">
        <f>((('Cálculos SJ'!$B$75/'Cálculos SJ'!$B$76)*(((((N42+N43))))))/'Cálculos SJ'!$F$76)+((((N45)*'Cálculos SJ5'!$E$32*'Cálculos SJ5'!$H$32+(N46)*'Cálculos SJ5'!$O$32*'Cálculos SJ5'!$R$32/1000000)/2000))+((((N48)*'Cálculos SJ6'!$E$32*'Cálculos SJ6'!$H$32+(N49)*'Cálculos SJ6'!$O$32*'Cálculos SJ6'!$R$32/1000000)/2000))</f>
        <v>1.52981890465635</v>
      </c>
      <c r="O56" s="562">
        <f t="shared" si="13"/>
        <v>42.724013995095518</v>
      </c>
    </row>
    <row r="57" spans="1:15" ht="21.75" customHeight="1" x14ac:dyDescent="0.2">
      <c r="A57" s="543" t="s">
        <v>21</v>
      </c>
      <c r="B57" s="543" t="s">
        <v>94</v>
      </c>
      <c r="C57" s="544">
        <f>((('Cálculos SJ'!$B$83/'Cálculos SJ'!$B$84)*((((((C42+C43)))))))/'Cálculos SJ'!$F$84)+((((C45)*'Cálculos SJ5'!$E$26*'Cálculos SJ5'!$H$26+(C46)*'Cálculos SJ5'!$O$26*'Cálculos SJ5'!$R$26/1000000)/2000))+((((C48)*'Cálculos SJ6'!$E$26*'Cálculos SJ6'!$H$26+(C49)*'Cálculos SJ6'!$O$26*'Cálculos SJ6'!$R$26/1000000)/2000))</f>
        <v>42.236407958703005</v>
      </c>
      <c r="D57" s="544">
        <f>((('Cálculos SJ'!$B$83/'Cálculos SJ'!$B$84)*((((((D42+D43)))))))/'Cálculos SJ'!$F$84)+((((D45)*'Cálculos SJ5'!$E$26*'Cálculos SJ5'!$H$26+(D46)*'Cálculos SJ5'!$O$26*'Cálculos SJ5'!$R$26/1000000)/2000))+((((D48)*'Cálculos SJ6'!$E$26*'Cálculos SJ6'!$H$26+(D49)*'Cálculos SJ6'!$O$26*'Cálculos SJ6'!$R$26/1000000)/2000))</f>
        <v>32.392570847850983</v>
      </c>
      <c r="E57" s="544">
        <f>((('Cálculos SJ'!$B$83/'Cálculos SJ'!$B$84)*((((((E42+E43)))))))/'Cálculos SJ'!$F$84)+((((E45)*'Cálculos SJ5'!$E$26*'Cálculos SJ5'!$H$26+(E46)*'Cálculos SJ5'!$O$26*'Cálculos SJ5'!$R$26/1000000)/2000))+((((E48)*'Cálculos SJ6'!$E$26*'Cálculos SJ6'!$H$26+(E49)*'Cálculos SJ6'!$O$26*'Cálculos SJ6'!$R$26/1000000)/2000))</f>
        <v>28.40729894816117</v>
      </c>
      <c r="F57" s="544">
        <f>((('Cálculos SJ'!$B$83/'Cálculos SJ'!$B$84)*((((((F42+F43)))))))/'Cálculos SJ'!$F$84)+((((F45)*'Cálculos SJ5'!$E$26*'Cálculos SJ5'!$H$26+(F46)*'Cálculos SJ5'!$O$26*'Cálculos SJ5'!$R$26/1000000)/2000))+((((F48)*'Cálculos SJ6'!$E$26*'Cálculos SJ6'!$H$26+(F49)*'Cálculos SJ6'!$O$26*'Cálculos SJ6'!$R$26/1000000)/2000))</f>
        <v>19.608029488753886</v>
      </c>
      <c r="G57" s="544">
        <f>((('Cálculos SJ'!$B$83/'Cálculos SJ'!$B$84)*((((((G42+G43)))))))/'Cálculos SJ'!$F$84)+((((G45)*'Cálculos SJ5'!$E$26*'Cálculos SJ5'!$H$26+(G46)*'Cálculos SJ5'!$O$26*'Cálculos SJ5'!$R$26/1000000)/2000))+((((G48)*'Cálculos SJ6'!$E$26*'Cálculos SJ6'!$H$26+(G49)*'Cálculos SJ6'!$O$26*'Cálculos SJ6'!$R$26/1000000)/2000))</f>
        <v>21.750916167554852</v>
      </c>
      <c r="H57" s="544">
        <f>((('Cálculos SJ'!$B$83/'Cálculos SJ'!$B$84)*((((((H42+H43)))))))/'Cálculos SJ'!$F$84)+((((H45)*'Cálculos SJ5'!$E$26*'Cálculos SJ5'!$H$26+(H46)*'Cálculos SJ5'!$O$26*'Cálculos SJ5'!$R$26/1000000)/2000))+((((H48)*'Cálculos SJ6'!$E$26*'Cálculos SJ6'!$H$26+(H49)*'Cálculos SJ6'!$O$26*'Cálculos SJ6'!$R$26/1000000)/2000))</f>
        <v>28.167005688593989</v>
      </c>
      <c r="I57" s="544">
        <f>((('Cálculos SJ'!$B$83/'Cálculos SJ'!$B$84)*((((((I42+I43)))))))/'Cálculos SJ'!$F$84)+((((I45)*'Cálculos SJ5'!$E$26*'Cálculos SJ5'!$H$26+(I46)*'Cálculos SJ5'!$O$26*'Cálculos SJ5'!$R$26/1000000)/2000))+((((I48)*'Cálculos SJ6'!$E$26*'Cálculos SJ6'!$H$26+(I49)*'Cálculos SJ6'!$O$26*'Cálculos SJ6'!$R$26/1000000)/2000))</f>
        <v>32.683249691153605</v>
      </c>
      <c r="J57" s="544">
        <f>((('Cálculos SJ'!$B$83/'Cálculos SJ'!$B$84)*((((((J42+J43)))))))/'Cálculos SJ'!$F$84)+((((J45)*'Cálculos SJ5'!$E$26*'Cálculos SJ5'!$H$26+(J46)*'Cálculos SJ5'!$O$26*'Cálculos SJ5'!$R$26/1000000)/2000))+((((J48)*'Cálculos SJ6'!$E$26*'Cálculos SJ6'!$H$26+(J49)*'Cálculos SJ6'!$O$26*'Cálculos SJ6'!$R$26/1000000)/2000))</f>
        <v>32.805203657157151</v>
      </c>
      <c r="K57" s="544">
        <f>((('Cálculos SJ'!$B$83/'Cálculos SJ'!$B$84)*((((((K42+K43)))))))/'Cálculos SJ'!$F$84)+((((K45)*'Cálculos SJ5'!$E$26*'Cálculos SJ5'!$H$26+(K46)*'Cálculos SJ5'!$O$26*'Cálculos SJ5'!$R$26/1000000)/2000))+((((K48)*'Cálculos SJ6'!$E$26*'Cálculos SJ6'!$H$26+(K49)*'Cálculos SJ6'!$O$26*'Cálculos SJ6'!$R$26/1000000)/2000))</f>
        <v>31.801224218474019</v>
      </c>
      <c r="L57" s="544">
        <f>((('Cálculos SJ'!$B$83/'Cálculos SJ'!$B$84)*((((((L42+L43)))))))/'Cálculos SJ'!$F$84)+((((L45)*'Cálculos SJ5'!$E$26*'Cálculos SJ5'!$H$26+(L46)*'Cálculos SJ5'!$O$26*'Cálculos SJ5'!$R$26/1000000)/2000))+((((L48)*'Cálculos SJ6'!$E$26*'Cálculos SJ6'!$H$26+(L49)*'Cálculos SJ6'!$O$26*'Cálculos SJ6'!$R$26/1000000)/2000))</f>
        <v>19.224401705748015</v>
      </c>
      <c r="M57" s="544">
        <f>((('Cálculos SJ'!$B$83/'Cálculos SJ'!$B$84)*((((((M42+M43)))))))/'Cálculos SJ'!$F$84)+((((M45)*'Cálculos SJ5'!$E$26*'Cálculos SJ5'!$H$26+(M46)*'Cálculos SJ5'!$O$26*'Cálculos SJ5'!$R$26/1000000)/2000))+((((M48)*'Cálculos SJ6'!$E$26*'Cálculos SJ6'!$H$26+(M49)*'Cálculos SJ6'!$O$26*'Cálculos SJ6'!$R$26/1000000)/2000))</f>
        <v>18.300464913653229</v>
      </c>
      <c r="N57" s="544">
        <f>((('Cálculos SJ'!$B$83/'Cálculos SJ'!$B$84)*((((((N42+N43)))))))/'Cálculos SJ'!$F$84)+((((N45)*'Cálculos SJ5'!$E$26*'Cálculos SJ5'!$H$26+(N46)*'Cálculos SJ5'!$O$26*'Cálculos SJ5'!$R$26/1000000)/2000))+((((N48)*'Cálculos SJ6'!$E$26*'Cálculos SJ6'!$H$26+(N49)*'Cálculos SJ6'!$O$26*'Cálculos SJ6'!$R$26/1000000)/2000))</f>
        <v>11.375809452128252</v>
      </c>
      <c r="O57" s="562">
        <f t="shared" si="13"/>
        <v>318.75258273793213</v>
      </c>
    </row>
    <row r="58" spans="1:15" ht="21.75" customHeight="1" x14ac:dyDescent="0.2">
      <c r="A58" s="543" t="s">
        <v>42</v>
      </c>
      <c r="B58" s="543" t="s">
        <v>94</v>
      </c>
      <c r="C58" s="544">
        <f>((('Cálculos SJ'!$B$40*(((C42+C43)))*'Cálculos SJ'!$H$40)/'Cálculos SJ'!$F$41))+((((C45)*'Cálculos SJ5'!$E$62*'Cálculos SJ5'!$H$62+(C46)*'Cálculos SJ5'!$O$62*'Cálculos SJ5'!$R$62/1000000)/2000))+((((C48)*'Cálculos SJ6'!$E$62*'Cálculos SJ6'!$H$62+(C49)*'Cálculos SJ6'!$O$62*'Cálculos SJ6'!$R$62/1000000)/2000))</f>
        <v>22.898215000604917</v>
      </c>
      <c r="D58" s="544">
        <f>((('Cálculos SJ'!$B$40*(((D42+D43)))*'Cálculos SJ'!$H$40)/'Cálculos SJ'!$F$41))+((((D45)*'Cálculos SJ5'!$E$62*'Cálculos SJ5'!$H$62+(D46)*'Cálculos SJ5'!$O$62*'Cálculos SJ5'!$R$62/1000000)/2000))+((((D48)*'Cálculos SJ6'!$E$62*'Cálculos SJ6'!$H$62+(D49)*'Cálculos SJ6'!$O$62*'Cálculos SJ6'!$R$62/1000000)/2000))</f>
        <v>14.958201885542511</v>
      </c>
      <c r="E58" s="544">
        <f>((('Cálculos SJ'!$B$40*(((E42+E43)))*'Cálculos SJ'!$H$40)/'Cálculos SJ'!$F$41))+((((E45)*'Cálculos SJ5'!$E$62*'Cálculos SJ5'!$H$62+(E46)*'Cálculos SJ5'!$O$62*'Cálculos SJ5'!$R$62/1000000)/2000))+((((E48)*'Cálculos SJ6'!$E$62*'Cálculos SJ6'!$H$62+(E49)*'Cálculos SJ6'!$O$62*'Cálculos SJ6'!$R$62/1000000)/2000))</f>
        <v>8.3534528515014461</v>
      </c>
      <c r="F58" s="544">
        <f>((('Cálculos SJ'!$B$40*(((F42+F43)))*'Cálculos SJ'!$H$40)/'Cálculos SJ'!$F$41))+((((F45)*'Cálculos SJ5'!$E$62*'Cálculos SJ5'!$H$62+(F46)*'Cálculos SJ5'!$O$62*'Cálculos SJ5'!$R$62/1000000)/2000))+((((F48)*'Cálculos SJ6'!$E$62*'Cálculos SJ6'!$H$62+(F49)*'Cálculos SJ6'!$O$62*'Cálculos SJ6'!$R$62/1000000)/2000))</f>
        <v>11.092197609030507</v>
      </c>
      <c r="G58" s="544">
        <f>((('Cálculos SJ'!$B$40*(((G42+G43)))*'Cálculos SJ'!$H$40)/'Cálculos SJ'!$F$41))+((((G45)*'Cálculos SJ5'!$E$62*'Cálculos SJ5'!$H$62+(G46)*'Cálculos SJ5'!$O$62*'Cálculos SJ5'!$R$62/1000000)/2000))+((((G48)*'Cálculos SJ6'!$E$62*'Cálculos SJ6'!$H$62+(G49)*'Cálculos SJ6'!$O$62*'Cálculos SJ6'!$R$62/1000000)/2000))</f>
        <v>11.356265857553399</v>
      </c>
      <c r="H58" s="544">
        <f>((('Cálculos SJ'!$B$40*(((H42+H43)))*'Cálculos SJ'!$H$40)/'Cálculos SJ'!$F$41))+((((H45)*'Cálculos SJ5'!$E$62*'Cálculos SJ5'!$H$62+(H46)*'Cálculos SJ5'!$O$62*'Cálculos SJ5'!$R$62/1000000)/2000))+((((H48)*'Cálculos SJ6'!$E$62*'Cálculos SJ6'!$H$62+(H49)*'Cálculos SJ6'!$O$62*'Cálculos SJ6'!$R$62/1000000)/2000))</f>
        <v>11.884506866724237</v>
      </c>
      <c r="I58" s="544">
        <f>((('Cálculos SJ'!$B$40*(((I42+I43)))*'Cálculos SJ'!$H$40)/'Cálculos SJ'!$F$41))+((((I45)*'Cálculos SJ5'!$E$62*'Cálculos SJ5'!$H$62+(I46)*'Cálculos SJ5'!$O$62*'Cálculos SJ5'!$R$62/1000000)/2000))+((((I48)*'Cálculos SJ6'!$E$62*'Cálculos SJ6'!$H$62+(I49)*'Cálculos SJ6'!$O$62*'Cálculos SJ6'!$R$62/1000000)/2000))</f>
        <v>14.752410485170801</v>
      </c>
      <c r="J58" s="544">
        <f>((('Cálculos SJ'!$B$40*(((J42+J43)))*'Cálculos SJ'!$H$40)/'Cálculos SJ'!$F$41))+((((J45)*'Cálculos SJ5'!$E$62*'Cálculos SJ5'!$H$62+(J46)*'Cálculos SJ5'!$O$62*'Cálculos SJ5'!$R$62/1000000)/2000))+((((J48)*'Cálculos SJ6'!$E$62*'Cálculos SJ6'!$H$62+(J49)*'Cálculos SJ6'!$O$62*'Cálculos SJ6'!$R$62/1000000)/2000))</f>
        <v>25.054340542797064</v>
      </c>
      <c r="K58" s="544">
        <f>((('Cálculos SJ'!$B$40*(((K42+K43)))*'Cálculos SJ'!$H$40)/'Cálculos SJ'!$F$41))+((((K45)*'Cálculos SJ5'!$E$62*'Cálculos SJ5'!$H$62+(K46)*'Cálculos SJ5'!$O$62*'Cálculos SJ5'!$R$62/1000000)/2000))+((((K48)*'Cálculos SJ6'!$E$62*'Cálculos SJ6'!$H$62+(K49)*'Cálculos SJ6'!$O$62*'Cálculos SJ6'!$R$62/1000000)/2000))</f>
        <v>23.778999250525484</v>
      </c>
      <c r="L58" s="544">
        <f>((('Cálculos SJ'!$B$40*(((L42+L43)))*'Cálculos SJ'!$H$40)/'Cálculos SJ'!$F$41))+((((L45)*'Cálculos SJ5'!$E$62*'Cálculos SJ5'!$H$62+(L46)*'Cálculos SJ5'!$O$62*'Cálculos SJ5'!$R$62/1000000)/2000))+((((L48)*'Cálculos SJ6'!$E$62*'Cálculos SJ6'!$H$62+(L49)*'Cálculos SJ6'!$O$62*'Cálculos SJ6'!$R$62/1000000)/2000))</f>
        <v>13.032511415070017</v>
      </c>
      <c r="M58" s="544">
        <f>((('Cálculos SJ'!$B$40*(((M42+M43)))*'Cálculos SJ'!$H$40)/'Cálculos SJ'!$F$41))+((((M45)*'Cálculos SJ5'!$E$62*'Cálculos SJ5'!$H$62+(M46)*'Cálculos SJ5'!$O$62*'Cálculos SJ5'!$R$62/1000000)/2000))+((((M48)*'Cálculos SJ6'!$E$62*'Cálculos SJ6'!$H$62+(M49)*'Cálculos SJ6'!$O$62*'Cálculos SJ6'!$R$62/1000000)/2000))</f>
        <v>11.542053289743858</v>
      </c>
      <c r="N58" s="544">
        <f>((('Cálculos SJ'!$B$40*(((N42+N43)))*'Cálculos SJ'!$H$40)/'Cálculos SJ'!$F$41))+((((N45)*'Cálculos SJ5'!$E$62*'Cálculos SJ5'!$H$62+(N46)*'Cálculos SJ5'!$O$62*'Cálculos SJ5'!$R$62/1000000)/2000))+((((N48)*'Cálculos SJ6'!$E$62*'Cálculos SJ6'!$H$62+(N49)*'Cálculos SJ6'!$O$62*'Cálculos SJ6'!$R$62/1000000)/2000))</f>
        <v>0.68929188863260515</v>
      </c>
      <c r="O58" s="562">
        <f t="shared" si="13"/>
        <v>169.39244694289681</v>
      </c>
    </row>
    <row r="59" spans="1:15" ht="21.75" customHeight="1" x14ac:dyDescent="0.2">
      <c r="A59" s="543" t="s">
        <v>23</v>
      </c>
      <c r="B59" s="543" t="s">
        <v>94</v>
      </c>
      <c r="C59" s="549">
        <f>((('Cálculos SJ'!$B$91/'Cálculos SJ'!$B$92)*(((((((C42+C43))))))))/'Cálculos SJ'!$F$92)+((((C45)*'Cálculos SJ5'!$E$68*'Cálculos SJ5'!$H$68+(C46)*'Cálculos SJ5'!$O$68*'Cálculos SJ5'!$R$68/1000000)/2000))+((((C48)*'Cálculos SJ6'!$E$68*'Cálculos SJ6'!$H$68+(C49)*'Cálculos SJ6'!$O$68*'Cálculos SJ6'!$R$68/1000000)/2000))</f>
        <v>5.6224222551000003E-3</v>
      </c>
      <c r="D59" s="549">
        <f>((('Cálculos SJ'!$B$91/'Cálculos SJ'!$B$92)*(((((((D42+D43))))))))/'Cálculos SJ'!$F$92)+((((D45)*'Cálculos SJ5'!$E$68*'Cálculos SJ5'!$H$68+(D46)*'Cálculos SJ5'!$O$68*'Cálculos SJ5'!$R$68/1000000)/2000))+((((D48)*'Cálculos SJ6'!$E$68*'Cálculos SJ6'!$H$68+(D49)*'Cálculos SJ6'!$O$68*'Cálculos SJ6'!$R$68/1000000)/2000))</f>
        <v>3.6292142829600004E-3</v>
      </c>
      <c r="E59" s="549">
        <f>((('Cálculos SJ'!$B$91/'Cálculos SJ'!$B$92)*(((((((E42+E43))))))))/'Cálculos SJ'!$F$92)+((((E45)*'Cálculos SJ5'!$E$68*'Cálculos SJ5'!$H$68+(E46)*'Cálculos SJ5'!$O$68*'Cálculos SJ5'!$R$68/1000000)/2000))+((((E48)*'Cálculos SJ6'!$E$68*'Cálculos SJ6'!$H$68+(E49)*'Cálculos SJ6'!$O$68*'Cálculos SJ6'!$R$68/1000000)/2000))</f>
        <v>2.5374931999200003E-3</v>
      </c>
      <c r="F59" s="549">
        <f>((('Cálculos SJ'!$B$91/'Cálculos SJ'!$B$92)*(((((((F42+F43))))))))/'Cálculos SJ'!$F$92)+((((F45)*'Cálculos SJ5'!$E$68*'Cálculos SJ5'!$H$68+(F46)*'Cálculos SJ5'!$O$68*'Cálculos SJ5'!$R$68/1000000)/2000))+((((F48)*'Cálculos SJ6'!$E$68*'Cálculos SJ6'!$H$68+(F49)*'Cálculos SJ6'!$O$68*'Cálculos SJ6'!$R$68/1000000)/2000))</f>
        <v>2.7267859193400006E-3</v>
      </c>
      <c r="G59" s="549">
        <f>((('Cálculos SJ'!$B$91/'Cálculos SJ'!$B$92)*(((((((G42+G43))))))))/'Cálculos SJ'!$F$92)+((((G45)*'Cálculos SJ5'!$E$68*'Cálculos SJ5'!$H$68+(G46)*'Cálculos SJ5'!$O$68*'Cálculos SJ5'!$R$68/1000000)/2000))+((((G48)*'Cálculos SJ6'!$E$68*'Cálculos SJ6'!$H$68+(G49)*'Cálculos SJ6'!$O$68*'Cálculos SJ6'!$R$68/1000000)/2000))</f>
        <v>2.8389923415000004E-3</v>
      </c>
      <c r="H59" s="549">
        <f>((('Cálculos SJ'!$B$91/'Cálculos SJ'!$B$92)*(((((((H42+H43))))))))/'Cálculos SJ'!$F$92)+((((H45)*'Cálculos SJ5'!$E$68*'Cálculos SJ5'!$H$68+(H46)*'Cálculos SJ5'!$O$68*'Cálculos SJ5'!$R$68/1000000)/2000))+((((H48)*'Cálculos SJ6'!$E$68*'Cálculos SJ6'!$H$68+(H49)*'Cálculos SJ6'!$O$68*'Cálculos SJ6'!$R$68/1000000)/2000))</f>
        <v>3.1999345455E-3</v>
      </c>
      <c r="I59" s="549">
        <f>((('Cálculos SJ'!$B$91/'Cálculos SJ'!$B$92)*(((((((I42+I43))))))))/'Cálculos SJ'!$F$92)+((((I45)*'Cálculos SJ5'!$E$68*'Cálculos SJ5'!$H$68+(I46)*'Cálculos SJ5'!$O$68*'Cálculos SJ5'!$R$68/1000000)/2000))+((((I48)*'Cálculos SJ6'!$E$68*'Cálculos SJ6'!$H$68+(I49)*'Cálculos SJ6'!$O$68*'Cálculos SJ6'!$R$68/1000000)/2000))</f>
        <v>4.6933240347000011E-3</v>
      </c>
      <c r="J59" s="549">
        <f>((('Cálculos SJ'!$B$91/'Cálculos SJ'!$B$92)*(((((((J42+J43))))))))/'Cálculos SJ'!$F$92)+((((J45)*'Cálculos SJ5'!$E$68*'Cálculos SJ5'!$H$68+(J46)*'Cálculos SJ5'!$O$68*'Cálculos SJ5'!$R$68/1000000)/2000))+((((J48)*'Cálculos SJ6'!$E$68*'Cálculos SJ6'!$H$68+(J49)*'Cálculos SJ6'!$O$68*'Cálculos SJ6'!$R$68/1000000)/2000))</f>
        <v>7.0227445873200008E-3</v>
      </c>
      <c r="K59" s="549">
        <f>((('Cálculos SJ'!$B$91/'Cálculos SJ'!$B$92)*(((((((K42+K43))))))))/'Cálculos SJ'!$F$92)+((((K45)*'Cálculos SJ5'!$E$68*'Cálculos SJ5'!$H$68+(K46)*'Cálculos SJ5'!$O$68*'Cálculos SJ5'!$R$68/1000000)/2000))+((((K48)*'Cálculos SJ6'!$E$68*'Cálculos SJ6'!$H$68+(K49)*'Cálculos SJ6'!$O$68*'Cálculos SJ6'!$R$68/1000000)/2000))</f>
        <v>5.8512880671000005E-3</v>
      </c>
      <c r="L59" s="549">
        <f>((('Cálculos SJ'!$B$91/'Cálculos SJ'!$B$92)*(((((((L42+L43))))))))/'Cálculos SJ'!$F$92)+((((L45)*'Cálculos SJ5'!$E$68*'Cálculos SJ5'!$H$68+(L46)*'Cálculos SJ5'!$O$68*'Cálculos SJ5'!$R$68/1000000)/2000))+((((L48)*'Cálculos SJ6'!$E$68*'Cálculos SJ6'!$H$68+(L49)*'Cálculos SJ6'!$O$68*'Cálculos SJ6'!$R$68/1000000)/2000))</f>
        <v>4.1493576306000004E-3</v>
      </c>
      <c r="M59" s="549">
        <f>((('Cálculos SJ'!$B$91/'Cálculos SJ'!$B$92)*(((((((M42+M43))))))))/'Cálculos SJ'!$F$92)+((((M45)*'Cálculos SJ5'!$E$68*'Cálculos SJ5'!$H$68+(M46)*'Cálculos SJ5'!$O$68*'Cálculos SJ5'!$R$68/1000000)/2000))+((((M48)*'Cálculos SJ6'!$E$68*'Cálculos SJ6'!$H$68+(M49)*'Cálculos SJ6'!$O$68*'Cálculos SJ6'!$R$68/1000000)/2000))</f>
        <v>3.3466355101200002E-3</v>
      </c>
      <c r="N59" s="549">
        <f>((('Cálculos SJ'!$B$91/'Cálculos SJ'!$B$92)*(((((((N42+N43))))))))/'Cálculos SJ'!$F$92)+((((N45)*'Cálculos SJ5'!$E$68*'Cálculos SJ5'!$H$68+(N46)*'Cálculos SJ5'!$O$68*'Cálculos SJ5'!$R$68/1000000)/2000))+((((N48)*'Cálculos SJ6'!$E$68*'Cálculos SJ6'!$H$68+(N49)*'Cálculos SJ6'!$O$68*'Cálculos SJ6'!$R$68/1000000)/2000))</f>
        <v>5.6402012016000015E-4</v>
      </c>
      <c r="O59" s="563">
        <f t="shared" si="13"/>
        <v>4.6182212494320009E-2</v>
      </c>
    </row>
    <row r="60" spans="1:15" ht="21.75" customHeight="1" x14ac:dyDescent="0.2">
      <c r="A60" s="543" t="s">
        <v>24</v>
      </c>
      <c r="B60" s="543" t="s">
        <v>94</v>
      </c>
      <c r="C60" s="544">
        <f>('Cálculos SJ'!$B$100*((((((((C42+C43))))))))/'Cálculos SJ'!$F$101)+((((C45)*'Cálculos SJ5'!$E$74+(C46)*'Cálculos SJ5'!$O$74)/'Cálculos SJ5'!$H$75))+((((C48)*'Cálculos SJ6'!$E$74+(C49)*'Cálculos SJ6'!$O$74)/'Cálculos SJ6'!$H$75))</f>
        <v>217837.50584388536</v>
      </c>
      <c r="D60" s="544">
        <f>('Cálculos SJ'!$B$100*((((((((D42+D43))))))))/'Cálculos SJ'!$F$101)+((((D45)*'Cálculos SJ5'!$E$74+(D46)*'Cálculos SJ5'!$O$74)/'Cálculos SJ5'!$H$75))+((((D48)*'Cálculos SJ6'!$E$74+(D49)*'Cálculos SJ6'!$O$74)/'Cálculos SJ6'!$H$75))</f>
        <v>167281.62727527716</v>
      </c>
      <c r="E60" s="544">
        <f>('Cálculos SJ'!$B$100*((((((((E42+E43))))))))/'Cálculos SJ'!$F$101)+((((E45)*'Cálculos SJ5'!$E$74+(E46)*'Cálculos SJ5'!$O$74)/'Cálculos SJ5'!$H$75))+((((E48)*'Cálculos SJ6'!$E$74+(E49)*'Cálculos SJ6'!$O$74)/'Cálculos SJ6'!$H$75))</f>
        <v>156941.67065268001</v>
      </c>
      <c r="F60" s="544">
        <f>('Cálculos SJ'!$B$100*((((((((F42+F43))))))))/'Cálculos SJ'!$F$101)+((((F45)*'Cálculos SJ5'!$E$74+(F46)*'Cálculos SJ5'!$O$74)/'Cálculos SJ5'!$H$75))+((((F48)*'Cálculos SJ6'!$E$74+(F49)*'Cálculos SJ6'!$O$74)/'Cálculos SJ6'!$H$75))</f>
        <v>101018.09748477158</v>
      </c>
      <c r="G60" s="544">
        <f>('Cálculos SJ'!$B$100*((((((((G42+G43))))))))/'Cálculos SJ'!$F$101)+((((G45)*'Cálculos SJ5'!$E$74+(G46)*'Cálculos SJ5'!$O$74)/'Cálculos SJ5'!$H$75))+((((G48)*'Cálculos SJ6'!$E$74+(G49)*'Cálculos SJ6'!$O$74)/'Cálculos SJ6'!$H$75))</f>
        <v>113160.93396370912</v>
      </c>
      <c r="H60" s="544">
        <f>('Cálculos SJ'!$B$100*((((((((H42+H43))))))))/'Cálculos SJ'!$F$101)+((((H45)*'Cálculos SJ5'!$E$74+(H46)*'Cálculos SJ5'!$O$74)/'Cálculos SJ5'!$H$75))+((((H48)*'Cálculos SJ6'!$E$74+(H49)*'Cálculos SJ6'!$O$74)/'Cálculos SJ6'!$H$75))</f>
        <v>151068.23516633653</v>
      </c>
      <c r="I60" s="544">
        <f>('Cálculos SJ'!$B$100*((((((((I42+I43))))))))/'Cálculos SJ'!$F$101)+((((I45)*'Cálculos SJ5'!$E$74+(I46)*'Cálculos SJ5'!$O$74)/'Cálculos SJ5'!$H$75))+((((I48)*'Cálculos SJ6'!$E$74+(I49)*'Cálculos SJ6'!$O$74)/'Cálculos SJ6'!$H$75))</f>
        <v>187070.0352504004</v>
      </c>
      <c r="J60" s="544">
        <f>('Cálculos SJ'!$B$100*((((((((J42+J43))))))))/'Cálculos SJ'!$F$101)+((((J45)*'Cálculos SJ5'!$E$74+(J46)*'Cálculos SJ5'!$O$74)/'Cálculos SJ5'!$H$75))+((((J48)*'Cálculos SJ6'!$E$74+(J49)*'Cálculos SJ6'!$O$74)/'Cálculos SJ6'!$H$75))</f>
        <v>180801.18401366228</v>
      </c>
      <c r="K60" s="544">
        <f>('Cálculos SJ'!$B$100*((((((((K42+K43))))))))/'Cálculos SJ'!$F$101)+((((K45)*'Cálculos SJ5'!$E$74+(K46)*'Cálculos SJ5'!$O$74)/'Cálculos SJ5'!$H$75))+((((K48)*'Cálculos SJ6'!$E$74+(K49)*'Cálculos SJ6'!$O$74)/'Cálculos SJ6'!$H$75))</f>
        <v>161899.01669424411</v>
      </c>
      <c r="L60" s="544">
        <f>('Cálculos SJ'!$B$100*((((((((L42+L43))))))))/'Cálculos SJ'!$F$101)+((((L45)*'Cálculos SJ5'!$E$74+(L46)*'Cálculos SJ5'!$O$74)/'Cálculos SJ5'!$H$75))+((((L48)*'Cálculos SJ6'!$E$74+(L49)*'Cálculos SJ6'!$O$74)/'Cálculos SJ6'!$H$75))</f>
        <v>113691.00511155245</v>
      </c>
      <c r="M60" s="544">
        <f>('Cálculos SJ'!$B$100*((((((((M42+M43))))))))/'Cálculos SJ'!$F$101)+((((M45)*'Cálculos SJ5'!$E$74+(M46)*'Cálculos SJ5'!$O$74)/'Cálculos SJ5'!$H$75))+((((M48)*'Cálculos SJ6'!$E$74+(M49)*'Cálculos SJ6'!$O$74)/'Cálculos SJ6'!$H$75))</f>
        <v>102161.62928852721</v>
      </c>
      <c r="N60" s="544">
        <f>('Cálculos SJ'!$B$100*((((((((N42+N43))))))))/'Cálculos SJ'!$F$101)+((((N45)*'Cálculos SJ5'!$E$74+(N46)*'Cálculos SJ5'!$O$74)/'Cálculos SJ5'!$H$75))+((((N48)*'Cálculos SJ6'!$E$74+(N49)*'Cálculos SJ6'!$O$74)/'Cálculos SJ6'!$H$75))</f>
        <v>67050.101204493199</v>
      </c>
      <c r="O60" s="562">
        <f t="shared" si="13"/>
        <v>1719981.0419495394</v>
      </c>
    </row>
    <row r="61" spans="1:15" ht="21.75" customHeight="1" x14ac:dyDescent="0.2">
      <c r="A61" s="626" t="s">
        <v>36</v>
      </c>
      <c r="B61" s="626"/>
      <c r="C61" s="555"/>
      <c r="D61" s="555"/>
      <c r="E61" s="555"/>
      <c r="F61" s="555"/>
      <c r="G61" s="555"/>
      <c r="H61" s="555"/>
      <c r="I61" s="555"/>
      <c r="J61" s="626"/>
      <c r="K61" s="626"/>
      <c r="L61" s="555"/>
      <c r="M61" s="555"/>
      <c r="N61" s="555"/>
      <c r="O61" s="555"/>
    </row>
    <row r="62" spans="1:15" ht="21.75" hidden="1" customHeight="1" x14ac:dyDescent="0.2">
      <c r="A62" s="543" t="s">
        <v>181</v>
      </c>
      <c r="B62" s="543" t="s">
        <v>92</v>
      </c>
      <c r="C62" s="556">
        <f>Aguirre!$F$5</f>
        <v>7292737.6199999992</v>
      </c>
      <c r="D62" s="556">
        <f>Aguirre!$F$6</f>
        <v>15045242.100000001</v>
      </c>
      <c r="E62" s="556">
        <f>Aguirre!$F$7</f>
        <v>13228126.800000001</v>
      </c>
      <c r="F62" s="556">
        <f>Aguirre!$F$8</f>
        <v>11570807.219999999</v>
      </c>
      <c r="G62" s="556">
        <f>Aguirre!$F$9</f>
        <v>22993423.740000002</v>
      </c>
      <c r="H62" s="556">
        <f>Aguirre!$F$10</f>
        <v>24418692.899999999</v>
      </c>
      <c r="I62" s="556">
        <f>Aguirre!$F$11</f>
        <v>19707750.300000001</v>
      </c>
      <c r="J62" s="556">
        <f>Aguirre!$F$12</f>
        <v>13229841.66</v>
      </c>
      <c r="K62" s="556">
        <f>Aguirre!$F$13</f>
        <v>6875780.1000000006</v>
      </c>
      <c r="L62" s="556">
        <f>Aguirre!$F$14</f>
        <v>8400383.8800000008</v>
      </c>
      <c r="M62" s="556">
        <f>Aguirre!$F$15</f>
        <v>10016493.9</v>
      </c>
      <c r="N62" s="556">
        <f>Aguirre!$F$16</f>
        <v>0</v>
      </c>
      <c r="O62" s="564">
        <f>SUM(C62:N62)</f>
        <v>152779280.22</v>
      </c>
    </row>
    <row r="63" spans="1:15" ht="21.75" hidden="1" customHeight="1" x14ac:dyDescent="0.2">
      <c r="A63" s="543" t="s">
        <v>386</v>
      </c>
      <c r="B63" s="543" t="s">
        <v>371</v>
      </c>
      <c r="C63" s="560">
        <f>IF(C62=0,0,(Aguirre!$D$5*Aguirre!$H$5+Aguirre!$E$5*Aguirre!$I$5)/C62)</f>
        <v>0.5</v>
      </c>
      <c r="D63" s="560">
        <f>IF(D62=0,0,(Aguirre!$D$6*Aguirre!$H$6+Aguirre!$E$6*Aguirre!$I$6)/D62)</f>
        <v>0.47999999999999993</v>
      </c>
      <c r="E63" s="560">
        <f>IF(E62=0,0,(Aguirre!$D$7*Aguirre!$H$7+Aguirre!$E$7*Aguirre!$I$7)/E62)</f>
        <v>0.48908969269934732</v>
      </c>
      <c r="F63" s="560">
        <f>IF(F62=0,0,(Aguirre!$D$8*Aguirre!$H$8+Aguirre!$E$8*Aguirre!$I$8)/F62)</f>
        <v>0.47000000000000003</v>
      </c>
      <c r="G63" s="560">
        <f>IF(G62=0,0,(Aguirre!$D$9*Aguirre!$H$9+Aguirre!$E$9*Aguirre!$I$9)/G62)</f>
        <v>0.48</v>
      </c>
      <c r="H63" s="560">
        <f>IF(H62=0,0,(Aguirre!$D$10*Aguirre!$H$10+Aguirre!$E$10*Aguirre!$I$10)/H62)</f>
        <v>0.4900000000000001</v>
      </c>
      <c r="I63" s="560">
        <f>IF(I62=0,0,(Aguirre!$D$11*Aguirre!$H$11+Aguirre!$E$11*Aguirre!$I$11)/I62)</f>
        <v>0.49</v>
      </c>
      <c r="J63" s="560">
        <f>IF(J62=0,0,(Aguirre!$D$12*Aguirre!$H$12+Aguirre!$E$12*Aguirre!$I$12)/J62)</f>
        <v>0.49</v>
      </c>
      <c r="K63" s="560">
        <f>IF(K62=0,0,(Aguirre!$D$13*Aguirre!$H$13+Aguirre!$E$13*Aguirre!$I$13)/K62)</f>
        <v>0.49</v>
      </c>
      <c r="L63" s="560">
        <f>IF(L62=0,0,(Aguirre!$D$14*Aguirre!$H$14+Aguirre!$E$14*Aguirre!$I$14)/L62)</f>
        <v>0.49</v>
      </c>
      <c r="M63" s="560">
        <f>IF(M62=0,0,(Aguirre!$D$15*Aguirre!$H$15+Aguirre!$E$15*Aguirre!$I$15)/M62)</f>
        <v>0.5</v>
      </c>
      <c r="N63" s="560">
        <f>IF(N62=0,0,(Aguirre!$D$16*Aguirre!$H$16+Aguirre!$E$16*Aguirre!$I$16)/N62)</f>
        <v>0</v>
      </c>
      <c r="O63" s="565">
        <f>IF(O62=0,0,SUMPRODUCT(C63:N63,C62:N62)/O62)</f>
        <v>0.48704965131822253</v>
      </c>
    </row>
    <row r="64" spans="1:15" ht="21.75" hidden="1" customHeight="1" x14ac:dyDescent="0.2">
      <c r="A64" s="543" t="s">
        <v>387</v>
      </c>
      <c r="B64" s="543" t="s">
        <v>92</v>
      </c>
      <c r="C64" s="556">
        <f>SUM(Aguirre!$B$23,Aguirre!$C$23,Aguirre!$D$23,Aguirre!$E$23,Aguirre!$F$23,Aguirre!$H$23,Aguirre!$I$23,Aguirre!$J$23,Aguirre!$B$41,Aguirre!$C$41)</f>
        <v>3893938</v>
      </c>
      <c r="D64" s="556">
        <f>SUM(Aguirre!$B$24,Aguirre!$C$24,Aguirre!$D$24,Aguirre!$E$24,Aguirre!$F$24,Aguirre!$H$24,Aguirre!$I$24,Aguirre!$J$24,Aguirre!$B$42,Aguirre!$C$42)</f>
        <v>3099050</v>
      </c>
      <c r="E64" s="556">
        <f>SUM(Aguirre!$B$25,Aguirre!$C$25,Aguirre!$D$25,Aguirre!$E$25,Aguirre!$F$25,Aguirre!$H$25,Aguirre!$I$25,Aguirre!$J$25,Aguirre!$B$43,Aguirre!$C$43)</f>
        <v>2600527</v>
      </c>
      <c r="F64" s="556">
        <f>SUM(Aguirre!$B$26,Aguirre!$C$26,Aguirre!$D$26,Aguirre!$E$26,Aguirre!$F$26,Aguirre!$H$26,Aguirre!$I$26,Aguirre!$J$26,Aguirre!$B$44,Aguirre!$C$44)</f>
        <v>4928743</v>
      </c>
      <c r="G64" s="556">
        <f>SUM(Aguirre!$B$27,Aguirre!$C$27,Aguirre!$D$27,Aguirre!$E$27,Aguirre!$F$27,Aguirre!$H$27,Aguirre!$I$27,Aguirre!$J$27,Aguirre!$B$45,Aguirre!$C$45)</f>
        <v>6422867</v>
      </c>
      <c r="H64" s="556">
        <f>SUM(Aguirre!$B$28,Aguirre!$C$28,Aguirre!$D$28,Aguirre!$E$28,Aguirre!$F$28,Aguirre!$H$28,Aguirre!$I$28,Aguirre!$J$28,Aguirre!$B$46,Aguirre!$C$46)</f>
        <v>4772680</v>
      </c>
      <c r="I64" s="556">
        <f>SUM(Aguirre!$B$29,Aguirre!$C$29,Aguirre!$D$29,Aguirre!$E$29,Aguirre!$F$29,Aguirre!$H$29,Aguirre!$I$29,Aguirre!$J$29,Aguirre!$B$47,Aguirre!$C$47)</f>
        <v>3434855</v>
      </c>
      <c r="J64" s="556">
        <f>SUM(Aguirre!$B$30,Aguirre!$C$30,Aguirre!$D$30,Aguirre!$E$30,Aguirre!$F$30,Aguirre!$H$30,Aguirre!$I$30,Aguirre!$J$30,Aguirre!$B$48,Aguirre!$C$48)</f>
        <v>7326494</v>
      </c>
      <c r="K64" s="556">
        <f>SUM(Aguirre!$B$31,Aguirre!$C$31,Aguirre!$D$31,Aguirre!$E$31,Aguirre!$F$31,Aguirre!$H$31,Aguirre!$I$31,Aguirre!$J$31,Aguirre!$B$49,Aguirre!$C$49)</f>
        <v>7755149</v>
      </c>
      <c r="L64" s="556">
        <f>SUM(Aguirre!$B$32,Aguirre!$C$32,Aguirre!$D$32,Aguirre!$E$32,Aguirre!$F$32,Aguirre!$H$32,Aguirre!$I$32,Aguirre!$J$32,Aguirre!$B$50,Aguirre!$C$50)</f>
        <v>9457675</v>
      </c>
      <c r="M64" s="556">
        <f>SUM(Aguirre!$B$33,Aguirre!$C$33,Aguirre!$D$33,Aguirre!$E$33,Aguirre!$F$33,Aguirre!$H$33,Aguirre!$I$33,Aguirre!$J$33,Aguirre!$B$51,Aguirre!$C$51)</f>
        <v>3905338</v>
      </c>
      <c r="N64" s="556">
        <f>SUM(Aguirre!$B$34,Aguirre!$C$34,Aguirre!$D$34,Aguirre!$E$34,Aguirre!$F$34,Aguirre!$H$34,Aguirre!$I$34,Aguirre!$J$34,Aguirre!$B$52,Aguirre!$C$52)</f>
        <v>5507992</v>
      </c>
      <c r="O64" s="564">
        <f>SUM(C64:N64)</f>
        <v>63105308</v>
      </c>
    </row>
    <row r="65" spans="1:15" ht="21.75" hidden="1" customHeight="1" x14ac:dyDescent="0.2">
      <c r="A65" s="543" t="s">
        <v>376</v>
      </c>
      <c r="B65" s="543" t="s">
        <v>371</v>
      </c>
      <c r="C65" s="560">
        <f>IF(C64=0,0,(Aguirre!$B$23*Aguirre!$K$23+Aguirre!$C$23*Aguirre!$L$23+Aguirre!$D$23*Aguirre!$M$23+Aguirre!$E$23*Aguirre!$N$23+Aguirre!$F$23*Aguirre!$O$23+Aguirre!$H$23*Aguirre!$P$23+Aguirre!$I$23*Aguirre!$Q$23+Aguirre!$J$23*Aguirre!$R$23+Aguirre!$B$41*Aguirre!$D$41+Aguirre!$C$41*Aguirre!$E$41)/C64)</f>
        <v>1E-3</v>
      </c>
      <c r="D65" s="560">
        <f>IF(D64=0,0,(Aguirre!$B$24*Aguirre!$K$24+Aguirre!$C$24*Aguirre!$L$24+Aguirre!$D$24*Aguirre!$M$24+Aguirre!$E$24*Aguirre!$N$24+Aguirre!$F$24*Aguirre!$O$24+Aguirre!$H$24*Aguirre!$P$24+Aguirre!$I$24*Aguirre!$Q$24+Aguirre!$J$24*Aguirre!$R$24+Aguirre!$B$42*Aguirre!$D$42+Aguirre!$C$42*Aguirre!$E$42)/D64)</f>
        <v>1E-3</v>
      </c>
      <c r="E65" s="560">
        <f>IF(E64=0,0,(Aguirre!$B$25*Aguirre!$K$25+Aguirre!$C$25*Aguirre!$L$25+Aguirre!$D$25*Aguirre!$M$25+Aguirre!$E$25*Aguirre!$N$25+Aguirre!$F$25*Aguirre!$O$25+Aguirre!$H$25*Aguirre!$P$25+Aguirre!$I$25*Aguirre!$Q$25+Aguirre!$J$25*Aguirre!$R$25+Aguirre!$B$43*Aguirre!$D$43+Aguirre!$C$43*Aguirre!$E$43)/E64)</f>
        <v>1E-3</v>
      </c>
      <c r="F65" s="560">
        <f>IF(F64=0,0,(Aguirre!$B$26*Aguirre!$K$26+Aguirre!$C$26*Aguirre!$L$26+Aguirre!$D$26*Aguirre!$M$26+Aguirre!$E$26*Aguirre!$N$26+Aguirre!$F$26*Aguirre!$O$26+Aguirre!$H$26*Aguirre!$P$26+Aguirre!$I$26*Aguirre!$Q$26+Aguirre!$J$26*Aguirre!$R$26+Aguirre!$B$44*Aguirre!$D$44+Aguirre!$C$44*Aguirre!$E$44)/F64)</f>
        <v>1E-3</v>
      </c>
      <c r="G65" s="560">
        <f>IF(G64=0,0,(Aguirre!$B$27*Aguirre!$K$27+Aguirre!$C$27*Aguirre!$L$27+Aguirre!$D$27*Aguirre!$M$27+Aguirre!$E$27*Aguirre!$N$27+Aguirre!$F$27*Aguirre!$O$27+Aguirre!$H$27*Aguirre!$P$27+Aguirre!$I$27*Aguirre!$Q$27+Aguirre!$J$27*Aguirre!$R$27+Aguirre!$B$45*Aguirre!$D$45+Aguirre!$C$45*Aguirre!$E$45)/G64)</f>
        <v>1E-3</v>
      </c>
      <c r="H65" s="560">
        <f>IF(H64=0,0,(Aguirre!$B$28*Aguirre!$K$28+Aguirre!$C$28*Aguirre!$L$28+Aguirre!$D$28*Aguirre!$M$28+Aguirre!$E$28*Aguirre!$N$28+Aguirre!$F$28*Aguirre!$O$28+Aguirre!$H$28*Aguirre!$P$28+Aguirre!$I$28*Aguirre!$Q$28+Aguirre!$J$28*Aguirre!$R$28+Aguirre!$B$46*Aguirre!$D$46+Aguirre!$C$46*Aguirre!$E$46)/H64)</f>
        <v>1E-3</v>
      </c>
      <c r="I65" s="560">
        <f>IF(I64=0,0,(Aguirre!$B$29*Aguirre!$K$29+Aguirre!$C$29*Aguirre!$L$29+Aguirre!$D$29*Aguirre!$M$29+Aguirre!$E$29*Aguirre!$N$29+Aguirre!$F$29*Aguirre!$O$29+Aguirre!$H$29*Aguirre!$P$29+Aguirre!$I$29*Aguirre!$Q$29+Aguirre!$J$29*Aguirre!$R$29+Aguirre!$B$47*Aguirre!$D$47+Aguirre!$C$47*Aguirre!$E$47)/I64)</f>
        <v>1E-3</v>
      </c>
      <c r="J65" s="560">
        <f>IF(J64=0,0,(Aguirre!$B$30*Aguirre!$K$30+Aguirre!$C$30*Aguirre!$L$30+Aguirre!$D$30*Aguirre!$M$30+Aguirre!$E$30*Aguirre!$N$30+Aguirre!$F$30*Aguirre!$O$30+Aguirre!$H$30*Aguirre!$P$30+Aguirre!$I$30*Aguirre!$Q$30+Aguirre!$J$30*Aguirre!$R$30+Aguirre!$B$48*Aguirre!$D$48+Aguirre!$C$48*Aguirre!$E$48)/J64)</f>
        <v>1E-3</v>
      </c>
      <c r="K65" s="560">
        <f>IF(K64=0,0,(Aguirre!$B$31*Aguirre!$K$31+Aguirre!$C$31*Aguirre!$L$31+Aguirre!$D$31*Aguirre!$M$31+Aguirre!$E$31*Aguirre!$N$31+Aguirre!$F$31*Aguirre!$O$31+Aguirre!$H$31*Aguirre!$P$31+Aguirre!$I$31*Aguirre!$Q$31+Aguirre!$J$31*Aguirre!$R$31+Aguirre!$B$49*Aguirre!$D$49+Aguirre!$C$49*Aguirre!$E$49)/K64)</f>
        <v>1E-3</v>
      </c>
      <c r="L65" s="560">
        <f>IF(L64=0,0,(Aguirre!$B$32*Aguirre!$K$32+Aguirre!$C$32*Aguirre!$L$32+Aguirre!$D$32*Aguirre!$M$32+Aguirre!$E$32*Aguirre!$N$32+Aguirre!$F$32*Aguirre!$O$32+Aguirre!$H$32*Aguirre!$P$32+Aguirre!$I$32*Aguirre!$Q$32+Aguirre!$J$32*Aguirre!$R$32+Aguirre!$B$50*Aguirre!$D$50+Aguirre!$C$50*Aguirre!$E$50)/L64)</f>
        <v>1E-3</v>
      </c>
      <c r="M65" s="560">
        <f>IF(M64=0,0,(Aguirre!$B$33*Aguirre!$K$33+Aguirre!$C$33*Aguirre!$L$33+Aguirre!$D$33*Aguirre!$M$33+Aguirre!$E$33*Aguirre!$N$33+Aguirre!$F$33*Aguirre!$O$33+Aguirre!$H$33*Aguirre!$P$33+Aguirre!$I$33*Aguirre!$Q$33+Aguirre!$J$33*Aguirre!$R$33+Aguirre!$B$51*Aguirre!$D$51+Aguirre!$C$51*Aguirre!$E$51)/M64)</f>
        <v>1E-3</v>
      </c>
      <c r="N65" s="560">
        <f>IF(N64=0,0,(Aguirre!$B$34*Aguirre!$K$34+Aguirre!$C$34*Aguirre!$L$34+Aguirre!$D$34*Aguirre!$M$34+Aguirre!$E$34*Aguirre!$N$34+Aguirre!$F$34*Aguirre!$O$34+Aguirre!$H$34*Aguirre!$P$34+Aguirre!$I$34*Aguirre!$Q$34+Aguirre!$J$34*Aguirre!$R$34+Aguirre!$B$52*Aguirre!$D$52+Aguirre!$C$52*Aguirre!$E$52)/N64)</f>
        <v>1E-3</v>
      </c>
      <c r="O65" s="565">
        <f>IF(O64=0,0,SUMPRODUCT(C65:N65,C64:N64)/O64)</f>
        <v>1E-3</v>
      </c>
    </row>
    <row r="66" spans="1:15" ht="21.75" customHeight="1" x14ac:dyDescent="0.2">
      <c r="A66" s="543" t="s">
        <v>17</v>
      </c>
      <c r="B66" s="543" t="s">
        <v>94</v>
      </c>
      <c r="C66" s="544">
        <f>(((((9.19*C63)+3.22)/'Cálculos AG'!$B$19)*(C62))/'Cálculos AG'!$F$19)+((('Cálculos AG'!$K$18*(C64)*'Cálculos AG'!$O$18)/'Cálculos AG'!$Q$19))</f>
        <v>31.720552914149998</v>
      </c>
      <c r="D66" s="544">
        <f>(((((9.19*D63)+3.22)/'Cálculos AG'!$B$19)*(D62))/'Cálculos AG'!$F$19)+((('Cálculos AG'!$K$18*(D64)*'Cálculos AG'!$O$18)/'Cálculos AG'!$Q$19))</f>
        <v>59.97263915676001</v>
      </c>
      <c r="E66" s="544">
        <f>(((((9.19*E63)+3.22)/'Cálculos AG'!$B$19)*(E62))/'Cálculos AG'!$F$19)+((('Cálculos AG'!$K$18*(E64)*'Cálculos AG'!$O$18)/'Cálculos AG'!$Q$19))</f>
        <v>53.178977971002006</v>
      </c>
      <c r="F66" s="544">
        <f>(((((9.19*F63)+3.22)/'Cálculos AG'!$B$19)*(F62))/'Cálculos AG'!$F$19)+((('Cálculos AG'!$K$18*(F64)*'Cálculos AG'!$O$18)/'Cálculos AG'!$Q$19))</f>
        <v>47.698892640872998</v>
      </c>
      <c r="G66" s="544">
        <f>(((((9.19*G63)+3.22)/'Cálculos AG'!$B$19)*(G62))/'Cálculos AG'!$F$19)+((('Cálculos AG'!$K$18*(G64)*'Cálculos AG'!$O$18)/'Cálculos AG'!$Q$19))</f>
        <v>93.051841498344004</v>
      </c>
      <c r="H66" s="544">
        <f>(((((9.19*H63)+3.22)/'Cálculos AG'!$B$19)*(H62))/'Cálculos AG'!$F$19)+((('Cálculos AG'!$K$18*(H64)*'Cálculos AG'!$O$18)/'Cálculos AG'!$Q$19))</f>
        <v>98.245782607994997</v>
      </c>
      <c r="I66" s="544">
        <f>(((((9.19*I63)+3.22)/'Cálculos AG'!$B$19)*(I62))/'Cálculos AG'!$F$19)+((('Cálculos AG'!$K$18*(I64)*'Cálculos AG'!$O$18)/'Cálculos AG'!$Q$19))</f>
        <v>78.946523110964989</v>
      </c>
      <c r="J66" s="544">
        <f>(((((9.19*J63)+3.22)/'Cálculos AG'!$B$19)*(J62))/'Cálculos AG'!$F$19)+((('Cálculos AG'!$K$18*(J64)*'Cálculos AG'!$O$18)/'Cálculos AG'!$Q$19))</f>
        <v>57.154032094172997</v>
      </c>
      <c r="K66" s="544">
        <f>(((((9.19*K63)+3.22)/'Cálculos AG'!$B$19)*(K62))/'Cálculos AG'!$F$19)+((('Cálculos AG'!$K$18*(K64)*'Cálculos AG'!$O$18)/'Cálculos AG'!$Q$19))</f>
        <v>32.972432017155</v>
      </c>
      <c r="L66" s="544">
        <f>(((((9.19*L63)+3.22)/'Cálculos AG'!$B$19)*(L62))/'Cálculos AG'!$F$19)+((('Cálculos AG'!$K$18*(L64)*'Cálculos AG'!$O$18)/'Cálculos AG'!$Q$19))</f>
        <v>40.269457271814005</v>
      </c>
      <c r="M66" s="544">
        <f>(((((9.19*M63)+3.22)/'Cálculos AG'!$B$19)*(M62))/'Cálculos AG'!$F$19)+((('Cálculos AG'!$K$18*(M64)*'Cálculos AG'!$O$18)/'Cálculos AG'!$Q$19))</f>
        <v>42.373069778249999</v>
      </c>
      <c r="N66" s="544">
        <f>(((((9.19*N63)+3.22)/'Cálculos AG'!$B$19)*(N62))/'Cálculos AG'!$F$19)+((('Cálculos AG'!$K$18*(N64)*'Cálculos AG'!$O$18)/'Cálculos AG'!$Q$19))</f>
        <v>4.5606173759999997</v>
      </c>
      <c r="O66" s="562">
        <f t="shared" ref="O66:O72" si="14">SUM(C66:N66)</f>
        <v>640.14481843748104</v>
      </c>
    </row>
    <row r="67" spans="1:15" ht="21.75" customHeight="1" x14ac:dyDescent="0.2">
      <c r="A67" s="543" t="s">
        <v>365</v>
      </c>
      <c r="B67" s="543" t="s">
        <v>94</v>
      </c>
      <c r="C67" s="544">
        <f>((((157*C63)/'Cálculos AG'!$B$29)*(C62))/'Cálculos AG'!$F$29)+((((1.01*C65)*(C64)*'Cálculos AG'!$O$28)/'Cálculos AG'!$Q$29))</f>
        <v>286.51132012421999</v>
      </c>
      <c r="D67" s="544">
        <f>((((157*D63)/'Cálculos AG'!$B$29)*(D62))/'Cálculos AG'!$F$29)+((((1.01*D65)*(D64)*'Cálculos AG'!$O$28)/'Cálculos AG'!$Q$29))</f>
        <v>567.12069512249991</v>
      </c>
      <c r="E67" s="544">
        <f>((((157*E63)/'Cálculos AG'!$B$29)*(E62))/'Cálculos AG'!$F$29)+((((1.01*E65)*(E64)*'Cálculos AG'!$O$28)/'Cálculos AG'!$Q$29))</f>
        <v>508.05585774723005</v>
      </c>
      <c r="F67" s="544">
        <f>((((157*F63)/'Cálculos AG'!$B$29)*(F62))/'Cálculos AG'!$F$29)+((((1.01*F65)*(F64)*'Cálculos AG'!$O$28)/'Cálculos AG'!$Q$29))</f>
        <v>427.24841648157002</v>
      </c>
      <c r="G67" s="544">
        <f>((((157*G63)/'Cálculos AG'!$B$29)*(G62))/'Cálculos AG'!$F$29)+((((1.01*G65)*(G64)*'Cálculos AG'!$O$28)/'Cálculos AG'!$Q$29))</f>
        <v>866.83981612443006</v>
      </c>
      <c r="H67" s="544">
        <f>((((157*H63)/'Cálculos AG'!$B$29)*(H62))/'Cálculos AG'!$F$29)+((((1.01*H65)*(H64)*'Cálculos AG'!$O$28)/'Cálculos AG'!$Q$29))</f>
        <v>939.59763046770024</v>
      </c>
      <c r="I67" s="544">
        <f>((((157*I63)/'Cálculos AG'!$B$29)*(I62))/'Cálculos AG'!$F$29)+((((1.01*I65)*(I64)*'Cálculos AG'!$O$28)/'Cálculos AG'!$Q$29))</f>
        <v>758.29799033444999</v>
      </c>
      <c r="J67" s="544">
        <f>((((157*J63)/'Cálculos AG'!$B$29)*(J62))/'Cálculos AG'!$F$29)+((((1.01*J65)*(J64)*'Cálculos AG'!$O$28)/'Cálculos AG'!$Q$29))</f>
        <v>509.39644281875997</v>
      </c>
      <c r="K67" s="544">
        <f>((((157*K63)/'Cálculos AG'!$B$29)*(K62))/'Cálculos AG'!$F$29)+((((1.01*K65)*(K64)*'Cálculos AG'!$O$28)/'Cálculos AG'!$Q$29))</f>
        <v>265.01733788031004</v>
      </c>
      <c r="L67" s="544">
        <f>((((157*L63)/'Cálculos AG'!$B$29)*(L62))/'Cálculos AG'!$F$29)+((((1.01*L65)*(L64)*'Cálculos AG'!$O$28)/'Cálculos AG'!$Q$29))</f>
        <v>323.77987131495007</v>
      </c>
      <c r="M67" s="544">
        <f>((((157*M63)/'Cálculos AG'!$B$29)*(M62))/'Cálculos AG'!$F$29)+((((1.01*M65)*(M64)*'Cálculos AG'!$O$28)/'Cálculos AG'!$Q$29))</f>
        <v>393.41954858022007</v>
      </c>
      <c r="N67" s="544">
        <f>((((157*N63)/'Cálculos AG'!$B$29)*(N62))/'Cálculos AG'!$F$29)+((((1.01*N65)*(N64)*'Cálculos AG'!$O$28)/'Cálculos AG'!$Q$29))</f>
        <v>0.38385196248000003</v>
      </c>
      <c r="O67" s="562">
        <f t="shared" si="14"/>
        <v>5845.6687789588204</v>
      </c>
    </row>
    <row r="68" spans="1:15" ht="21.75" customHeight="1" x14ac:dyDescent="0.2">
      <c r="A68" s="543" t="s">
        <v>20</v>
      </c>
      <c r="B68" s="543" t="s">
        <v>94</v>
      </c>
      <c r="C68" s="544">
        <f>('Cálculos AG'!$B$38*(C62)*0.15/2000)+((('Cálculos AG'!$K$38*(C64)*'Cálculos AG'!$O$38)/'Cálculos AG'!$Q$39))</f>
        <v>416.93517145500005</v>
      </c>
      <c r="D68" s="544">
        <f>('Cálculos AG'!$B$38*(D62)*0.15/2000)+((('Cálculos AG'!$K$38*(D64)*'Cálculos AG'!$O$38)/'Cálculos AG'!$Q$39))</f>
        <v>560.5440579750001</v>
      </c>
      <c r="E68" s="544">
        <f>('Cálculos AG'!$B$38*(E62)*0.15/2000)+((('Cálculos AG'!$K$38*(E64)*'Cálculos AG'!$O$38)/'Cálculos AG'!$Q$39))</f>
        <v>485.30013774000008</v>
      </c>
      <c r="F68" s="544">
        <f>('Cálculos AG'!$B$38*(F62)*0.15/2000)+((('Cálculos AG'!$K$38*(F64)*'Cálculos AG'!$O$38)/'Cálculos AG'!$Q$39))</f>
        <v>585.65075365500002</v>
      </c>
      <c r="G68" s="544">
        <f>('Cálculos AG'!$B$38*(G62)*0.15/2000)+((('Cálculos AG'!$K$38*(G64)*'Cálculos AG'!$O$38)/'Cálculos AG'!$Q$39))</f>
        <v>959.0837218050001</v>
      </c>
      <c r="H68" s="544">
        <f>('Cálculos AG'!$B$38*(H62)*0.15/2000)+((('Cálculos AG'!$K$38*(H64)*'Cálculos AG'!$O$38)/'Cálculos AG'!$Q$39))</f>
        <v>894.15977887500003</v>
      </c>
      <c r="I68" s="544">
        <f>('Cálculos AG'!$B$38*(I62)*0.15/2000)+((('Cálculos AG'!$K$38*(I64)*'Cálculos AG'!$O$38)/'Cálculos AG'!$Q$39))</f>
        <v>696.33121552500006</v>
      </c>
      <c r="J68" s="544">
        <f>('Cálculos AG'!$B$38*(J62)*0.15/2000)+((('Cálculos AG'!$K$38*(J64)*'Cálculos AG'!$O$38)/'Cálculos AG'!$Q$39))</f>
        <v>772.30329676500003</v>
      </c>
      <c r="K68" s="544">
        <f>('Cálculos AG'!$B$38*(K62)*0.15/2000)+((('Cálculos AG'!$K$38*(K64)*'Cálculos AG'!$O$38)/'Cálculos AG'!$Q$39))</f>
        <v>641.06820475500001</v>
      </c>
      <c r="L68" s="544">
        <f>('Cálculos AG'!$B$38*(L62)*0.15/2000)+((('Cálculos AG'!$K$38*(L64)*'Cálculos AG'!$O$38)/'Cálculos AG'!$Q$39))</f>
        <v>782.17952703000003</v>
      </c>
      <c r="M68" s="544">
        <f>('Cálculos AG'!$B$38*(M62)*0.15/2000)+((('Cálculos AG'!$K$38*(M64)*'Cálculos AG'!$O$38)/'Cálculos AG'!$Q$39))</f>
        <v>485.04034738500002</v>
      </c>
      <c r="N68" s="544">
        <f>('Cálculos AG'!$B$38*(N62)*0.15/2000)+((('Cálculos AG'!$K$38*(N64)*'Cálculos AG'!$O$38)/'Cálculos AG'!$Q$39))</f>
        <v>334.44527424</v>
      </c>
      <c r="O68" s="562">
        <f t="shared" si="14"/>
        <v>7613.0414872049996</v>
      </c>
    </row>
    <row r="69" spans="1:15" ht="21.75" customHeight="1" x14ac:dyDescent="0.2">
      <c r="A69" s="543" t="s">
        <v>22</v>
      </c>
      <c r="B69" s="543" t="s">
        <v>94</v>
      </c>
      <c r="C69" s="544">
        <f>((('Cálculos AG'!$B$50/'Cálculos AG'!$B$51)*(C62))/'Cálculos AG'!$F$51)+((('Cálculos AG'!$K$50*(C64)*'Cálculos AG'!$O$50)/'Cálculos AG'!$Q$51))</f>
        <v>2.8813998016199998</v>
      </c>
      <c r="D69" s="544">
        <f>((('Cálculos AG'!$B$50/'Cálculos AG'!$B$51)*(D62))/'Cálculos AG'!$F$51)+((('Cálculos AG'!$K$50*(D64)*'Cálculos AG'!$O$50)/'Cálculos AG'!$Q$51))</f>
        <v>5.8048641225000015</v>
      </c>
      <c r="E69" s="544">
        <f>((('Cálculos AG'!$B$50/'Cálculos AG'!$B$51)*(E62))/'Cálculos AG'!$F$51)+((('Cálculos AG'!$K$50*(E64)*'Cálculos AG'!$O$50)/'Cálculos AG'!$Q$51))</f>
        <v>5.1002570928300006</v>
      </c>
      <c r="F69" s="544">
        <f>((('Cálculos AG'!$B$50/'Cálculos AG'!$B$51)*(F62))/'Cálculos AG'!$F$51)+((('Cálculos AG'!$K$50*(F64)*'Cálculos AG'!$O$50)/'Cálculos AG'!$Q$51))</f>
        <v>4.5363408830699994</v>
      </c>
      <c r="G69" s="544">
        <f>((('Cálculos AG'!$B$50/'Cálculos AG'!$B$51)*(G62))/'Cálculos AG'!$F$51)+((('Cálculos AG'!$K$50*(G64)*'Cálculos AG'!$O$50)/'Cálculos AG'!$Q$51))</f>
        <v>8.9192039286300009</v>
      </c>
      <c r="H69" s="544">
        <f>((('Cálculos AG'!$B$50/'Cálculos AG'!$B$51)*(H62))/'Cálculos AG'!$F$51)+((('Cálculos AG'!$K$50*(H64)*'Cálculos AG'!$O$50)/'Cálculos AG'!$Q$51))</f>
        <v>9.4141224191999999</v>
      </c>
      <c r="I69" s="544">
        <f>((('Cálculos AG'!$B$50/'Cálculos AG'!$B$51)*(I62))/'Cálculos AG'!$F$51)+((('Cálculos AG'!$K$50*(I64)*'Cálculos AG'!$O$50)/'Cálculos AG'!$Q$51))</f>
        <v>7.5861171619500007</v>
      </c>
      <c r="J69" s="544">
        <f>((('Cálculos AG'!$B$50/'Cálculos AG'!$B$51)*(J62))/'Cálculos AG'!$F$51)+((('Cálculos AG'!$K$50*(J64)*'Cálculos AG'!$O$50)/'Cálculos AG'!$Q$51))</f>
        <v>5.2346063460600005</v>
      </c>
      <c r="K69" s="544">
        <f>((('Cálculos AG'!$B$50/'Cálculos AG'!$B$51)*(K62))/'Cálculos AG'!$F$51)+((('Cálculos AG'!$K$50*(K64)*'Cálculos AG'!$O$50)/'Cálculos AG'!$Q$51))</f>
        <v>2.8321896032100002</v>
      </c>
      <c r="L69" s="544">
        <f>((('Cálculos AG'!$B$50/'Cálculos AG'!$B$51)*(L62))/'Cálculos AG'!$F$51)+((('Cálculos AG'!$K$50*(L64)*'Cálculos AG'!$O$50)/'Cálculos AG'!$Q$51))</f>
        <v>3.4597035001500003</v>
      </c>
      <c r="M69" s="544">
        <f>((('Cálculos AG'!$B$50/'Cálculos AG'!$B$51)*(M62))/'Cálculos AG'!$F$51)+((('Cálculos AG'!$K$50*(M64)*'Cálculos AG'!$O$50)/'Cálculos AG'!$Q$51))</f>
        <v>3.91674969402</v>
      </c>
      <c r="N69" s="544">
        <f>((('Cálculos AG'!$B$50/'Cálculos AG'!$B$51)*(N62))/'Cálculos AG'!$F$51)+((('Cálculos AG'!$K$50*(N64)*'Cálculos AG'!$O$50)/'Cálculos AG'!$Q$51))</f>
        <v>0.15582109367999999</v>
      </c>
      <c r="O69" s="562">
        <f t="shared" si="14"/>
        <v>59.841375646919992</v>
      </c>
    </row>
    <row r="70" spans="1:15" ht="21.75" customHeight="1" x14ac:dyDescent="0.2">
      <c r="A70" s="543" t="s">
        <v>21</v>
      </c>
      <c r="B70" s="543" t="s">
        <v>94</v>
      </c>
      <c r="C70" s="544">
        <f>((('Cálculos AG'!$B$60/'Cálculos AG'!$B$61)*(C62))/'Cálculos AG'!$F$61)+((('Cálculos AG'!$K$60*(C64)*'Cálculos AG'!$O$60)/'Cálculos AG'!$Q$61))</f>
        <v>19.118493732600001</v>
      </c>
      <c r="D70" s="544">
        <f>((('Cálculos AG'!$B$60/'Cálculos AG'!$B$61)*(D62))/'Cálculos AG'!$F$61)+((('Cálculos AG'!$K$60*(D64)*'Cálculos AG'!$O$60)/'Cálculos AG'!$Q$61))</f>
        <v>38.318758935000012</v>
      </c>
      <c r="E70" s="544">
        <f>((('Cálculos AG'!$B$60/'Cálculos AG'!$B$61)*(E62))/'Cálculos AG'!$F$61)+((('Cálculos AG'!$K$60*(E64)*'Cálculos AG'!$O$60)/'Cálculos AG'!$Q$61))</f>
        <v>33.662456997900001</v>
      </c>
      <c r="F70" s="544">
        <f>((('Cálculos AG'!$B$60/'Cálculos AG'!$B$61)*(F62))/'Cálculos AG'!$F$61)+((('Cálculos AG'!$K$60*(F64)*'Cálculos AG'!$O$60)/'Cálculos AG'!$Q$61))</f>
        <v>30.049292831099997</v>
      </c>
      <c r="G70" s="544">
        <f>((('Cálculos AG'!$B$60/'Cálculos AG'!$B$61)*(G62))/'Cálculos AG'!$F$61)+((('Cálculos AG'!$K$60*(G64)*'Cálculos AG'!$O$60)/'Cálculos AG'!$Q$61))</f>
        <v>58.9460461659</v>
      </c>
      <c r="H70" s="544">
        <f>((('Cálculos AG'!$B$60/'Cálculos AG'!$B$61)*(H62))/'Cálculos AG'!$F$61)+((('Cálculos AG'!$K$60*(H64)*'Cálculos AG'!$O$60)/'Cálculos AG'!$Q$61))</f>
        <v>62.133471485999998</v>
      </c>
      <c r="I70" s="544">
        <f>((('Cálculos AG'!$B$60/'Cálculos AG'!$B$61)*(I62))/'Cálculos AG'!$F$61)+((('Cálculos AG'!$K$60*(I64)*'Cálculos AG'!$O$60)/'Cálculos AG'!$Q$61))</f>
        <v>50.051492233500007</v>
      </c>
      <c r="J70" s="544">
        <f>((('Cálculos AG'!$B$60/'Cálculos AG'!$B$61)*(J62))/'Cálculos AG'!$F$61)+((('Cálculos AG'!$K$60*(J64)*'Cálculos AG'!$O$60)/'Cálculos AG'!$Q$61))</f>
        <v>34.742846833800002</v>
      </c>
      <c r="K70" s="544">
        <f>((('Cálculos AG'!$B$60/'Cálculos AG'!$B$61)*(K62))/'Cálculos AG'!$F$61)+((('Cálculos AG'!$K$60*(K64)*'Cálculos AG'!$O$60)/'Cálculos AG'!$Q$61))</f>
        <v>18.955297677299999</v>
      </c>
      <c r="L70" s="544">
        <f>((('Cálculos AG'!$B$60/'Cálculos AG'!$B$61)*(L62))/'Cálculos AG'!$F$61)+((('Cálculos AG'!$K$60*(L64)*'Cálculos AG'!$O$60)/'Cálculos AG'!$Q$61))</f>
        <v>23.154472297500003</v>
      </c>
      <c r="M70" s="544">
        <f>((('Cálculos AG'!$B$60/'Cálculos AG'!$B$61)*(M62))/'Cálculos AG'!$F$61)+((('Cálculos AG'!$K$60*(M64)*'Cálculos AG'!$O$60)/'Cálculos AG'!$Q$61))</f>
        <v>25.930480212600006</v>
      </c>
      <c r="N70" s="544">
        <f>((('Cálculos AG'!$B$60/'Cálculos AG'!$B$61)*(N62))/'Cálculos AG'!$F$61)+((('Cálculos AG'!$K$60*(N64)*'Cálculos AG'!$O$60)/'Cálculos AG'!$Q$61))</f>
        <v>1.2541697784000001</v>
      </c>
      <c r="O70" s="562">
        <f t="shared" si="14"/>
        <v>396.31727918159999</v>
      </c>
    </row>
    <row r="71" spans="1:15" ht="21.75" customHeight="1" x14ac:dyDescent="0.2">
      <c r="A71" s="543" t="s">
        <v>23</v>
      </c>
      <c r="B71" s="543" t="s">
        <v>94</v>
      </c>
      <c r="C71" s="549">
        <f>((('Cálculos AG'!$B$70/'Cálculos AG'!$B$71)*(C62))/'Cálculos AG'!$F$71)+((('Cálculos AG'!$K$70*(C64)*'Cálculos AG'!$O$70)/'Cálculos AG'!$Q$71))</f>
        <v>9.2675610110999999E-3</v>
      </c>
      <c r="D71" s="549">
        <f>((('Cálculos AG'!$B$70/'Cálculos AG'!$B$71)*(D62))/'Cálculos AG'!$F$71)+((('Cálculos AG'!$K$70*(D64)*'Cálculos AG'!$O$70)/'Cálculos AG'!$Q$71))</f>
        <v>1.4352840085500002E-2</v>
      </c>
      <c r="E71" s="549">
        <f>((('Cálculos AG'!$B$70/'Cálculos AG'!$B$71)*(E62))/'Cálculos AG'!$F$71)+((('Cálculos AG'!$K$70*(E64)*'Cálculos AG'!$O$70)/'Cálculos AG'!$Q$71))</f>
        <v>1.2499344816000003E-2</v>
      </c>
      <c r="F71" s="549">
        <f>((('Cálculos AG'!$B$70/'Cálculos AG'!$B$71)*(F62))/'Cálculos AG'!$F$71)+((('Cálculos AG'!$K$70*(F64)*'Cálculos AG'!$O$70)/'Cálculos AG'!$Q$71))</f>
        <v>1.34971251891E-2</v>
      </c>
      <c r="G71" s="549">
        <f>((('Cálculos AG'!$B$70/'Cálculos AG'!$B$71)*(G62))/'Cálculos AG'!$F$71)+((('Cálculos AG'!$K$70*(G64)*'Cálculos AG'!$O$70)/'Cálculos AG'!$Q$71))</f>
        <v>2.3564524445700001E-2</v>
      </c>
      <c r="H71" s="549">
        <f>((('Cálculos AG'!$B$70/'Cálculos AG'!$B$71)*(H62))/'Cálculos AG'!$F$71)+((('Cálculos AG'!$K$70*(H64)*'Cálculos AG'!$O$70)/'Cálculos AG'!$Q$71))</f>
        <v>2.3046522019500002E-2</v>
      </c>
      <c r="I71" s="549">
        <f>((('Cálculos AG'!$B$70/'Cálculos AG'!$B$71)*(I62))/'Cálculos AG'!$F$71)+((('Cálculos AG'!$K$70*(I64)*'Cálculos AG'!$O$70)/'Cálculos AG'!$Q$71))</f>
        <v>1.8197421406500002E-2</v>
      </c>
      <c r="J71" s="549">
        <f>((('Cálculos AG'!$B$70/'Cálculos AG'!$B$71)*(J62))/'Cálculos AG'!$F$71)+((('Cálculos AG'!$K$70*(J64)*'Cálculos AG'!$O$70)/'Cálculos AG'!$Q$71))</f>
        <v>1.7065923657300003E-2</v>
      </c>
      <c r="K71" s="549">
        <f>((('Cálculos AG'!$B$70/'Cálculos AG'!$B$71)*(K62))/'Cálculos AG'!$F$71)+((('Cálculos AG'!$K$70*(K64)*'Cálculos AG'!$O$70)/'Cálculos AG'!$Q$71))</f>
        <v>1.2682687909500001E-2</v>
      </c>
      <c r="L71" s="549">
        <f>((('Cálculos AG'!$B$70/'Cálculos AG'!$B$71)*(L62))/'Cálculos AG'!$F$71)+((('Cálculos AG'!$K$70*(L64)*'Cálculos AG'!$O$70)/'Cálculos AG'!$Q$71))</f>
        <v>1.5478403879400002E-2</v>
      </c>
      <c r="M71" s="549">
        <f>((('Cálculos AG'!$B$70/'Cálculos AG'!$B$71)*(M62))/'Cálculos AG'!$F$71)+((('Cálculos AG'!$K$70*(M64)*'Cálculos AG'!$O$70)/'Cálculos AG'!$Q$71))</f>
        <v>1.13350094025E-2</v>
      </c>
      <c r="N71" s="549">
        <f>((('Cálculos AG'!$B$70/'Cálculos AG'!$B$71)*(N62))/'Cálculos AG'!$F$71)+((('Cálculos AG'!$K$70*(N64)*'Cálculos AG'!$O$70)/'Cálculos AG'!$Q$71))</f>
        <v>5.3207202719999999E-3</v>
      </c>
      <c r="O71" s="563">
        <f t="shared" si="14"/>
        <v>0.17630808409410001</v>
      </c>
    </row>
    <row r="72" spans="1:15" ht="21.75" customHeight="1" x14ac:dyDescent="0.2">
      <c r="A72" s="543" t="s">
        <v>24</v>
      </c>
      <c r="B72" s="543" t="s">
        <v>94</v>
      </c>
      <c r="C72" s="544">
        <f>('Cálculos AG'!$B$80*(C62)/'Cálculos AG'!$F$81)+('Cálculos AG'!$K$80*(C64)/'Cálculos AG'!$O$81)</f>
        <v>135251.53802717887</v>
      </c>
      <c r="D72" s="544">
        <f>('Cálculos AG'!$B$80*(D62)/'Cálculos AG'!$F$81)+('Cálculos AG'!$K$80*(D64)/'Cálculos AG'!$O$81)</f>
        <v>223323.14161806947</v>
      </c>
      <c r="E72" s="544">
        <f>('Cálculos AG'!$B$80*(E62)/'Cálculos AG'!$F$81)+('Cálculos AG'!$K$80*(E64)/'Cálculos AG'!$O$81)</f>
        <v>194948.386997686</v>
      </c>
      <c r="F72" s="544">
        <f>('Cálculos AG'!$B$80*(F62)/'Cálculos AG'!$F$81)+('Cálculos AG'!$K$80*(F64)/'Cálculos AG'!$O$81)</f>
        <v>200486.89154557671</v>
      </c>
      <c r="G72" s="544">
        <f>('Cálculos AG'!$B$80*(G62)/'Cálculos AG'!$F$81)+('Cálculos AG'!$K$80*(G64)/'Cálculos AG'!$O$81)</f>
        <v>360343.03265890613</v>
      </c>
      <c r="H72" s="544">
        <f>('Cálculos AG'!$B$80*(H62)/'Cálculos AG'!$F$81)+('Cálculos AG'!$K$80*(H64)/'Cálculos AG'!$O$81)</f>
        <v>359554.4491370155</v>
      </c>
      <c r="I72" s="544">
        <f>('Cálculos AG'!$B$80*(I62)/'Cálculos AG'!$F$81)+('Cálculos AG'!$K$80*(I64)/'Cálculos AG'!$O$81)</f>
        <v>285479.40928738861</v>
      </c>
      <c r="J72" s="544">
        <f>('Cálculos AG'!$B$80*(J62)/'Cálculos AG'!$F$81)+('Cálculos AG'!$K$80*(J64)/'Cálculos AG'!$O$81)</f>
        <v>248324.44560483063</v>
      </c>
      <c r="K72" s="544">
        <f>('Cálculos AG'!$B$80*(K62)/'Cálculos AG'!$F$81)+('Cálculos AG'!$K$80*(K64)/'Cálculos AG'!$O$81)</f>
        <v>173623.8610619434</v>
      </c>
      <c r="L72" s="544">
        <f>('Cálculos AG'!$B$80*(L62)/'Cálculos AG'!$F$81)+('Cálculos AG'!$K$80*(L64)/'Cálculos AG'!$O$81)</f>
        <v>211929.75755622931</v>
      </c>
      <c r="M72" s="544">
        <f>('Cálculos AG'!$B$80*(M62)/'Cálculos AG'!$F$81)+('Cálculos AG'!$K$80*(M64)/'Cálculos AG'!$O$81)</f>
        <v>169476.14160586664</v>
      </c>
      <c r="N72" s="544">
        <f>('Cálculos AG'!$B$80*(N62)/'Cálculos AG'!$F$81)+('Cálculos AG'!$K$80*(N64)/'Cálculos AG'!$O$81)</f>
        <v>62183.393603645345</v>
      </c>
      <c r="O72" s="562">
        <f t="shared" si="14"/>
        <v>2624924.4487043363</v>
      </c>
    </row>
    <row r="73" spans="1:15" ht="21.75" customHeight="1" x14ac:dyDescent="0.2">
      <c r="A73" s="626" t="s">
        <v>388</v>
      </c>
      <c r="B73" s="626"/>
      <c r="C73" s="555"/>
      <c r="D73" s="555"/>
      <c r="E73" s="555"/>
      <c r="F73" s="555"/>
      <c r="G73" s="555"/>
      <c r="H73" s="555"/>
      <c r="I73" s="555"/>
      <c r="J73" s="626"/>
      <c r="K73" s="626"/>
      <c r="L73" s="555"/>
      <c r="M73" s="555"/>
      <c r="N73" s="555"/>
      <c r="O73" s="555"/>
    </row>
    <row r="74" spans="1:15" ht="21.75" hidden="1" customHeight="1" x14ac:dyDescent="0.2">
      <c r="A74" s="543" t="s">
        <v>181</v>
      </c>
      <c r="B74" s="543" t="s">
        <v>92</v>
      </c>
      <c r="C74" s="556">
        <f>SUM('Palo Seco'!$B$5,'Palo Seco'!$C$5,'Palo Seco'!$D$5,'Palo Seco'!$E$5)</f>
        <v>0</v>
      </c>
      <c r="D74" s="556">
        <f>SUM('Palo Seco'!$B$6,'Palo Seco'!$C$6,'Palo Seco'!$D$6,'Palo Seco'!$E$6)</f>
        <v>0</v>
      </c>
      <c r="E74" s="556">
        <f>SUM('Palo Seco'!$B$7,'Palo Seco'!$C$7,'Palo Seco'!$D$7,'Palo Seco'!$E$7)</f>
        <v>0</v>
      </c>
      <c r="F74" s="556">
        <f>SUM('Palo Seco'!$B$8,'Palo Seco'!$C$8,'Palo Seco'!$D$8,'Palo Seco'!$E$8)</f>
        <v>0</v>
      </c>
      <c r="G74" s="556">
        <f>SUM('Palo Seco'!$B$9,'Palo Seco'!$C$9,'Palo Seco'!$D$9,'Palo Seco'!$E$9)</f>
        <v>0</v>
      </c>
      <c r="H74" s="556">
        <f>SUM('Palo Seco'!$B$10,'Palo Seco'!$C$10,'Palo Seco'!$D$10,'Palo Seco'!$E$10)</f>
        <v>0</v>
      </c>
      <c r="I74" s="556">
        <f>SUM('Palo Seco'!$B$11,'Palo Seco'!$C$11,'Palo Seco'!$D$11,'Palo Seco'!$E$11)</f>
        <v>1337070</v>
      </c>
      <c r="J74" s="556">
        <f>SUM('Palo Seco'!$B$12,'Palo Seco'!$C$12,'Palo Seco'!$D$12,'Palo Seco'!$E$12)</f>
        <v>6684846</v>
      </c>
      <c r="K74" s="556">
        <f>SUM('Palo Seco'!$B$13,'Palo Seco'!$C$13,'Palo Seco'!$D$13,'Palo Seco'!$E$13)</f>
        <v>6941340</v>
      </c>
      <c r="L74" s="556">
        <f>SUM('Palo Seco'!$B$14,'Palo Seco'!$C$14,'Palo Seco'!$D$14,'Palo Seco'!$E$14)</f>
        <v>6730626</v>
      </c>
      <c r="M74" s="556">
        <f>SUM('Palo Seco'!$B$15,'Palo Seco'!$C$15,'Palo Seco'!$D$15,'Palo Seco'!$E$15)</f>
        <v>5664204</v>
      </c>
      <c r="N74" s="556">
        <f>SUM('Palo Seco'!$B$16,'Palo Seco'!$C$16,'Palo Seco'!$D$16,'Palo Seco'!$E$16)</f>
        <v>5766264</v>
      </c>
      <c r="O74" s="564">
        <f>SUM(C74:N74)</f>
        <v>33124350</v>
      </c>
    </row>
    <row r="75" spans="1:15" ht="21.75" hidden="1" customHeight="1" x14ac:dyDescent="0.2">
      <c r="A75" s="543" t="s">
        <v>386</v>
      </c>
      <c r="B75" s="543" t="s">
        <v>371</v>
      </c>
      <c r="C75" s="560">
        <f>IF(C74=0,0,('Palo Seco'!$D$5*'Palo Seco'!$H$5+'Palo Seco'!$E$5*'Palo Seco'!$I$5)/C74)</f>
        <v>0</v>
      </c>
      <c r="D75" s="560">
        <f>IF(D74=0,0,('Palo Seco'!$D$6*'Palo Seco'!$H$6+'Palo Seco'!$E$6*'Palo Seco'!$I$6)/D74)</f>
        <v>0</v>
      </c>
      <c r="E75" s="560">
        <f>IF(E74=0,0,('Palo Seco'!$D$7*'Palo Seco'!$H$7+'Palo Seco'!$E$7*'Palo Seco'!$I$7)/E74)</f>
        <v>0</v>
      </c>
      <c r="F75" s="560">
        <f>IF(F74=0,0,('Palo Seco'!$D$8*'Palo Seco'!$H$8+'Palo Seco'!$E$8*'Palo Seco'!$I$8)/F74)</f>
        <v>0</v>
      </c>
      <c r="G75" s="560">
        <f>IF(G74=0,0,('Palo Seco'!$D$9*'Palo Seco'!$H$9+'Palo Seco'!$E$9*'Palo Seco'!$I$9)/G74)</f>
        <v>0</v>
      </c>
      <c r="H75" s="560">
        <f>IF(H74=0,0,('Palo Seco'!$D$10*'Palo Seco'!$H$10+'Palo Seco'!$E$10*'Palo Seco'!$I$10)/H74)</f>
        <v>0</v>
      </c>
      <c r="I75" s="560">
        <f>IF(I74=0,0,('Palo Seco'!$D$11*'Palo Seco'!$H$11+'Palo Seco'!$E$11*'Palo Seco'!$I$11)/I74)</f>
        <v>0.48</v>
      </c>
      <c r="J75" s="560">
        <f>IF(J74=0,0,('Palo Seco'!$D$12*'Palo Seco'!$H$12+'Palo Seco'!$E$12*'Palo Seco'!$I$12)/J74)</f>
        <v>0.49</v>
      </c>
      <c r="K75" s="560">
        <f>IF(K74=0,0,('Palo Seco'!$D$13*'Palo Seco'!$H$13+'Palo Seco'!$E$13*'Palo Seco'!$I$13)/K74)</f>
        <v>0.49</v>
      </c>
      <c r="L75" s="560">
        <f>IF(L74=0,0,('Palo Seco'!$D$14*'Palo Seco'!$H$14+'Palo Seco'!$E$14*'Palo Seco'!$I$14)/L74)</f>
        <v>0.49</v>
      </c>
      <c r="M75" s="560">
        <f>IF(M74=0,0,('Palo Seco'!$D$15*'Palo Seco'!$H$15+'Palo Seco'!$E$15*'Palo Seco'!$I$15)/M74)</f>
        <v>0.5</v>
      </c>
      <c r="N75" s="560">
        <f>IF(N74=0,0,('Palo Seco'!$D$16*'Palo Seco'!$H$16+'Palo Seco'!$E$16*'Palo Seco'!$I$16)/N74)</f>
        <v>0.5</v>
      </c>
      <c r="O75" s="565">
        <f>IF(O74=0,0,SUMPRODUCT(C75:N75,C74:N74)/O74)</f>
        <v>0.49304712333977874</v>
      </c>
    </row>
    <row r="76" spans="1:15" ht="21.75" hidden="1" customHeight="1" x14ac:dyDescent="0.2">
      <c r="A76" s="543" t="s">
        <v>389</v>
      </c>
      <c r="B76" s="543" t="s">
        <v>92</v>
      </c>
      <c r="C76" s="556">
        <f>SUM('Palo Seco'!B24:E24,'Palo Seco'!K24:L24)*42</f>
        <v>699744.3600000001</v>
      </c>
      <c r="D76" s="556">
        <f>SUM('Palo Seco'!B25:E25,'Palo Seco'!K25:L25)*42</f>
        <v>1035971.16</v>
      </c>
      <c r="E76" s="556">
        <f>SUM('Palo Seco'!B26:E26,'Palo Seco'!K26:L26)*42</f>
        <v>1304242.422</v>
      </c>
      <c r="F76" s="556">
        <f>SUM('Palo Seco'!B27:E27,'Palo Seco'!K27:L27)*42</f>
        <v>980458.08</v>
      </c>
      <c r="G76" s="556">
        <f>SUM('Palo Seco'!B28:E28,'Palo Seco'!K28:L28)*42</f>
        <v>1705509.12</v>
      </c>
      <c r="H76" s="556">
        <f>SUM('Palo Seco'!B29:E29,'Palo Seco'!K29:L29)*42</f>
        <v>934526.88</v>
      </c>
      <c r="I76" s="556">
        <f>SUM('Palo Seco'!B30:E30,'Palo Seco'!K30:L30)*42</f>
        <v>555786</v>
      </c>
      <c r="J76" s="556">
        <f>SUM('Palo Seco'!B31:E31,'Palo Seco'!K31:L31)*42</f>
        <v>1233854.9999999998</v>
      </c>
      <c r="K76" s="556">
        <f>SUM('Palo Seco'!B32:E32,'Palo Seco'!K32:L32)*42</f>
        <v>1431901.8</v>
      </c>
      <c r="L76" s="556">
        <f>SUM('Palo Seco'!B33:E33,'Palo Seco'!K33:L33)*42</f>
        <v>1468748.82</v>
      </c>
      <c r="M76" s="556">
        <f>SUM('Palo Seco'!B34:E34,'Palo Seco'!K34:L34)*42</f>
        <v>417440.51999999996</v>
      </c>
      <c r="N76" s="556">
        <f>SUM('Palo Seco'!B35:E35,'Palo Seco'!K35:L35)*42</f>
        <v>648503.52</v>
      </c>
      <c r="O76" s="564">
        <f>SUM(C76:N76)</f>
        <v>12416687.682</v>
      </c>
    </row>
    <row r="77" spans="1:15" ht="21.75" hidden="1" customHeight="1" x14ac:dyDescent="0.2">
      <c r="A77" s="543" t="s">
        <v>390</v>
      </c>
      <c r="B77" s="543" t="s">
        <v>371</v>
      </c>
      <c r="C77" s="560">
        <f>IF(C76=0,0,(SUMPRODUCT('Palo Seco'!B24:E24,'Palo Seco'!F24:I24)+SUMPRODUCT('Palo Seco'!K24:L24,'Palo Seco'!M24:N24))*42/C76)</f>
        <v>4.0000000000000001E-3</v>
      </c>
      <c r="D77" s="560">
        <f>IF(D76=0,0,(SUMPRODUCT('Palo Seco'!B25:E25,'Palo Seco'!F25:I25)+SUMPRODUCT('Palo Seco'!K25:L25,'Palo Seco'!M25:N25))*42/D76)</f>
        <v>4.0000000000000001E-3</v>
      </c>
      <c r="E77" s="560">
        <f>IF(E76=0,0,(SUMPRODUCT('Palo Seco'!B26:E26,'Palo Seco'!F26:I26)+SUMPRODUCT('Palo Seco'!K26:L26,'Palo Seco'!M26:N26))*42/E76)</f>
        <v>9.9999996779739767E-4</v>
      </c>
      <c r="F77" s="560">
        <f>IF(F76=0,0,(SUMPRODUCT('Palo Seco'!B27:E27,'Palo Seco'!F27:I27)+SUMPRODUCT('Palo Seco'!K27:L27,'Palo Seco'!M27:N27))*42/F76)</f>
        <v>1E-3</v>
      </c>
      <c r="G77" s="560">
        <f>IF(G76=0,0,(SUMPRODUCT('Palo Seco'!B28:E28,'Palo Seco'!F28:I28)+SUMPRODUCT('Palo Seco'!K28:L28,'Palo Seco'!M28:N28))*42/G76)</f>
        <v>1.2999999999999997E-3</v>
      </c>
      <c r="H77" s="560">
        <f>IF(H76=0,0,(SUMPRODUCT('Palo Seco'!B29:E29,'Palo Seco'!F29:I29)+SUMPRODUCT('Palo Seco'!K29:L29,'Palo Seco'!M29:N29))*42/H76)</f>
        <v>1.2999999999999999E-3</v>
      </c>
      <c r="I77" s="560">
        <f>IF(I76=0,0,(SUMPRODUCT('Palo Seco'!B30:E30,'Palo Seco'!F30:I30)+SUMPRODUCT('Palo Seco'!K30:L30,'Palo Seco'!M30:N30))*42/I76)</f>
        <v>1.2999999999999999E-3</v>
      </c>
      <c r="J77" s="560">
        <f>IF(J76=0,0,(SUMPRODUCT('Palo Seco'!B31:E31,'Palo Seco'!F31:I31)+SUMPRODUCT('Palo Seco'!K31:L31,'Palo Seco'!M31:N31))*42/J76)</f>
        <v>1.3000000000000002E-3</v>
      </c>
      <c r="K77" s="560">
        <f>IF(K76=0,0,(SUMPRODUCT('Palo Seco'!B32:E32,'Palo Seco'!F32:I32)+SUMPRODUCT('Palo Seco'!K32:L32,'Palo Seco'!M32:N32))*42/K76)</f>
        <v>5.0000000000000001E-4</v>
      </c>
      <c r="L77" s="560">
        <f>IF(L76=0,0,(SUMPRODUCT('Palo Seco'!B33:E33,'Palo Seco'!F33:I33)+SUMPRODUCT('Palo Seco'!K33:L33,'Palo Seco'!M33:N33))*42/L76)</f>
        <v>7.000000000000001E-4</v>
      </c>
      <c r="M77" s="560">
        <f>IF(M76=0,0,(SUMPRODUCT('Palo Seco'!B34:E34,'Palo Seco'!F34:I34)+SUMPRODUCT('Palo Seco'!K34:L34,'Palo Seco'!M34:N34))*42/M76)</f>
        <v>6.9999999999999999E-4</v>
      </c>
      <c r="N77" s="560">
        <f>IF(N76=0,0,(SUMPRODUCT('Palo Seco'!B35:E35,'Palo Seco'!F35:I35)+SUMPRODUCT('Palo Seco'!K35:L35,'Palo Seco'!M35:N35))*42/N76)</f>
        <v>1E-3</v>
      </c>
      <c r="O77" s="565">
        <f>IF(O76=0,0,SUMPRODUCT(C77:N77,C76:N76)/O76)</f>
        <v>1.4231597065630373E-3</v>
      </c>
    </row>
    <row r="78" spans="1:15" ht="21.75" hidden="1" customHeight="1" x14ac:dyDescent="0.2">
      <c r="A78" s="543" t="s">
        <v>391</v>
      </c>
      <c r="B78" s="543" t="s">
        <v>92</v>
      </c>
      <c r="C78" s="556">
        <f>SUM('Palo Seco'!B43:D43)</f>
        <v>29202</v>
      </c>
      <c r="D78" s="556">
        <f>SUM('Palo Seco'!B44:D44)</f>
        <v>0</v>
      </c>
      <c r="E78" s="556">
        <f>SUM('Palo Seco'!B45:D45)</f>
        <v>52426</v>
      </c>
      <c r="F78" s="556">
        <f>SUM('Palo Seco'!B46:D46)</f>
        <v>235990</v>
      </c>
      <c r="G78" s="556">
        <f>SUM('Palo Seco'!B47:D47)</f>
        <v>651501</v>
      </c>
      <c r="H78" s="556">
        <f>SUM('Palo Seco'!B48:D48)</f>
        <v>498854</v>
      </c>
      <c r="I78" s="556">
        <f>SUM('Palo Seco'!B49:D49)</f>
        <v>118103</v>
      </c>
      <c r="J78" s="556">
        <f>SUM('Palo Seco'!B50:D50)</f>
        <v>1180115</v>
      </c>
      <c r="K78" s="556">
        <f>SUM('Palo Seco'!B51:D51)</f>
        <v>973022</v>
      </c>
      <c r="L78" s="556">
        <f>SUM('Palo Seco'!B52:D52)</f>
        <v>1042276</v>
      </c>
      <c r="M78" s="556">
        <f>SUM('Palo Seco'!B53:D53)</f>
        <v>370290</v>
      </c>
      <c r="N78" s="556">
        <f>SUM('Palo Seco'!B54:D54)</f>
        <v>13677.84</v>
      </c>
      <c r="O78" s="564">
        <f t="shared" ref="O78:O88" si="15">SUM(C78:N78)</f>
        <v>5165456.84</v>
      </c>
    </row>
    <row r="79" spans="1:15" ht="21.75" hidden="1" customHeight="1" x14ac:dyDescent="0.2">
      <c r="A79" s="543" t="s">
        <v>392</v>
      </c>
      <c r="B79" s="543" t="s">
        <v>73</v>
      </c>
      <c r="C79" s="569">
        <f>SUM('Palo Seco'!F43:H43)</f>
        <v>0</v>
      </c>
      <c r="D79" s="569">
        <f>SUM('Palo Seco'!F44:H44)</f>
        <v>0</v>
      </c>
      <c r="E79" s="569">
        <f>SUM('Palo Seco'!F45:H45)</f>
        <v>0</v>
      </c>
      <c r="F79" s="569">
        <f>SUM('Palo Seco'!F46:H46)</f>
        <v>0</v>
      </c>
      <c r="G79" s="569">
        <f>SUM('Palo Seco'!F47:H47)</f>
        <v>0</v>
      </c>
      <c r="H79" s="569">
        <f>SUM('Palo Seco'!F48:H48)</f>
        <v>0</v>
      </c>
      <c r="I79" s="569">
        <f>SUM('Palo Seco'!F49:H49)</f>
        <v>0</v>
      </c>
      <c r="J79" s="569">
        <f>SUM('Palo Seco'!F50:H50)</f>
        <v>0</v>
      </c>
      <c r="K79" s="569">
        <f>SUM('Palo Seco'!F51:H51)</f>
        <v>0</v>
      </c>
      <c r="L79" s="569">
        <f>SUM('Palo Seco'!F52:H52)</f>
        <v>0</v>
      </c>
      <c r="M79" s="569">
        <f>SUM('Palo Seco'!F53:H53)</f>
        <v>0</v>
      </c>
      <c r="N79" s="569">
        <f>SUM('Palo Seco'!F54:H54)</f>
        <v>0</v>
      </c>
      <c r="O79" s="570">
        <f t="shared" si="15"/>
        <v>0</v>
      </c>
    </row>
    <row r="80" spans="1:15" ht="21.75" customHeight="1" x14ac:dyDescent="0.2">
      <c r="A80" s="543" t="s">
        <v>18</v>
      </c>
      <c r="B80" s="543" t="s">
        <v>94</v>
      </c>
      <c r="C80" s="544">
        <f>(((((9.19*C75)+3.22)/'Cálculos PS'!$B$19)*(C74))/'Cálculos PS'!$F$19)+(('Cálculos PS'!$J$18*(C76)*'Cálculos PS'!$N$18)/'Cálculos PS'!$P$19)+((((C78)*'MPs PS'!$E$44*'MPs PS'!$H$44+(C79)*'MPs PS'!$O$44*'MPs PS'!$R$44/1000000)/2000))</f>
        <v>0.61505273268000016</v>
      </c>
      <c r="D80" s="544">
        <f>(((((9.19*D75)+3.22)/'Cálculos PS'!$B$19)*(D74))/'Cálculos PS'!$F$19)+(('Cálculos PS'!$J$18*(D76)*'Cálculos PS'!$N$18)/'Cálculos PS'!$P$19)+((((D78)*'MPs PS'!$E$44*'MPs PS'!$H$44+(D79)*'MPs PS'!$O$44*'MPs PS'!$R$44/1000000)/2000))</f>
        <v>0.85778412048000008</v>
      </c>
      <c r="E80" s="544">
        <f>(((((9.19*E75)+3.22)/'Cálculos PS'!$B$19)*(E74))/'Cálculos PS'!$F$19)+(('Cálculos PS'!$J$18*(E76)*'Cálculos PS'!$N$18)/'Cálculos PS'!$P$19)+((((E78)*'MPs PS'!$E$44*'MPs PS'!$H$44+(E79)*'MPs PS'!$O$44*'MPs PS'!$R$44/1000000)/2000))</f>
        <v>1.1439405992160003</v>
      </c>
      <c r="F80" s="544">
        <f>(((((9.19*F75)+3.22)/'Cálculos PS'!$B$19)*(F74))/'Cálculos PS'!$F$19)+(('Cálculos PS'!$J$18*(F76)*'Cálculos PS'!$N$18)/'Cálculos PS'!$P$19)+((((F78)*'MPs PS'!$E$44*'MPs PS'!$H$44+(F79)*'MPs PS'!$O$44*'MPs PS'!$R$44/1000000)/2000))</f>
        <v>1.1000338772400002</v>
      </c>
      <c r="G80" s="544">
        <f>(((((9.19*G75)+3.22)/'Cálculos PS'!$B$19)*(G74))/'Cálculos PS'!$F$19)+(('Cálculos PS'!$J$18*(G76)*'Cálculos PS'!$N$18)/'Cálculos PS'!$P$19)+((((G78)*'MPs PS'!$E$44*'MPs PS'!$H$44+(G79)*'MPs PS'!$O$44*'MPs PS'!$R$44/1000000)/2000))</f>
        <v>2.2078397226600002</v>
      </c>
      <c r="H80" s="544">
        <f>(((((9.19*H75)+3.22)/'Cálculos PS'!$B$19)*(H74))/'Cálculos PS'!$F$19)+(('Cálculos PS'!$J$18*(H76)*'Cálculos PS'!$N$18)/'Cálculos PS'!$P$19)+((((H78)*'MPs PS'!$E$44*'MPs PS'!$H$44+(H79)*'MPs PS'!$O$44*'MPs PS'!$R$44/1000000)/2000))</f>
        <v>1.38303864684</v>
      </c>
      <c r="I80" s="544">
        <f>(((((9.19*I75)+3.22)/'Cálculos PS'!$B$19)*(I74))/'Cálculos PS'!$F$19)+(('Cálculos PS'!$J$18*(I76)*'Cálculos PS'!$N$18)/'Cálculos PS'!$P$19)+((((I78)*'MPs PS'!$E$44*'MPs PS'!$H$44+(I79)*'MPs PS'!$O$44*'MPs PS'!$R$44/1000000)/2000))</f>
        <v>5.7061542939000001</v>
      </c>
      <c r="J80" s="544">
        <f>(((((9.19*J75)+3.22)/'Cálculos PS'!$B$19)*(J74))/'Cálculos PS'!$F$19)+(('Cálculos PS'!$J$18*(J76)*'Cálculos PS'!$N$18)/'Cálculos PS'!$P$19)+((((J78)*'MPs PS'!$E$44*'MPs PS'!$H$44+(J79)*'MPs PS'!$O$44*'MPs PS'!$R$44/1000000)/2000))</f>
        <v>28.276773460799998</v>
      </c>
      <c r="K80" s="544">
        <f>(((((9.19*K75)+3.22)/'Cálculos PS'!$B$19)*(K74))/'Cálculos PS'!$F$19)+(('Cálculos PS'!$J$18*(K76)*'Cálculos PS'!$N$18)/'Cálculos PS'!$P$19)+((((K78)*'MPs PS'!$E$44*'MPs PS'!$H$44+(K79)*'MPs PS'!$O$44*'MPs PS'!$R$44/1000000)/2000))</f>
        <v>29.178297936</v>
      </c>
      <c r="L80" s="544">
        <f>(((((9.19*L75)+3.22)/'Cálculos PS'!$B$19)*(L74))/'Cálculos PS'!$F$19)+(('Cálculos PS'!$J$18*(L76)*'Cálculos PS'!$N$18)/'Cálculos PS'!$P$19)+((((L78)*'MPs PS'!$E$44*'MPs PS'!$H$44+(L79)*'MPs PS'!$O$44*'MPs PS'!$R$44/1000000)/2000))</f>
        <v>28.479704532059998</v>
      </c>
      <c r="M80" s="544">
        <f>(((((9.19*M75)+3.22)/'Cálculos PS'!$B$19)*(M74))/'Cálculos PS'!$F$19)+(('Cálculos PS'!$J$18*(M76)*'Cálculos PS'!$N$18)/'Cálculos PS'!$P$19)+((((M78)*'MPs PS'!$E$44*'MPs PS'!$H$44+(M79)*'MPs PS'!$O$44*'MPs PS'!$R$44/1000000)/2000))</f>
        <v>22.930753057559997</v>
      </c>
      <c r="N80" s="544">
        <f>(((((9.19*N75)+3.22)/'Cálculos PS'!$B$19)*(N74))/'Cálculos PS'!$F$19)+(('Cálculos PS'!$J$18*(N76)*'Cálculos PS'!$N$18)/'Cálculos PS'!$P$19)+((((N78)*'MPs PS'!$E$44*'MPs PS'!$H$44+(N79)*'MPs PS'!$O$44*'MPs PS'!$R$44/1000000)/2000))</f>
        <v>23.085342240551999</v>
      </c>
      <c r="O80" s="562">
        <f t="shared" si="15"/>
        <v>144.96471521998799</v>
      </c>
    </row>
    <row r="81" spans="1:15" ht="21.75" customHeight="1" x14ac:dyDescent="0.2">
      <c r="A81" s="543" t="s">
        <v>365</v>
      </c>
      <c r="B81" s="543" t="s">
        <v>94</v>
      </c>
      <c r="C81" s="544">
        <f>((((157*C75)/'Cálculos PS'!$B$29)*(C74))/'Cálculos PS'!$F$29)+(((1.01*C77)*(C76)*'Cálculos PS'!$N$28)/'Cálculos PS'!$P$29)+((((C78)*'MPs PS'!$E$56*'MPs PS'!$H$56+C79*'MPs PS'!$O$56*'MPs PS'!$R$56/1000000)/2000))</f>
        <v>0.19808314479360006</v>
      </c>
      <c r="D81" s="544">
        <f>((((157*D75)/'Cálculos PS'!$B$29)*(D74))/'Cálculos PS'!$F$29)+(((1.01*D77)*(D76)*'Cálculos PS'!$N$28)/'Cálculos PS'!$P$29)+((((D78)*'MPs PS'!$E$56*'MPs PS'!$H$56+D79*'MPs PS'!$O$56*'MPs PS'!$R$56/1000000)/2000))</f>
        <v>0.28878732056160006</v>
      </c>
      <c r="E81" s="544">
        <f>((((157*E75)/'Cálculos PS'!$B$29)*(E74))/'Cálculos PS'!$F$29)+(((1.01*E77)*(E76)*'Cálculos PS'!$N$28)/'Cálculos PS'!$P$29)+((((E78)*'MPs PS'!$E$56*'MPs PS'!$H$56+E79*'MPs PS'!$O$56*'MPs PS'!$R$56/1000000)/2000))</f>
        <v>9.6318742462199999E-2</v>
      </c>
      <c r="F81" s="544">
        <f>((((157*F75)/'Cálculos PS'!$B$29)*(F74))/'Cálculos PS'!$F$29)+(((1.01*F77)*(F76)*'Cálculos PS'!$N$28)/'Cálculos PS'!$P$29)+((((F78)*'MPs PS'!$E$56*'MPs PS'!$H$56+F79*'MPs PS'!$O$56*'MPs PS'!$R$56/1000000)/2000))</f>
        <v>9.2753088595200012E-2</v>
      </c>
      <c r="G81" s="544">
        <f>((((157*G75)/'Cálculos PS'!$B$29)*(G74))/'Cálculos PS'!$F$29)+(((1.01*G77)*(G76)*'Cálculos PS'!$N$28)/'Cálculos PS'!$P$29)+((((G78)*'MPs PS'!$E$56*'MPs PS'!$H$56+G79*'MPs PS'!$O$56*'MPs PS'!$R$56/1000000)/2000))</f>
        <v>0.22194436324464001</v>
      </c>
      <c r="H81" s="544">
        <f>((((157*H75)/'Cálculos PS'!$B$29)*(H74))/'Cálculos PS'!$F$29)+(((1.01*H77)*(H76)*'Cálculos PS'!$N$28)/'Cálculos PS'!$P$29)+((((H78)*'MPs PS'!$E$56*'MPs PS'!$H$56+H79*'MPs PS'!$O$56*'MPs PS'!$R$56/1000000)/2000))</f>
        <v>0.13629672074735999</v>
      </c>
      <c r="I81" s="544">
        <f>((((157*I75)/'Cálculos PS'!$B$29)*(I74))/'Cálculos PS'!$F$29)+(((1.01*I77)*(I76)*'Cálculos PS'!$N$28)/'Cálculos PS'!$P$29)+((((I78)*'MPs PS'!$E$56*'MPs PS'!$H$56+I79*'MPs PS'!$O$56*'MPs PS'!$R$56/1000000)/2000))</f>
        <v>50.443373804742002</v>
      </c>
      <c r="J81" s="544">
        <f>((((157*J75)/'Cálculos PS'!$B$29)*(J74))/'Cálculos PS'!$F$29)+(((1.01*J77)*(J76)*'Cálculos PS'!$N$28)/'Cálculos PS'!$P$29)+((((J78)*'MPs PS'!$E$56*'MPs PS'!$H$56+J79*'MPs PS'!$O$56*'MPs PS'!$R$56/1000000)/2000))</f>
        <v>257.366526853935</v>
      </c>
      <c r="K81" s="544">
        <f>((((157*K75)/'Cálculos PS'!$B$29)*(K74))/'Cálculos PS'!$F$29)+(((1.01*K77)*(K76)*'Cálculos PS'!$N$28)/'Cálculos PS'!$P$29)+((((K78)*'MPs PS'!$E$56*'MPs PS'!$H$56+K79*'MPs PS'!$O$56*'MPs PS'!$R$56/1000000)/2000))</f>
        <v>267.14924549522101</v>
      </c>
      <c r="L81" s="544">
        <f>((((157*L75)/'Cálculos PS'!$B$29)*(L74))/'Cálculos PS'!$F$29)+(((1.01*L77)*(L76)*'Cálculos PS'!$N$28)/'Cálculos PS'!$P$29)+((((L78)*'MPs PS'!$E$56*'MPs PS'!$H$56+L79*'MPs PS'!$O$56*'MPs PS'!$R$56/1000000)/2000))</f>
        <v>259.07305462968611</v>
      </c>
      <c r="M81" s="544">
        <f>((((157*M75)/'Cálculos PS'!$B$29)*(M74))/'Cálculos PS'!$F$29)+(((1.01*M77)*(M76)*'Cálculos PS'!$N$28)/'Cálculos PS'!$P$29)+((((M78)*'MPs PS'!$E$56*'MPs PS'!$H$56+M79*'MPs PS'!$O$56*'MPs PS'!$R$56/1000000)/2000))</f>
        <v>222.37869601588716</v>
      </c>
      <c r="N81" s="544">
        <f>((((157*N75)/'Cálculos PS'!$B$29)*(N74))/'Cálculos PS'!$F$29)+(((1.01*N77)*(N76)*'Cálculos PS'!$N$28)/'Cálculos PS'!$P$29)+((((N78)*'MPs PS'!$E$56*'MPs PS'!$H$56+N79*'MPs PS'!$O$56*'MPs PS'!$R$56/1000000)/2000))</f>
        <v>226.37247186674881</v>
      </c>
      <c r="O81" s="562">
        <f t="shared" si="15"/>
        <v>1283.8175520466245</v>
      </c>
    </row>
    <row r="82" spans="1:15" ht="21.75" customHeight="1" x14ac:dyDescent="0.2">
      <c r="A82" s="543" t="s">
        <v>20</v>
      </c>
      <c r="B82" s="543" t="s">
        <v>94</v>
      </c>
      <c r="C82" s="544">
        <f>('Cálculos PS'!$B$38*(C74)*0.15/2000)+(('Cálculos PS'!$J$38*(C76)*'Cálculos PS'!$N$38)/'Cálculos PS'!$P$39)+((((C78)*'MPs PS'!$E$20*'MPs PS'!$H$20+(C79)*'MPs PS'!$O$20*'MPs PS'!$R$20/1000000)/2000))</f>
        <v>42.837263307000008</v>
      </c>
      <c r="D82" s="544">
        <f>('Cálculos PS'!$B$38*(D74)*0.15/2000)+(('Cálculos PS'!$J$38*(D76)*'Cálculos PS'!$N$38)/'Cálculos PS'!$P$39)+((((D78)*'MPs PS'!$E$20*'MPs PS'!$H$20+(D79)*'MPs PS'!$O$20*'MPs PS'!$R$20/1000000)/2000))</f>
        <v>62.904168835200004</v>
      </c>
      <c r="E82" s="544">
        <f>('Cálculos PS'!$B$38*(E74)*0.15/2000)+(('Cálculos PS'!$J$38*(E76)*'Cálculos PS'!$N$38)/'Cálculos PS'!$P$39)+((((E78)*'MPs PS'!$E$20*'MPs PS'!$H$20+(E79)*'MPs PS'!$O$20*'MPs PS'!$R$20/1000000)/2000))</f>
        <v>79.819770765240008</v>
      </c>
      <c r="F82" s="544">
        <f>('Cálculos PS'!$B$38*(F74)*0.15/2000)+(('Cálculos PS'!$J$38*(F76)*'Cálculos PS'!$N$38)/'Cálculos PS'!$P$39)+((((F78)*'MPs PS'!$E$20*'MPs PS'!$H$20+(F79)*'MPs PS'!$O$20*'MPs PS'!$R$20/1000000)/2000))</f>
        <v>62.352055578600009</v>
      </c>
      <c r="G82" s="544">
        <f>('Cálculos PS'!$B$38*(G74)*0.15/2000)+(('Cálculos PS'!$J$38*(G76)*'Cálculos PS'!$N$38)/'Cálculos PS'!$P$39)+((((G78)*'MPs PS'!$E$20*'MPs PS'!$H$20+(G79)*'MPs PS'!$O$20*'MPs PS'!$R$20/1000000)/2000))</f>
        <v>111.33997656030002</v>
      </c>
      <c r="H82" s="544">
        <f>('Cálculos PS'!$B$38*(H74)*0.15/2000)+(('Cálculos PS'!$J$38*(H76)*'Cálculos PS'!$N$38)/'Cálculos PS'!$P$39)+((((H78)*'MPs PS'!$E$20*'MPs PS'!$H$20+(H79)*'MPs PS'!$O$20*'MPs PS'!$R$20/1000000)/2000))</f>
        <v>62.702734444200004</v>
      </c>
      <c r="I82" s="544">
        <f>('Cálculos PS'!$B$38*(I74)*0.15/2000)+(('Cálculos PS'!$J$38*(I76)*'Cálculos PS'!$N$38)/'Cálculos PS'!$P$39)+((((I78)*'MPs PS'!$E$20*'MPs PS'!$H$20+(I79)*'MPs PS'!$O$20*'MPs PS'!$R$20/1000000)/2000))</f>
        <v>68.250418841699997</v>
      </c>
      <c r="J82" s="544">
        <f>('Cálculos PS'!$B$38*(J74)*0.15/2000)+(('Cálculos PS'!$J$38*(J76)*'Cálculos PS'!$N$38)/'Cálculos PS'!$P$39)+((((J78)*'MPs PS'!$E$20*'MPs PS'!$H$20+(J79)*'MPs PS'!$O$20*'MPs PS'!$R$20/1000000)/2000))</f>
        <v>254.46478964850004</v>
      </c>
      <c r="K82" s="544">
        <f>('Cálculos PS'!$B$38*(K74)*0.15/2000)+(('Cálculos PS'!$J$38*(K76)*'Cálculos PS'!$N$38)/'Cálculos PS'!$P$39)+((((K78)*'MPs PS'!$E$20*'MPs PS'!$H$20+(K79)*'MPs PS'!$O$20*'MPs PS'!$R$20/1000000)/2000))</f>
        <v>270.36491976180002</v>
      </c>
      <c r="L82" s="544">
        <f>('Cálculos PS'!$B$38*(L74)*0.15/2000)+(('Cálculos PS'!$J$38*(L76)*'Cálculos PS'!$N$38)/'Cálculos PS'!$P$39)+((((L78)*'MPs PS'!$E$20*'MPs PS'!$H$20+(L79)*'MPs PS'!$O$20*'MPs PS'!$R$20/1000000)/2000))</f>
        <v>268.21426216679998</v>
      </c>
      <c r="M82" s="544">
        <f>('Cálculos PS'!$B$38*(M74)*0.15/2000)+(('Cálculos PS'!$J$38*(M76)*'Cálculos PS'!$N$38)/'Cálculos PS'!$P$39)+((((M78)*'MPs PS'!$E$20*'MPs PS'!$H$20+(M79)*'MPs PS'!$O$20*'MPs PS'!$R$20/1000000)/2000))</f>
        <v>169.9587441054</v>
      </c>
      <c r="N82" s="544">
        <f>('Cálculos PS'!$B$38*(N74)*0.15/2000)+(('Cálculos PS'!$J$38*(N76)*'Cálculos PS'!$N$38)/'Cálculos PS'!$P$39)+((((N78)*'MPs PS'!$E$20*'MPs PS'!$H$20+(N79)*'MPs PS'!$O$20*'MPs PS'!$R$20/1000000)/2000))</f>
        <v>182.255534487576</v>
      </c>
      <c r="O82" s="562">
        <f t="shared" si="15"/>
        <v>1635.4646385023161</v>
      </c>
    </row>
    <row r="83" spans="1:15" ht="21.75" customHeight="1" x14ac:dyDescent="0.2">
      <c r="A83" s="543" t="s">
        <v>22</v>
      </c>
      <c r="B83" s="543" t="s">
        <v>94</v>
      </c>
      <c r="C83" s="544">
        <f>((('Cálculos PS'!$B$48/'Cálculos PS'!$B$49)*(C74))/'Cálculos PS'!$F$49)+(('Cálculos PS'!$J$48*(C76)*'Cálculos PS'!$N$48)/'Cálculos PS'!$P$49)+((((C78)*'MPs PS'!$E$32*'MPs PS'!$H$32+(C79)*'MPs PS'!$O$32*'MPs PS'!$R$32/1000000)/2000))</f>
        <v>3.4101827744400008E-2</v>
      </c>
      <c r="D83" s="544">
        <f>((('Cálculos PS'!$B$48/'Cálculos PS'!$B$49)*(D74))/'Cálculos PS'!$F$49)+(('Cálculos PS'!$J$48*(D76)*'Cálculos PS'!$N$48)/'Cálculos PS'!$P$49)+((((D78)*'MPs PS'!$E$32*'MPs PS'!$H$32+(D79)*'MPs PS'!$O$32*'MPs PS'!$R$32/1000000)/2000))</f>
        <v>2.9307624116400002E-2</v>
      </c>
      <c r="E83" s="544">
        <f>((('Cálculos PS'!$B$48/'Cálculos PS'!$B$49)*(E74))/'Cálculos PS'!$F$49)+(('Cálculos PS'!$J$48*(E76)*'Cálculos PS'!$N$48)/'Cálculos PS'!$P$49)+((((E78)*'MPs PS'!$E$32*'MPs PS'!$H$32+(E79)*'MPs PS'!$O$32*'MPs PS'!$R$32/1000000)/2000))</f>
        <v>6.2580515518380009E-2</v>
      </c>
      <c r="F83" s="544">
        <f>((('Cálculos PS'!$B$48/'Cálculos PS'!$B$49)*(F74))/'Cálculos PS'!$F$49)+(('Cálculos PS'!$J$48*(F76)*'Cálculos PS'!$N$48)/'Cálculos PS'!$P$49)+((((F78)*'MPs PS'!$E$32*'MPs PS'!$H$32+(F79)*'MPs PS'!$O$32*'MPs PS'!$R$32/1000000)/2000))</f>
        <v>0.14334866008320002</v>
      </c>
      <c r="G83" s="544">
        <f>((('Cálculos PS'!$B$48/'Cálculos PS'!$B$49)*(G74))/'Cálculos PS'!$F$49)+(('Cálculos PS'!$J$48*(G76)*'Cálculos PS'!$N$48)/'Cálculos PS'!$P$49)+((((G78)*'MPs PS'!$E$32*'MPs PS'!$H$32+(G79)*'MPs PS'!$O$32*'MPs PS'!$R$32/1000000)/2000))</f>
        <v>0.36741919290480007</v>
      </c>
      <c r="H83" s="544">
        <f>((('Cálculos PS'!$B$48/'Cálculos PS'!$B$49)*(H74))/'Cálculos PS'!$F$49)+(('Cálculos PS'!$J$48*(H76)*'Cálculos PS'!$N$48)/'Cálculos PS'!$P$49)+((((H78)*'MPs PS'!$E$32*'MPs PS'!$H$32+(H79)*'MPs PS'!$O$32*'MPs PS'!$R$32/1000000)/2000))</f>
        <v>0.27082634003520001</v>
      </c>
      <c r="I83" s="544">
        <f>((('Cálculos PS'!$B$48/'Cálculos PS'!$B$49)*(I74))/'Cálculos PS'!$F$49)+(('Cálculos PS'!$J$48*(I76)*'Cálculos PS'!$N$48)/'Cálculos PS'!$P$49)+((((I78)*'MPs PS'!$E$32*'MPs PS'!$H$32+(I79)*'MPs PS'!$O$32*'MPs PS'!$R$32/1000000)/2000))</f>
        <v>0.58166844564000009</v>
      </c>
      <c r="J83" s="544">
        <f>((('Cálculos PS'!$B$48/'Cálculos PS'!$B$49)*(J74))/'Cálculos PS'!$F$49)+(('Cálculos PS'!$J$48*(J76)*'Cálculos PS'!$N$48)/'Cálculos PS'!$P$49)+((((J78)*'MPs PS'!$E$32*'MPs PS'!$H$32+(J79)*'MPs PS'!$O$32*'MPs PS'!$R$32/1000000)/2000))</f>
        <v>3.1532855764500001</v>
      </c>
      <c r="K83" s="544">
        <f>((('Cálculos PS'!$B$48/'Cálculos PS'!$B$49)*(K74))/'Cálculos PS'!$F$49)+(('Cálculos PS'!$J$48*(K76)*'Cálculos PS'!$N$48)/'Cálculos PS'!$P$49)+((((K78)*'MPs PS'!$E$32*'MPs PS'!$H$32+(K79)*'MPs PS'!$O$32*'MPs PS'!$R$32/1000000)/2000))</f>
        <v>3.1549011797220001</v>
      </c>
      <c r="L83" s="544">
        <f>((('Cálculos PS'!$B$48/'Cálculos PS'!$B$49)*(L74))/'Cálculos PS'!$F$49)+(('Cálculos PS'!$J$48*(L76)*'Cálculos PS'!$N$48)/'Cálculos PS'!$P$49)+((((L78)*'MPs PS'!$E$32*'MPs PS'!$H$32+(L79)*'MPs PS'!$O$32*'MPs PS'!$R$32/1000000)/2000))</f>
        <v>3.1097997965178004</v>
      </c>
      <c r="M83" s="544">
        <f>((('Cálculos PS'!$B$48/'Cálculos PS'!$B$49)*(M74))/'Cálculos PS'!$F$49)+(('Cálculos PS'!$J$48*(M76)*'Cálculos PS'!$N$48)/'Cálculos PS'!$P$49)+((((M78)*'MPs PS'!$E$32*'MPs PS'!$H$32+(M79)*'MPs PS'!$O$32*'MPs PS'!$R$32/1000000)/2000))</f>
        <v>2.3456119833107998</v>
      </c>
      <c r="N83" s="544">
        <f>((('Cálculos PS'!$B$48/'Cálculos PS'!$B$49)*(N74))/'Cálculos PS'!$F$49)+(('Cálculos PS'!$J$48*(N76)*'Cálculos PS'!$N$48)/'Cálculos PS'!$P$49)+((((N78)*'MPs PS'!$E$32*'MPs PS'!$H$32+(N79)*'MPs PS'!$O$32*'MPs PS'!$R$32/1000000)/2000))</f>
        <v>2.2162272583967999</v>
      </c>
      <c r="O83" s="562">
        <f t="shared" si="15"/>
        <v>15.469078400439781</v>
      </c>
    </row>
    <row r="84" spans="1:15" ht="21.75" customHeight="1" x14ac:dyDescent="0.2">
      <c r="A84" s="543" t="s">
        <v>21</v>
      </c>
      <c r="B84" s="543" t="s">
        <v>94</v>
      </c>
      <c r="C84" s="544">
        <f>((('Cálculos PS'!$B$58/'Cálculos PS'!$B$59)*(C74))/'Cálculos PS'!$F$59)+(('Cálculos PS'!$J$58*(C76)*'Cálculos PS'!$N$58)/'Cálculos PS'!$P$59)+((((C78)*'MPs PS'!$E$26*'MPs PS'!$H$26+(C79)*'MPs PS'!$O$26*'MPs PS'!$R$26/1000000)/2000))</f>
        <v>0.22844416417200003</v>
      </c>
      <c r="D84" s="544">
        <f>((('Cálculos PS'!$B$58/'Cálculos PS'!$B$59)*(D74))/'Cálculos PS'!$F$59)+(('Cálculos PS'!$J$58*(D76)*'Cálculos PS'!$N$58)/'Cálculos PS'!$P$59)+((((D78)*'MPs PS'!$E$26*'MPs PS'!$H$26+(D79)*'MPs PS'!$O$26*'MPs PS'!$R$26/1000000)/2000))</f>
        <v>0.23589063313200001</v>
      </c>
      <c r="E84" s="544">
        <f>((('Cálculos PS'!$B$58/'Cálculos PS'!$B$59)*(E74))/'Cálculos PS'!$F$59)+(('Cálculos PS'!$J$58*(E76)*'Cálculos PS'!$N$58)/'Cálculos PS'!$P$59)+((((E78)*'MPs PS'!$E$26*'MPs PS'!$H$26+(E79)*'MPs PS'!$O$26*'MPs PS'!$R$26/1000000)/2000))</f>
        <v>0.4210526136894</v>
      </c>
      <c r="F84" s="544">
        <f>((('Cálculos PS'!$B$58/'Cálculos PS'!$B$59)*(F74))/'Cálculos PS'!$F$59)+(('Cálculos PS'!$J$58*(F76)*'Cálculos PS'!$N$58)/'Cálculos PS'!$P$59)+((((F78)*'MPs PS'!$E$26*'MPs PS'!$H$26+(F79)*'MPs PS'!$O$26*'MPs PS'!$R$26/1000000)/2000))</f>
        <v>0.7817678378159999</v>
      </c>
      <c r="G84" s="544">
        <f>((('Cálculos PS'!$B$58/'Cálculos PS'!$B$59)*(G74))/'Cálculos PS'!$F$59)+(('Cálculos PS'!$J$58*(G76)*'Cálculos PS'!$N$58)/'Cálculos PS'!$P$59)+((((G78)*'MPs PS'!$E$26*'MPs PS'!$H$26+(G79)*'MPs PS'!$O$26*'MPs PS'!$R$26/1000000)/2000))</f>
        <v>1.9302518433240001</v>
      </c>
      <c r="H84" s="544">
        <f>((('Cálculos PS'!$B$58/'Cálculos PS'!$B$59)*(H74))/'Cálculos PS'!$F$59)+(('Cálculos PS'!$J$58*(H76)*'Cálculos PS'!$N$58)/'Cálculos PS'!$P$59)+((((H78)*'MPs PS'!$E$26*'MPs PS'!$H$26+(H79)*'MPs PS'!$O$26*'MPs PS'!$R$26/1000000)/2000))</f>
        <v>1.393429532376</v>
      </c>
      <c r="I84" s="544">
        <f>((('Cálculos PS'!$B$58/'Cálculos PS'!$B$59)*(I74))/'Cálculos PS'!$F$59)+(('Cálculos PS'!$J$58*(I76)*'Cálculos PS'!$N$58)/'Cálculos PS'!$P$59)+((((I78)*'MPs PS'!$E$26*'MPs PS'!$H$26+(I79)*'MPs PS'!$O$26*'MPs PS'!$R$26/1000000)/2000))</f>
        <v>3.7487418423000003</v>
      </c>
      <c r="J84" s="544">
        <f>((('Cálculos PS'!$B$58/'Cálculos PS'!$B$59)*(J74))/'Cálculos PS'!$F$59)+(('Cálculos PS'!$J$58*(J76)*'Cálculos PS'!$N$58)/'Cálculos PS'!$P$59)+((((J78)*'MPs PS'!$E$26*'MPs PS'!$H$26+(J79)*'MPs PS'!$O$26*'MPs PS'!$R$26/1000000)/2000))</f>
        <v>19.786041954000002</v>
      </c>
      <c r="K84" s="544">
        <f>((('Cálculos PS'!$B$58/'Cálculos PS'!$B$59)*(K74))/'Cálculos PS'!$F$59)+(('Cálculos PS'!$J$58*(K76)*'Cálculos PS'!$N$58)/'Cálculos PS'!$P$59)+((((K78)*'MPs PS'!$E$26*'MPs PS'!$H$26+(K79)*'MPs PS'!$O$26*'MPs PS'!$R$26/1000000)/2000))</f>
        <v>19.98224520726</v>
      </c>
      <c r="L84" s="544">
        <f>((('Cálculos PS'!$B$58/'Cálculos PS'!$B$59)*(L74))/'Cálculos PS'!$F$59)+(('Cálculos PS'!$J$58*(L76)*'Cálculos PS'!$N$58)/'Cálculos PS'!$P$59)+((((L78)*'MPs PS'!$E$26*'MPs PS'!$H$26+(L79)*'MPs PS'!$O$26*'MPs PS'!$R$26/1000000)/2000))</f>
        <v>19.627753715513997</v>
      </c>
      <c r="M84" s="544">
        <f>((('Cálculos PS'!$B$58/'Cálculos PS'!$B$59)*(M74))/'Cálculos PS'!$F$59)+(('Cálculos PS'!$J$58*(M76)*'Cálculos PS'!$N$58)/'Cálculos PS'!$P$59)+((((M78)*'MPs PS'!$E$26*'MPs PS'!$H$26+(M79)*'MPs PS'!$O$26*'MPs PS'!$R$26/1000000)/2000))</f>
        <v>15.131926549404</v>
      </c>
      <c r="N84" s="544">
        <f>((('Cálculos PS'!$B$58/'Cálculos PS'!$B$59)*(N74))/'Cálculos PS'!$F$59)+(('Cálculos PS'!$J$58*(N76)*'Cálculos PS'!$N$58)/'Cálculos PS'!$P$59)+((((N78)*'MPs PS'!$E$26*'MPs PS'!$H$26+(N79)*'MPs PS'!$O$26*'MPs PS'!$R$26/1000000)/2000))</f>
        <v>14.595695595432</v>
      </c>
      <c r="O84" s="562">
        <f t="shared" si="15"/>
        <v>97.863241488419405</v>
      </c>
    </row>
    <row r="85" spans="1:15" ht="21.75" customHeight="1" x14ac:dyDescent="0.2">
      <c r="A85" s="543" t="s">
        <v>23</v>
      </c>
      <c r="B85" s="543" t="s">
        <v>94</v>
      </c>
      <c r="C85" s="549">
        <f>((('Cálculos PS'!$B$68/'Cálculos PS'!$B$69)*(C74))/'Cálculos PS'!$F$69)+(('Cálculos PS'!$J$68*(C76)*'Cálculos PS'!$N$68)/'Cálculos PS'!$P$69)+((((C78)*'MPs PS'!$E$68*'MPs PS'!$H$68+(C79)*'MPs PS'!$O$68*'MPs PS'!$R$68/1000000)/2000))</f>
        <v>7.041621837600002E-4</v>
      </c>
      <c r="D85" s="549">
        <f>((('Cálculos PS'!$B$68/'Cálculos PS'!$B$69)*(D74))/'Cálculos PS'!$F$69)+(('Cálculos PS'!$J$68*(D76)*'Cálculos PS'!$N$68)/'Cálculos PS'!$P$69)+((((D78)*'MPs PS'!$E$68*'MPs PS'!$H$68+(D79)*'MPs PS'!$O$68*'MPs PS'!$R$68/1000000)/2000))</f>
        <v>1.0007481405600001E-3</v>
      </c>
      <c r="E85" s="549">
        <f>((('Cálculos PS'!$B$68/'Cálculos PS'!$B$69)*(E74))/'Cálculos PS'!$F$69)+(('Cálculos PS'!$J$68*(E76)*'Cálculos PS'!$N$68)/'Cálculos PS'!$P$69)+((((E78)*'MPs PS'!$E$68*'MPs PS'!$H$68+(E79)*'MPs PS'!$O$68*'MPs PS'!$R$68/1000000)/2000))</f>
        <v>1.3105416956520001E-3</v>
      </c>
      <c r="F85" s="549">
        <f>((('Cálculos PS'!$B$68/'Cálculos PS'!$B$69)*(F74))/'Cálculos PS'!$F$69)+(('Cálculos PS'!$J$68*(F76)*'Cálculos PS'!$N$68)/'Cálculos PS'!$P$69)+((((F78)*'MPs PS'!$E$68*'MPs PS'!$H$68+(F79)*'MPs PS'!$O$68*'MPs PS'!$R$68/1000000)/2000))</f>
        <v>1.17508884528E-3</v>
      </c>
      <c r="G85" s="549">
        <f>((('Cálculos PS'!$B$68/'Cálculos PS'!$B$69)*(G74))/'Cálculos PS'!$F$69)+(('Cálculos PS'!$J$68*(G76)*'Cálculos PS'!$N$68)/'Cálculos PS'!$P$69)+((((G78)*'MPs PS'!$E$68*'MPs PS'!$H$68+(G79)*'MPs PS'!$O$68*'MPs PS'!$R$68/1000000)/2000))</f>
        <v>2.2768717759199999E-3</v>
      </c>
      <c r="H85" s="549">
        <f>((('Cálculos PS'!$B$68/'Cálculos PS'!$B$69)*(H74))/'Cálculos PS'!$F$69)+(('Cálculos PS'!$J$68*(H76)*'Cálculos PS'!$N$68)/'Cálculos PS'!$P$69)+((((H78)*'MPs PS'!$E$68*'MPs PS'!$H$68+(H79)*'MPs PS'!$O$68*'MPs PS'!$R$68/1000000)/2000))</f>
        <v>1.3846459300799999E-3</v>
      </c>
      <c r="I85" s="549">
        <f>((('Cálculos PS'!$B$68/'Cálculos PS'!$B$69)*(I74))/'Cálculos PS'!$F$69)+(('Cálculos PS'!$J$68*(I76)*'Cálculos PS'!$N$68)/'Cálculos PS'!$P$69)+((((I78)*'MPs PS'!$E$68*'MPs PS'!$H$68+(I79)*'MPs PS'!$O$68*'MPs PS'!$R$68/1000000)/2000))</f>
        <v>1.6604646240000003E-3</v>
      </c>
      <c r="J85" s="549">
        <f>((('Cálculos PS'!$B$68/'Cálculos PS'!$B$69)*(J74))/'Cálculos PS'!$F$69)+(('Cálculos PS'!$J$68*(J76)*'Cálculos PS'!$N$68)/'Cálculos PS'!$P$69)+((((J78)*'MPs PS'!$E$68*'MPs PS'!$H$68+(J79)*'MPs PS'!$O$68*'MPs PS'!$R$68/1000000)/2000))</f>
        <v>7.3789537500000002E-3</v>
      </c>
      <c r="K85" s="549">
        <f>((('Cálculos PS'!$B$68/'Cálculos PS'!$B$69)*(K74))/'Cálculos PS'!$F$69)+(('Cálculos PS'!$J$68*(K76)*'Cálculos PS'!$N$68)/'Cálculos PS'!$P$69)+((((K78)*'MPs PS'!$E$68*'MPs PS'!$H$68+(K79)*'MPs PS'!$O$68*'MPs PS'!$R$68/1000000)/2000))</f>
        <v>7.5638680908000008E-3</v>
      </c>
      <c r="L85" s="549">
        <f>((('Cálculos PS'!$B$68/'Cálculos PS'!$B$69)*(L74))/'Cálculos PS'!$F$69)+(('Cálculos PS'!$J$68*(L76)*'Cálculos PS'!$N$68)/'Cálculos PS'!$P$69)+((((L78)*'MPs PS'!$E$68*'MPs PS'!$H$68+(L79)*'MPs PS'!$O$68*'MPs PS'!$R$68/1000000)/2000))</f>
        <v>7.507272606120002E-3</v>
      </c>
      <c r="M85" s="549">
        <f>((('Cálculos PS'!$B$68/'Cálculos PS'!$B$69)*(M74))/'Cálculos PS'!$F$69)+(('Cálculos PS'!$J$68*(M76)*'Cálculos PS'!$N$68)/'Cálculos PS'!$P$69)+((((M78)*'MPs PS'!$E$68*'MPs PS'!$H$68+(M79)*'MPs PS'!$O$68*'MPs PS'!$R$68/1000000)/2000))</f>
        <v>5.037421702320001E-3</v>
      </c>
      <c r="N85" s="549">
        <f>((('Cálculos PS'!$B$68/'Cálculos PS'!$B$69)*(N74))/'Cálculos PS'!$F$69)+(('Cálculos PS'!$J$68*(N76)*'Cálculos PS'!$N$68)/'Cálculos PS'!$P$69)+((((N78)*'MPs PS'!$E$68*'MPs PS'!$H$68+(N79)*'MPs PS'!$O$68*'MPs PS'!$R$68/1000000)/2000))</f>
        <v>4.9931965137599999E-3</v>
      </c>
      <c r="O85" s="563">
        <f t="shared" si="15"/>
        <v>4.1993235858252001E-2</v>
      </c>
    </row>
    <row r="86" spans="1:15" ht="21.75" customHeight="1" x14ac:dyDescent="0.2">
      <c r="A86" s="543" t="s">
        <v>24</v>
      </c>
      <c r="B86" s="543" t="s">
        <v>94</v>
      </c>
      <c r="C86" s="544">
        <f>('Cálculos PS'!$B$78*((C74))/'Cálculos PS'!$F$79)+('Cálculos PS'!$K$78*((C76))/'Cálculos PS'!$O$79)+((((C78)*'MPs PS'!$E$74*'MPs PS'!$H$74+C79*'MPs PS'!$O$74*'MPs PS'!$R$74/1000000)/2000))</f>
        <v>8229.2252425428796</v>
      </c>
      <c r="D86" s="544">
        <f>('Cálculos PS'!$B$78*((D74))/'Cálculos PS'!$F$79)+('Cálculos PS'!$K$78*((D76))/'Cálculos PS'!$O$79)+((((D78)*'MPs PS'!$E$74*'MPs PS'!$H$74+D79*'MPs PS'!$O$74*'MPs PS'!$R$74/1000000)/2000))</f>
        <v>11695.296290099264</v>
      </c>
      <c r="E86" s="544">
        <f>('Cálculos PS'!$B$78*((E74))/'Cálculos PS'!$F$79)+('Cálculos PS'!$K$78*((E76))/'Cálculos PS'!$O$79)+((((E78)*'MPs PS'!$E$74*'MPs PS'!$H$74+E79*'MPs PS'!$O$74*'MPs PS'!$R$74/1000000)/2000))</f>
        <v>15315.708816635857</v>
      </c>
      <c r="F86" s="544">
        <f>('Cálculos PS'!$B$78*((F74))/'Cálculos PS'!$F$79)+('Cálculos PS'!$K$78*((F76))/'Cálculos PS'!$O$79)+((((F78)*'MPs PS'!$E$74*'MPs PS'!$H$74+F79*'MPs PS'!$O$74*'MPs PS'!$R$74/1000000)/2000))</f>
        <v>13732.709804671878</v>
      </c>
      <c r="G86" s="544">
        <f>('Cálculos PS'!$B$78*((G74))/'Cálculos PS'!$F$79)+('Cálculos PS'!$K$78*((G76))/'Cálculos PS'!$O$79)+((((G78)*'MPs PS'!$E$74*'MPs PS'!$H$74+G79*'MPs PS'!$O$74*'MPs PS'!$R$74/1000000)/2000))</f>
        <v>26608.704548542599</v>
      </c>
      <c r="H86" s="544">
        <f>('Cálculos PS'!$B$78*((H74))/'Cálculos PS'!$F$79)+('Cálculos PS'!$K$78*((H76))/'Cálculos PS'!$O$79)+((((H78)*'MPs PS'!$E$74*'MPs PS'!$H$74+H79*'MPs PS'!$O$74*'MPs PS'!$R$74/1000000)/2000))</f>
        <v>16181.678182295007</v>
      </c>
      <c r="I86" s="544">
        <f>('Cálculos PS'!$B$78*((I74))/'Cálculos PS'!$F$79)+('Cálculos PS'!$K$78*((I76))/'Cálculos PS'!$O$79)+((((I78)*'MPs PS'!$E$74*'MPs PS'!$H$74+I79*'MPs PS'!$O$74*'MPs PS'!$R$74/1000000)/2000))</f>
        <v>24074.792158260843</v>
      </c>
      <c r="J86" s="544">
        <f>('Cálculos PS'!$B$78*((J74))/'Cálculos PS'!$F$79)+('Cálculos PS'!$K$78*((J76))/'Cálculos PS'!$O$79)+((((J78)*'MPs PS'!$E$74*'MPs PS'!$H$74+J79*'MPs PS'!$O$74*'MPs PS'!$R$74/1000000)/2000))</f>
        <v>109581.12447067624</v>
      </c>
      <c r="K86" s="544">
        <f>('Cálculos PS'!$B$78*((K74))/'Cálculos PS'!$F$79)+('Cálculos PS'!$K$78*((K76))/'Cálculos PS'!$O$79)+((((K78)*'MPs PS'!$E$74*'MPs PS'!$H$74+K79*'MPs PS'!$O$74*'MPs PS'!$R$74/1000000)/2000))</f>
        <v>112637.96237131332</v>
      </c>
      <c r="L86" s="544">
        <f>('Cálculos PS'!$B$78*((L74))/'Cálculos PS'!$F$79)+('Cálculos PS'!$K$78*((L76))/'Cálculos PS'!$O$79)+((((L78)*'MPs PS'!$E$74*'MPs PS'!$H$74+L79*'MPs PS'!$O$74*'MPs PS'!$R$74/1000000)/2000))</f>
        <v>111240.632191791</v>
      </c>
      <c r="M86" s="544">
        <f>('Cálculos PS'!$B$78*((M74))/'Cálculos PS'!$F$79)+('Cálculos PS'!$K$78*((M76))/'Cálculos PS'!$O$79)+((((M78)*'MPs PS'!$E$74*'MPs PS'!$H$74+M79*'MPs PS'!$O$74*'MPs PS'!$R$74/1000000)/2000))</f>
        <v>78652.205295277818</v>
      </c>
      <c r="N86" s="544">
        <f>('Cálculos PS'!$B$78*((N74))/'Cálculos PS'!$F$79)+('Cálculos PS'!$K$78*((N76))/'Cálculos PS'!$O$79)+((((N78)*'MPs PS'!$E$74*'MPs PS'!$H$74+N79*'MPs PS'!$O$74*'MPs PS'!$R$74/1000000)/2000))</f>
        <v>78491.851309955149</v>
      </c>
      <c r="O86" s="562">
        <f t="shared" si="15"/>
        <v>606441.8906820619</v>
      </c>
    </row>
    <row r="87" spans="1:15" ht="21.75" customHeight="1" x14ac:dyDescent="0.2">
      <c r="A87" s="543" t="s">
        <v>40</v>
      </c>
      <c r="B87" s="543" t="s">
        <v>94</v>
      </c>
      <c r="C87" s="544">
        <f>((((C78)*'MPs PS'!$E$50*'MPs PS'!$H$50+(C79)*'MPs PS'!$O$50*'MPs PS'!$R$50/1000000)/2000))</f>
        <v>3.5664402600000006E-2</v>
      </c>
      <c r="D87" s="544">
        <f>((((D78)*'MPs PS'!$E$50*'MPs PS'!$H$50+(D79)*'MPs PS'!$O$50*'MPs PS'!$R$50/1000000)/2000))</f>
        <v>0</v>
      </c>
      <c r="E87" s="544">
        <f>((((E78)*'MPs PS'!$E$50*'MPs PS'!$H$50+(E79)*'MPs PS'!$O$50*'MPs PS'!$R$50/1000000)/2000))</f>
        <v>6.402787380000001E-2</v>
      </c>
      <c r="F87" s="544">
        <f>((((F78)*'MPs PS'!$E$50*'MPs PS'!$H$50+(F79)*'MPs PS'!$O$50*'MPs PS'!$R$50/1000000)/2000))</f>
        <v>0.28821458700000008</v>
      </c>
      <c r="G87" s="544">
        <f>((((G78)*'MPs PS'!$E$50*'MPs PS'!$H$50+(G79)*'MPs PS'!$O$50*'MPs PS'!$R$50/1000000)/2000))</f>
        <v>0.79567817130000007</v>
      </c>
      <c r="H87" s="544">
        <f>((((H78)*'MPs PS'!$E$50*'MPs PS'!$H$50+(H79)*'MPs PS'!$O$50*'MPs PS'!$R$50/1000000)/2000))</f>
        <v>0.60925039019999994</v>
      </c>
      <c r="I87" s="544">
        <f>((((I78)*'MPs PS'!$E$50*'MPs PS'!$H$50+(I79)*'MPs PS'!$O$50*'MPs PS'!$R$50/1000000)/2000))</f>
        <v>0.14423919390000003</v>
      </c>
      <c r="J87" s="544">
        <f>((((J78)*'MPs PS'!$E$50*'MPs PS'!$H$50+(J79)*'MPs PS'!$O$50*'MPs PS'!$R$50/1000000)/2000))</f>
        <v>1.4412744495000003</v>
      </c>
      <c r="K87" s="544">
        <f>((((K78)*'MPs PS'!$E$50*'MPs PS'!$H$50+(K79)*'MPs PS'!$O$50*'MPs PS'!$R$50/1000000)/2000))</f>
        <v>1.1883517686000002</v>
      </c>
      <c r="L87" s="544">
        <f>((((L78)*'MPs PS'!$E$50*'MPs PS'!$H$50+(L79)*'MPs PS'!$O$50*'MPs PS'!$R$50/1000000)/2000))</f>
        <v>1.2729316788</v>
      </c>
      <c r="M87" s="544">
        <f>((((M78)*'MPs PS'!$E$50*'MPs PS'!$H$50+(M79)*'MPs PS'!$O$50*'MPs PS'!$R$50/1000000)/2000))</f>
        <v>0.45223517700000004</v>
      </c>
      <c r="N87" s="544">
        <f>((((N78)*'MPs PS'!$E$50*'MPs PS'!$H$50+(N79)*'MPs PS'!$O$50*'MPs PS'!$R$50/1000000)/2000))</f>
        <v>1.6704745992000003E-2</v>
      </c>
      <c r="O87" s="562">
        <f t="shared" si="15"/>
        <v>6.3085724386920017</v>
      </c>
    </row>
    <row r="88" spans="1:15" ht="21.75" customHeight="1" x14ac:dyDescent="0.2">
      <c r="A88" s="543" t="s">
        <v>42</v>
      </c>
      <c r="B88" s="543" t="s">
        <v>94</v>
      </c>
      <c r="C88" s="544">
        <f>((((C78)*'MPs PS'!$E$62*'MPs PS'!$H$62+(C79)*'MPs PS'!$O$62*'MPs PS'!$R$62/1000000)/2000))</f>
        <v>4.6280607187500005E-4</v>
      </c>
      <c r="D88" s="544">
        <f>((((D78)*'MPs PS'!$E$62*'MPs PS'!$H$62+(D79)*'MPs PS'!$O$62*'MPs PS'!$R$62/1000000)/2000))</f>
        <v>0</v>
      </c>
      <c r="E88" s="544">
        <f>((((E78)*'MPs PS'!$E$62*'MPs PS'!$H$62+(E79)*'MPs PS'!$O$62*'MPs PS'!$R$62/1000000)/2000))</f>
        <v>8.3087018437500012E-4</v>
      </c>
      <c r="F88" s="544">
        <f>((((F78)*'MPs PS'!$E$62*'MPs PS'!$H$62+(F79)*'MPs PS'!$O$62*'MPs PS'!$R$62/1000000)/2000))</f>
        <v>3.740072765625001E-3</v>
      </c>
      <c r="G88" s="544">
        <f>((((G78)*'MPs PS'!$E$62*'MPs PS'!$H$62+(G79)*'MPs PS'!$O$62*'MPs PS'!$R$62/1000000)/2000))</f>
        <v>1.0325272879687502E-2</v>
      </c>
      <c r="H88" s="544">
        <f>((((H78)*'MPs PS'!$E$62*'MPs PS'!$H$62+(H79)*'MPs PS'!$O$62*'MPs PS'!$R$62/1000000)/2000))</f>
        <v>7.9060564406250016E-3</v>
      </c>
      <c r="I88" s="544">
        <f>((((I78)*'MPs PS'!$E$62*'MPs PS'!$H$62+(I79)*'MPs PS'!$O$62*'MPs PS'!$R$62/1000000)/2000))</f>
        <v>1.8717480140625004E-3</v>
      </c>
      <c r="J88" s="544">
        <f>((((J78)*'MPs PS'!$E$62*'MPs PS'!$H$62+(J79)*'MPs PS'!$O$62*'MPs PS'!$R$62/1000000)/2000))</f>
        <v>1.8702978820312507E-2</v>
      </c>
      <c r="K88" s="544">
        <f>((((K78)*'MPs PS'!$E$62*'MPs PS'!$H$62+(K79)*'MPs PS'!$O$62*'MPs PS'!$R$62/1000000)/2000))</f>
        <v>1.5420878353125004E-2</v>
      </c>
      <c r="L88" s="544">
        <f>((((L78)*'MPs PS'!$E$62*'MPs PS'!$H$62+(L79)*'MPs PS'!$O$62*'MPs PS'!$R$62/1000000)/2000))</f>
        <v>1.6518446043750003E-2</v>
      </c>
      <c r="M88" s="544">
        <f>((((M78)*'MPs PS'!$E$62*'MPs PS'!$H$62+(M79)*'MPs PS'!$O$62*'MPs PS'!$R$62/1000000)/2000))</f>
        <v>5.868517921875001E-3</v>
      </c>
      <c r="N88" s="544">
        <f>((((N78)*'MPs PS'!$E$62*'MPs PS'!$H$62+(N79)*'MPs PS'!$O$62*'MPs PS'!$R$62/1000000)/2000))</f>
        <v>2.1677239237500004E-4</v>
      </c>
      <c r="O88" s="562">
        <f t="shared" si="15"/>
        <v>8.1864419887687515E-2</v>
      </c>
    </row>
    <row r="89" spans="1:15" ht="21.75" customHeight="1" x14ac:dyDescent="0.2">
      <c r="A89" s="626" t="s">
        <v>44</v>
      </c>
      <c r="B89" s="626"/>
      <c r="C89" s="555"/>
      <c r="D89" s="555"/>
      <c r="E89" s="555"/>
      <c r="F89" s="555"/>
      <c r="G89" s="555"/>
      <c r="H89" s="555"/>
      <c r="I89" s="555"/>
      <c r="J89" s="626"/>
      <c r="K89" s="626"/>
      <c r="L89" s="555"/>
      <c r="M89" s="555"/>
      <c r="N89" s="555"/>
      <c r="O89" s="555"/>
    </row>
    <row r="90" spans="1:15" ht="21.75" hidden="1" customHeight="1" x14ac:dyDescent="0.2">
      <c r="A90" s="543" t="s">
        <v>393</v>
      </c>
      <c r="B90" s="543" t="s">
        <v>92</v>
      </c>
      <c r="C90" s="556">
        <f>Turbinas!$I$24*42</f>
        <v>999644.94</v>
      </c>
      <c r="D90" s="556">
        <f>Turbinas!$I$25*42</f>
        <v>910981.68</v>
      </c>
      <c r="E90" s="556">
        <f>Turbinas!$I$26*42</f>
        <v>735910.1399999999</v>
      </c>
      <c r="F90" s="556">
        <f>Turbinas!$I$27*42</f>
        <v>1844747.94</v>
      </c>
      <c r="G90" s="556">
        <f>Turbinas!$I$28*42</f>
        <v>2458383.48</v>
      </c>
      <c r="H90" s="556">
        <f>Turbinas!$I$29*42</f>
        <v>1128412.32</v>
      </c>
      <c r="I90" s="556">
        <f>Turbinas!$I$30*42</f>
        <v>757809.78</v>
      </c>
      <c r="J90" s="556">
        <f>Turbinas!$I$31*42</f>
        <v>2242205.6999999997</v>
      </c>
      <c r="K90" s="556">
        <f>Turbinas!$I$32*42</f>
        <v>2566877.88</v>
      </c>
      <c r="L90" s="556">
        <f>Turbinas!$I$33*42</f>
        <v>2183754.7200000002</v>
      </c>
      <c r="M90" s="556">
        <f>Turbinas!$I$34*42</f>
        <v>520169.16</v>
      </c>
      <c r="N90" s="556">
        <f>Turbinas!$I$35*42</f>
        <v>1589148.96</v>
      </c>
      <c r="O90" s="564">
        <f t="shared" ref="O90:O104" si="16">SUM(C90:N90)</f>
        <v>17938046.699999999</v>
      </c>
    </row>
    <row r="91" spans="1:15" ht="21.75" hidden="1" customHeight="1" x14ac:dyDescent="0.2">
      <c r="A91" s="543" t="s">
        <v>394</v>
      </c>
      <c r="B91" s="543" t="s">
        <v>395</v>
      </c>
      <c r="C91" s="558">
        <f>'Cálculos Cambalache (60%)'!$AC$22</f>
        <v>46</v>
      </c>
      <c r="D91" s="558">
        <f>'Cálculos Cambalache (60%)'!$AC$23</f>
        <v>27</v>
      </c>
      <c r="E91" s="558">
        <f>'Cálculos Cambalache (60%)'!$AC$24</f>
        <v>11</v>
      </c>
      <c r="F91" s="558">
        <f>'Cálculos Cambalache (60%)'!$AC$25</f>
        <v>52</v>
      </c>
      <c r="G91" s="558">
        <f>'Cálculos Cambalache (60%)'!$AC$26</f>
        <v>123</v>
      </c>
      <c r="H91" s="558">
        <f>'Cálculos Cambalache (60%)'!$AC$27</f>
        <v>49</v>
      </c>
      <c r="I91" s="558">
        <f>'Cálculos Cambalache (60%)'!$AC$28</f>
        <v>27</v>
      </c>
      <c r="J91" s="558">
        <f>'Cálculos Cambalache (60%)'!$AC$29</f>
        <v>138</v>
      </c>
      <c r="K91" s="558">
        <f>'Cálculos Cambalache (60%)'!$AC$30</f>
        <v>152</v>
      </c>
      <c r="L91" s="558">
        <f>'Cálculos Cambalache (60%)'!$AC$31</f>
        <v>139</v>
      </c>
      <c r="M91" s="558">
        <f>'Cálculos Cambalache (60%)'!$AC$32</f>
        <v>19</v>
      </c>
      <c r="N91" s="558">
        <f>'Cálculos Cambalache (60%)'!$AC$33</f>
        <v>19</v>
      </c>
      <c r="O91" s="568">
        <f t="shared" si="16"/>
        <v>802</v>
      </c>
    </row>
    <row r="92" spans="1:15" ht="21.75" hidden="1" customHeight="1" x14ac:dyDescent="0.2">
      <c r="A92" s="543" t="s">
        <v>396</v>
      </c>
      <c r="B92" s="543" t="s">
        <v>395</v>
      </c>
      <c r="C92" s="558">
        <f>'Cálculos Cambalache (60%)'!$AC$4</f>
        <v>121</v>
      </c>
      <c r="D92" s="558">
        <f>'Cálculos Cambalache (60%)'!$AC$5</f>
        <v>136</v>
      </c>
      <c r="E92" s="558">
        <f>'Cálculos Cambalache (60%)'!$AC$6</f>
        <v>87</v>
      </c>
      <c r="F92" s="558">
        <f>'Cálculos Cambalache (60%)'!$AC$7</f>
        <v>306</v>
      </c>
      <c r="G92" s="558">
        <f>'Cálculos Cambalache (60%)'!$AC$8</f>
        <v>327</v>
      </c>
      <c r="H92" s="558">
        <f>'Cálculos Cambalache (60%)'!$AC$9</f>
        <v>150</v>
      </c>
      <c r="I92" s="558">
        <f>'Cálculos Cambalache (60%)'!$AC$10</f>
        <v>101</v>
      </c>
      <c r="J92" s="558">
        <f>'Cálculos Cambalache (60%)'!$AC$11</f>
        <v>272</v>
      </c>
      <c r="K92" s="558">
        <f>'Cálculos Cambalache (60%)'!$AC$12</f>
        <v>326</v>
      </c>
      <c r="L92" s="558">
        <f>'Cálculos Cambalache (60%)'!$AC$13</f>
        <v>259</v>
      </c>
      <c r="M92" s="558">
        <f>'Cálculos Cambalache (60%)'!$AC$14</f>
        <v>67</v>
      </c>
      <c r="N92" s="558">
        <f>'Cálculos Cambalache (60%)'!$AC$15</f>
        <v>284</v>
      </c>
      <c r="O92" s="568">
        <f t="shared" si="16"/>
        <v>2436</v>
      </c>
    </row>
    <row r="93" spans="1:15" ht="21.75" hidden="1" customHeight="1" x14ac:dyDescent="0.2">
      <c r="A93" s="543" t="s">
        <v>397</v>
      </c>
      <c r="B93" s="543" t="s">
        <v>92</v>
      </c>
      <c r="C93" s="556">
        <f>Turbinas!$J$24*42</f>
        <v>1123062.3600000001</v>
      </c>
      <c r="D93" s="556">
        <f>Turbinas!$J$25*42</f>
        <v>1293803.28</v>
      </c>
      <c r="E93" s="556">
        <f>Turbinas!$J$26*42</f>
        <v>1191341.76</v>
      </c>
      <c r="F93" s="556">
        <f>Turbinas!$J$27*42</f>
        <v>1991414.04</v>
      </c>
      <c r="G93" s="556">
        <f>Turbinas!$J$28*42</f>
        <v>2293071.9</v>
      </c>
      <c r="H93" s="556">
        <f>Turbinas!$J$29*42</f>
        <v>1308196.68</v>
      </c>
      <c r="I93" s="556">
        <f>Turbinas!$J$30*42</f>
        <v>1027409.0399999999</v>
      </c>
      <c r="J93" s="556">
        <f>Turbinas!$J$31*42</f>
        <v>2136786.96</v>
      </c>
      <c r="K93" s="556">
        <f>Turbinas!$J$32*42</f>
        <v>2022428.94</v>
      </c>
      <c r="L93" s="556">
        <f>Turbinas!$J$33*42</f>
        <v>2172824.64</v>
      </c>
      <c r="M93" s="556">
        <f>Turbinas!$J$34*42</f>
        <v>781683.84</v>
      </c>
      <c r="N93" s="556">
        <f>Turbinas!$J$35*42</f>
        <v>1327820.76</v>
      </c>
      <c r="O93" s="564">
        <f t="shared" si="16"/>
        <v>18669844.200000003</v>
      </c>
    </row>
    <row r="94" spans="1:15" ht="21.75" hidden="1" customHeight="1" x14ac:dyDescent="0.2">
      <c r="A94" s="543" t="s">
        <v>398</v>
      </c>
      <c r="B94" s="543" t="s">
        <v>395</v>
      </c>
      <c r="C94" s="558">
        <f>'Cálculos Cambalache (60%)'!$AD$22</f>
        <v>64</v>
      </c>
      <c r="D94" s="558">
        <f>'Cálculos Cambalache (60%)'!$AD$23</f>
        <v>58</v>
      </c>
      <c r="E94" s="558">
        <f>'Cálculos Cambalache (60%)'!$AD$24</f>
        <v>26</v>
      </c>
      <c r="F94" s="558">
        <f>'Cálculos Cambalache (60%)'!$AD$25</f>
        <v>88</v>
      </c>
      <c r="G94" s="558">
        <f>'Cálculos Cambalache (60%)'!$AD$26</f>
        <v>141</v>
      </c>
      <c r="H94" s="558">
        <f>'Cálculos Cambalache (60%)'!$AD$27</f>
        <v>63</v>
      </c>
      <c r="I94" s="558">
        <f>'Cálculos Cambalache (60%)'!$AD$28</f>
        <v>53</v>
      </c>
      <c r="J94" s="558">
        <f>'Cálculos Cambalache (60%)'!$AD$29</f>
        <v>152</v>
      </c>
      <c r="K94" s="558">
        <f>'Cálculos Cambalache (60%)'!$AD$30</f>
        <v>126</v>
      </c>
      <c r="L94" s="558">
        <f>'Cálculos Cambalache (60%)'!$AD$31</f>
        <v>130</v>
      </c>
      <c r="M94" s="558">
        <f>'Cálculos Cambalache (60%)'!$AD$32</f>
        <v>20</v>
      </c>
      <c r="N94" s="558">
        <f>'Cálculos Cambalache (60%)'!$AD$33</f>
        <v>39</v>
      </c>
      <c r="O94" s="568">
        <f t="shared" si="16"/>
        <v>960</v>
      </c>
    </row>
    <row r="95" spans="1:15" ht="21.75" hidden="1" customHeight="1" x14ac:dyDescent="0.2">
      <c r="A95" s="543" t="s">
        <v>399</v>
      </c>
      <c r="B95" s="543" t="s">
        <v>395</v>
      </c>
      <c r="C95" s="558">
        <f>'Cálculos Cambalache (60%)'!$AD$4</f>
        <v>117</v>
      </c>
      <c r="D95" s="558">
        <f>'Cálculos Cambalache (60%)'!$AD$5</f>
        <v>171</v>
      </c>
      <c r="E95" s="558">
        <f>'Cálculos Cambalache (60%)'!$AD$6</f>
        <v>160</v>
      </c>
      <c r="F95" s="558">
        <f>'Cálculos Cambalache (60%)'!$AD$7</f>
        <v>286</v>
      </c>
      <c r="G95" s="558">
        <f>'Cálculos Cambalache (60%)'!$AD$8</f>
        <v>268</v>
      </c>
      <c r="H95" s="558">
        <f>'Cálculos Cambalache (60%)'!$AD$9</f>
        <v>172</v>
      </c>
      <c r="I95" s="558">
        <f>'Cálculos Cambalache (60%)'!$AD$10</f>
        <v>118</v>
      </c>
      <c r="J95" s="558">
        <f>'Cálculos Cambalache (60%)'!$AD$11</f>
        <v>227</v>
      </c>
      <c r="K95" s="558">
        <f>'Cálculos Cambalache (60%)'!$AD$12</f>
        <v>247</v>
      </c>
      <c r="L95" s="558">
        <f>'Cálculos Cambalache (60%)'!$AD$13</f>
        <v>283</v>
      </c>
      <c r="M95" s="558">
        <f>'Cálculos Cambalache (60%)'!$AD$14</f>
        <v>114</v>
      </c>
      <c r="N95" s="558">
        <f>'Cálculos Cambalache (60%)'!$AD$15</f>
        <v>204</v>
      </c>
      <c r="O95" s="568">
        <f t="shared" si="16"/>
        <v>2367</v>
      </c>
    </row>
    <row r="96" spans="1:15" ht="21.75" hidden="1" customHeight="1" x14ac:dyDescent="0.2">
      <c r="A96" s="543" t="s">
        <v>400</v>
      </c>
      <c r="B96" s="543" t="s">
        <v>91</v>
      </c>
      <c r="C96" s="544">
        <f>'CEMS Cambalache'!$C$6</f>
        <v>51997.399999999994</v>
      </c>
      <c r="D96" s="544">
        <f>'CEMS Cambalache'!$C$7</f>
        <v>49868.800000000003</v>
      </c>
      <c r="E96" s="544">
        <f>'CEMS Cambalache'!$C$8</f>
        <v>45422.5</v>
      </c>
      <c r="F96" s="544">
        <f>'CEMS Cambalache'!$C$9</f>
        <v>72160.799999999988</v>
      </c>
      <c r="G96" s="544">
        <f>'CEMS Cambalache'!$C$10</f>
        <v>81178.399999999994</v>
      </c>
      <c r="H96" s="544">
        <f>'CEMS Cambalache'!$C$11</f>
        <v>48091</v>
      </c>
      <c r="I96" s="544">
        <f>'CEMS Cambalache'!$C$12</f>
        <v>38558.1</v>
      </c>
      <c r="J96" s="544">
        <f>'CEMS Cambalache'!$C$13</f>
        <v>73160.700000000012</v>
      </c>
      <c r="K96" s="544">
        <f>'CEMS Cambalache'!$C$14</f>
        <v>73187</v>
      </c>
      <c r="L96" s="544">
        <f>'CEMS Cambalache'!$C$15</f>
        <v>69991.5</v>
      </c>
      <c r="M96" s="544">
        <f>'CEMS Cambalache'!$C$16</f>
        <v>30689.8</v>
      </c>
      <c r="N96" s="544">
        <f>'CEMS Cambalache'!$C$17</f>
        <v>53775.3</v>
      </c>
      <c r="O96" s="562">
        <f t="shared" si="16"/>
        <v>688081.3</v>
      </c>
    </row>
    <row r="97" spans="1:15" ht="21.75" hidden="1" customHeight="1" x14ac:dyDescent="0.2">
      <c r="A97" s="543" t="s">
        <v>401</v>
      </c>
      <c r="B97" s="543" t="s">
        <v>91</v>
      </c>
      <c r="C97" s="544">
        <f>'CEMS Cambalache'!$D$6</f>
        <v>9599</v>
      </c>
      <c r="D97" s="544">
        <f>'CEMS Cambalache'!$D$7</f>
        <v>8841</v>
      </c>
      <c r="E97" s="544">
        <f>'CEMS Cambalache'!$D$8</f>
        <v>9307</v>
      </c>
      <c r="F97" s="544">
        <f>'CEMS Cambalache'!$D$9</f>
        <v>9058</v>
      </c>
      <c r="G97" s="544">
        <f>'CEMS Cambalache'!$D$10</f>
        <v>8093</v>
      </c>
      <c r="H97" s="544">
        <f>'CEMS Cambalache'!$D$11</f>
        <v>7987</v>
      </c>
      <c r="I97" s="544">
        <f>'CEMS Cambalache'!$D$12</f>
        <v>8686</v>
      </c>
      <c r="J97" s="544">
        <f>'CEMS Cambalache'!$D$13</f>
        <v>7809</v>
      </c>
      <c r="K97" s="544">
        <f>'CEMS Cambalache'!$D$14</f>
        <v>6245</v>
      </c>
      <c r="L97" s="544">
        <f>'CEMS Cambalache'!$D$15</f>
        <v>5626</v>
      </c>
      <c r="M97" s="544">
        <f>'CEMS Cambalache'!$D$16</f>
        <v>5779</v>
      </c>
      <c r="N97" s="544">
        <f>'CEMS Cambalache'!$D$17</f>
        <v>7061</v>
      </c>
      <c r="O97" s="562">
        <f t="shared" si="16"/>
        <v>94091</v>
      </c>
    </row>
    <row r="98" spans="1:15" ht="21.75" customHeight="1" x14ac:dyDescent="0.2">
      <c r="A98" s="543" t="s">
        <v>18</v>
      </c>
      <c r="B98" s="543" t="s">
        <v>94</v>
      </c>
      <c r="C98" s="544">
        <f>((('Cálculos Cambalache (60%)'!$B$21*(C91))+('Cálculos Cambalache (60%)'!$F$21*(C92)))/'Cálculos Cambalache (60%)'!$J$22)+((('Cálculos Cambalache (60%)'!$M$21*(C94))+('Cálculos Cambalache (60%)'!$Q$21*(C95)))/'Cálculos Cambalache (60%)'!$U$22)</f>
        <v>8.8739999999999988</v>
      </c>
      <c r="D98" s="544">
        <f>((('Cálculos Cambalache (60%)'!$B$21*(D91))+('Cálculos Cambalache (60%)'!$F$21*(D92)))/'Cálculos Cambalache (60%)'!$J$22)+((('Cálculos Cambalache (60%)'!$M$21*(D94))+('Cálculos Cambalache (60%)'!$Q$21*(D95)))/'Cálculos Cambalache (60%)'!$U$22)</f>
        <v>9.9960000000000004</v>
      </c>
      <c r="E98" s="544">
        <f>((('Cálculos Cambalache (60%)'!$B$21*(E91))+('Cálculos Cambalache (60%)'!$F$21*(E92)))/'Cálculos Cambalache (60%)'!$J$22)+((('Cálculos Cambalache (60%)'!$M$21*(E94))+('Cálculos Cambalache (60%)'!$Q$21*(E95)))/'Cálculos Cambalache (60%)'!$U$22)</f>
        <v>7.2420000000000009</v>
      </c>
      <c r="F98" s="544">
        <f>((('Cálculos Cambalache (60%)'!$B$21*(F91))+('Cálculos Cambalache (60%)'!$F$21*(F92)))/'Cálculos Cambalache (60%)'!$J$22)+((('Cálculos Cambalache (60%)'!$M$21*(F94))+('Cálculos Cambalache (60%)'!$Q$21*(F95)))/'Cálculos Cambalache (60%)'!$U$22)</f>
        <v>18.666</v>
      </c>
      <c r="G98" s="544">
        <f>((('Cálculos Cambalache (60%)'!$B$21*(G91))+('Cálculos Cambalache (60%)'!$F$21*(G92)))/'Cálculos Cambalache (60%)'!$J$22)+((('Cálculos Cambalache (60%)'!$M$21*(G94))+('Cálculos Cambalache (60%)'!$Q$21*(G95)))/'Cálculos Cambalache (60%)'!$U$22)</f>
        <v>21.904499999999999</v>
      </c>
      <c r="H98" s="544">
        <f>((('Cálculos Cambalache (60%)'!$B$21*(H91))+('Cálculos Cambalache (60%)'!$F$21*(H92)))/'Cálculos Cambalache (60%)'!$J$22)+((('Cálculos Cambalache (60%)'!$M$21*(H94))+('Cálculos Cambalache (60%)'!$Q$21*(H95)))/'Cálculos Cambalache (60%)'!$U$22)</f>
        <v>11.067</v>
      </c>
      <c r="I98" s="544">
        <f>((('Cálculos Cambalache (60%)'!$B$21*(I91))+('Cálculos Cambalache (60%)'!$F$21*(I92)))/'Cálculos Cambalache (60%)'!$J$22)+((('Cálculos Cambalache (60%)'!$M$21*(I94))+('Cálculos Cambalache (60%)'!$Q$21*(I95)))/'Cálculos Cambalache (60%)'!$U$22)</f>
        <v>7.6244999999999994</v>
      </c>
      <c r="J98" s="544">
        <f>((('Cálculos Cambalache (60%)'!$B$21*(J91))+('Cálculos Cambalache (60%)'!$F$21*(J92)))/'Cálculos Cambalache (60%)'!$J$22)+((('Cálculos Cambalache (60%)'!$M$21*(J94))+('Cálculos Cambalache (60%)'!$Q$21*(J95)))/'Cálculos Cambalache (60%)'!$U$22)</f>
        <v>20.119500000000002</v>
      </c>
      <c r="K98" s="544">
        <f>((('Cálculos Cambalache (60%)'!$B$21*(K91))+('Cálculos Cambalache (60%)'!$F$21*(K92)))/'Cálculos Cambalache (60%)'!$J$22)+((('Cálculos Cambalache (60%)'!$M$21*(K94))+('Cálculos Cambalache (60%)'!$Q$21*(K95)))/'Cálculos Cambalache (60%)'!$U$22)</f>
        <v>21.700499999999998</v>
      </c>
      <c r="L98" s="544">
        <f>((('Cálculos Cambalache (60%)'!$B$21*(L91))+('Cálculos Cambalache (60%)'!$F$21*(L92)))/'Cálculos Cambalache (60%)'!$J$22)+((('Cálculos Cambalache (60%)'!$M$21*(L94))+('Cálculos Cambalache (60%)'!$Q$21*(L95)))/'Cálculos Cambalache (60%)'!$U$22)</f>
        <v>20.680499999999999</v>
      </c>
      <c r="M98" s="544">
        <f>((('Cálculos Cambalache (60%)'!$B$21*(M91))+('Cálculos Cambalache (60%)'!$F$21*(M92)))/'Cálculos Cambalache (60%)'!$J$22)+((('Cálculos Cambalache (60%)'!$M$21*(M94))+('Cálculos Cambalache (60%)'!$Q$21*(M95)))/'Cálculos Cambalache (60%)'!$U$22)</f>
        <v>5.6099999999999994</v>
      </c>
      <c r="N98" s="544">
        <f>((('Cálculos Cambalache (60%)'!$B$21*(N91))+('Cálculos Cambalache (60%)'!$F$21*(N92)))/'Cálculos Cambalache (60%)'!$J$22)+((('Cálculos Cambalache (60%)'!$M$21*(N94))+('Cálculos Cambalache (60%)'!$Q$21*(N95)))/'Cálculos Cambalache (60%)'!$U$22)</f>
        <v>13.923</v>
      </c>
      <c r="O98" s="562">
        <f t="shared" si="16"/>
        <v>167.40750000000003</v>
      </c>
    </row>
    <row r="99" spans="1:15" ht="21.75" customHeight="1" x14ac:dyDescent="0.2">
      <c r="A99" s="543" t="s">
        <v>365</v>
      </c>
      <c r="B99" s="543" t="s">
        <v>94</v>
      </c>
      <c r="C99" s="544">
        <f>((('Cálculos Cambalache (60%)'!$B$29*(C91))+('Cálculos Cambalache (60%)'!$F$29*(C92)))/'Cálculos Cambalache (60%)'!$J$30)+((('Cálculos Cambalache (60%)'!$M$29*(C94))+('Cálculos Cambalache (60%)'!$Q$29*(C95)))/'Cálculos Cambalache (60%)'!$U$30)</f>
        <v>23.838000000000001</v>
      </c>
      <c r="D99" s="544">
        <f>((('Cálculos Cambalache (60%)'!$B$29*(D91))+('Cálculos Cambalache (60%)'!$F$29*(D92)))/'Cálculos Cambalache (60%)'!$J$30)+((('Cálculos Cambalache (60%)'!$M$29*(D94))+('Cálculos Cambalache (60%)'!$Q$29*(D95)))/'Cálculos Cambalache (60%)'!$U$30)</f>
        <v>26.852</v>
      </c>
      <c r="E99" s="544">
        <f>((('Cálculos Cambalache (60%)'!$B$29*(E91))+('Cálculos Cambalache (60%)'!$F$29*(E92)))/'Cálculos Cambalache (60%)'!$J$30)+((('Cálculos Cambalache (60%)'!$M$29*(E94))+('Cálculos Cambalache (60%)'!$Q$29*(E95)))/'Cálculos Cambalache (60%)'!$U$30)</f>
        <v>19.454000000000001</v>
      </c>
      <c r="F99" s="544">
        <f>((('Cálculos Cambalache (60%)'!$B$29*(F91))+('Cálculos Cambalache (60%)'!$F$29*(F92)))/'Cálculos Cambalache (60%)'!$J$30)+((('Cálculos Cambalache (60%)'!$M$29*(F94))+('Cálculos Cambalache (60%)'!$Q$29*(F95)))/'Cálculos Cambalache (60%)'!$U$30)</f>
        <v>50.141999999999996</v>
      </c>
      <c r="G99" s="544">
        <f>((('Cálculos Cambalache (60%)'!$B$29*(G91))+('Cálculos Cambalache (60%)'!$F$29*(G92)))/'Cálculos Cambalache (60%)'!$J$30)+((('Cálculos Cambalache (60%)'!$M$29*(G94))+('Cálculos Cambalache (60%)'!$Q$29*(G95)))/'Cálculos Cambalache (60%)'!$U$30)</f>
        <v>58.841499999999996</v>
      </c>
      <c r="H99" s="544">
        <f>((('Cálculos Cambalache (60%)'!$B$29*(H91))+('Cálculos Cambalache (60%)'!$F$29*(H92)))/'Cálculos Cambalache (60%)'!$J$30)+((('Cálculos Cambalache (60%)'!$M$29*(H94))+('Cálculos Cambalache (60%)'!$Q$29*(H95)))/'Cálculos Cambalache (60%)'!$U$30)</f>
        <v>29.728999999999999</v>
      </c>
      <c r="I99" s="544">
        <f>((('Cálculos Cambalache (60%)'!$B$29*(I91))+('Cálculos Cambalache (60%)'!$F$29*(I92)))/'Cálculos Cambalache (60%)'!$J$30)+((('Cálculos Cambalache (60%)'!$M$29*(I94))+('Cálculos Cambalache (60%)'!$Q$29*(I95)))/'Cálculos Cambalache (60%)'!$U$30)</f>
        <v>20.4815</v>
      </c>
      <c r="J99" s="544">
        <f>((('Cálculos Cambalache (60%)'!$B$29*(J91))+('Cálculos Cambalache (60%)'!$F$29*(J92)))/'Cálculos Cambalache (60%)'!$J$30)+((('Cálculos Cambalache (60%)'!$M$29*(J94))+('Cálculos Cambalache (60%)'!$Q$29*(J95)))/'Cálculos Cambalache (60%)'!$U$30)</f>
        <v>54.046500000000002</v>
      </c>
      <c r="K99" s="544">
        <f>((('Cálculos Cambalache (60%)'!$B$29*(K91))+('Cálculos Cambalache (60%)'!$F$29*(K92)))/'Cálculos Cambalache (60%)'!$J$30)+((('Cálculos Cambalache (60%)'!$M$29*(K94))+('Cálculos Cambalache (60%)'!$Q$29*(K95)))/'Cálculos Cambalache (60%)'!$U$30)</f>
        <v>58.293500000000002</v>
      </c>
      <c r="L99" s="544">
        <f>((('Cálculos Cambalache (60%)'!$B$29*(L91))+('Cálculos Cambalache (60%)'!$F$29*(L92)))/'Cálculos Cambalache (60%)'!$J$30)+((('Cálculos Cambalache (60%)'!$M$29*(L94))+('Cálculos Cambalache (60%)'!$Q$29*(L95)))/'Cálculos Cambalache (60%)'!$U$30)</f>
        <v>55.5535</v>
      </c>
      <c r="M99" s="544">
        <f>((('Cálculos Cambalache (60%)'!$B$29*(M91))+('Cálculos Cambalache (60%)'!$F$29*(M92)))/'Cálculos Cambalache (60%)'!$J$30)+((('Cálculos Cambalache (60%)'!$M$29*(M94))+('Cálculos Cambalache (60%)'!$Q$29*(M95)))/'Cálculos Cambalache (60%)'!$U$30)</f>
        <v>15.07</v>
      </c>
      <c r="N99" s="544">
        <f>((('Cálculos Cambalache (60%)'!$B$29*(N91))+('Cálculos Cambalache (60%)'!$F$29*(N92)))/'Cálculos Cambalache (60%)'!$J$30)+((('Cálculos Cambalache (60%)'!$M$29*(N94))+('Cálculos Cambalache (60%)'!$Q$29*(N95)))/'Cálculos Cambalache (60%)'!$U$30)</f>
        <v>37.400999999999996</v>
      </c>
      <c r="O99" s="562">
        <f t="shared" si="16"/>
        <v>449.70249999999999</v>
      </c>
    </row>
    <row r="100" spans="1:15" ht="21.75" customHeight="1" x14ac:dyDescent="0.2">
      <c r="A100" s="543" t="s">
        <v>22</v>
      </c>
      <c r="B100" s="543" t="s">
        <v>94</v>
      </c>
      <c r="C100" s="544">
        <f>((('Cálculos Cambalache (60%)'!$B$42*(C91))+('Cálculos Cambalache (60%)'!$F$42*(C92)))/'Cálculos Cambalache (60%)'!$J$43)+((('Cálculos Cambalache (60%)'!$M$42*(C94))+('Cálculos Cambalache (60%)'!$Q$42*(C95)))/'Cálculos Cambalache (60%)'!$U$43)</f>
        <v>2.024</v>
      </c>
      <c r="D100" s="544">
        <f>((('Cálculos Cambalache (60%)'!$B$42*(D91))+('Cálculos Cambalache (60%)'!$F$42*(D92)))/'Cálculos Cambalache (60%)'!$J$43)+((('Cálculos Cambalache (60%)'!$M$42*(D94))+('Cálculos Cambalache (60%)'!$Q$42*(D95)))/'Cálculos Cambalache (60%)'!$U$43)</f>
        <v>2.2409999999999997</v>
      </c>
      <c r="E100" s="544">
        <f>((('Cálculos Cambalache (60%)'!$B$42*(E91))+('Cálculos Cambalache (60%)'!$F$42*(E92)))/'Cálculos Cambalache (60%)'!$J$43)+((('Cálculos Cambalache (60%)'!$M$42*(E94))+('Cálculos Cambalache (60%)'!$Q$42*(E95)))/'Cálculos Cambalache (60%)'!$U$43)</f>
        <v>1.599</v>
      </c>
      <c r="F100" s="544">
        <f>((('Cálculos Cambalache (60%)'!$B$42*(F91))+('Cálculos Cambalache (60%)'!$F$42*(F92)))/'Cálculos Cambalache (60%)'!$J$43)+((('Cálculos Cambalache (60%)'!$M$42*(F94))+('Cálculos Cambalache (60%)'!$Q$42*(F95)))/'Cálculos Cambalache (60%)'!$U$43)</f>
        <v>4.1660000000000004</v>
      </c>
      <c r="G100" s="544">
        <f>((('Cálculos Cambalache (60%)'!$B$42*(G91))+('Cálculos Cambalache (60%)'!$F$42*(G92)))/'Cálculos Cambalache (60%)'!$J$43)+((('Cálculos Cambalache (60%)'!$M$42*(G94))+('Cálculos Cambalache (60%)'!$Q$42*(G95)))/'Cálculos Cambalache (60%)'!$U$43)</f>
        <v>4.9885000000000002</v>
      </c>
      <c r="H100" s="544">
        <f>((('Cálculos Cambalache (60%)'!$B$42*(H91))+('Cálculos Cambalache (60%)'!$F$42*(H92)))/'Cálculos Cambalache (60%)'!$J$43)+((('Cálculos Cambalache (60%)'!$M$42*(H94))+('Cálculos Cambalache (60%)'!$Q$42*(H95)))/'Cálculos Cambalache (60%)'!$U$43)</f>
        <v>2.4989999999999997</v>
      </c>
      <c r="I100" s="544">
        <f>((('Cálculos Cambalache (60%)'!$B$42*(I91))+('Cálculos Cambalache (60%)'!$F$42*(I92)))/'Cálculos Cambalache (60%)'!$J$43)+((('Cálculos Cambalache (60%)'!$M$42*(I94))+('Cálculos Cambalache (60%)'!$Q$42*(I95)))/'Cálculos Cambalache (60%)'!$U$43)</f>
        <v>1.7244999999999999</v>
      </c>
      <c r="J100" s="544">
        <f>((('Cálculos Cambalache (60%)'!$B$42*(J91))+('Cálculos Cambalache (60%)'!$F$42*(J92)))/'Cálculos Cambalache (60%)'!$J$43)+((('Cálculos Cambalache (60%)'!$M$42*(J94))+('Cálculos Cambalache (60%)'!$Q$42*(J95)))/'Cálculos Cambalache (60%)'!$U$43)</f>
        <v>4.6295000000000002</v>
      </c>
      <c r="K100" s="544">
        <f>((('Cálculos Cambalache (60%)'!$B$42*(K91))+('Cálculos Cambalache (60%)'!$F$42*(K92)))/'Cálculos Cambalache (60%)'!$J$43)+((('Cálculos Cambalache (60%)'!$M$42*(K94))+('Cálculos Cambalache (60%)'!$Q$42*(K95)))/'Cálculos Cambalache (60%)'!$U$43)</f>
        <v>4.9585000000000008</v>
      </c>
      <c r="L100" s="544">
        <f>((('Cálculos Cambalache (60%)'!$B$42*(L91))+('Cálculos Cambalache (60%)'!$F$42*(L92)))/'Cálculos Cambalache (60%)'!$J$43)+((('Cálculos Cambalache (60%)'!$M$42*(L94))+('Cálculos Cambalache (60%)'!$Q$42*(L95)))/'Cálculos Cambalache (60%)'!$U$43)</f>
        <v>4.7294999999999998</v>
      </c>
      <c r="M100" s="544">
        <f>((('Cálculos Cambalache (60%)'!$B$42*(M91))+('Cálculos Cambalache (60%)'!$F$42*(M92)))/'Cálculos Cambalache (60%)'!$J$43)+((('Cálculos Cambalache (60%)'!$M$42*(M94))+('Cálculos Cambalache (60%)'!$Q$42*(M95)))/'Cálculos Cambalache (60%)'!$U$43)</f>
        <v>1.2490000000000001</v>
      </c>
      <c r="N100" s="544">
        <f>((('Cálculos Cambalache (60%)'!$B$42*(N91))+('Cálculos Cambalache (60%)'!$F$42*(N92)))/'Cálculos Cambalache (60%)'!$J$43)+((('Cálculos Cambalache (60%)'!$M$42*(N94))+('Cálculos Cambalache (60%)'!$Q$42*(N95)))/'Cálculos Cambalache (60%)'!$U$43)</f>
        <v>3.0609999999999999</v>
      </c>
      <c r="O100" s="562">
        <f t="shared" si="16"/>
        <v>37.869500000000002</v>
      </c>
    </row>
    <row r="101" spans="1:15" ht="21.75" customHeight="1" x14ac:dyDescent="0.2">
      <c r="A101" s="543" t="s">
        <v>23</v>
      </c>
      <c r="B101" s="543" t="s">
        <v>94</v>
      </c>
      <c r="C101" s="549">
        <f>((('Cálculos Cambalache (60%)'!$B$50*(C91))+('Cálculos Cambalache (60%)'!$F$50*(C92)))/'Cálculos Cambalache (60%)'!$J$51)+((('Cálculos Cambalache (60%)'!$M$50*(C94))+('Cálculos Cambalache (60%)'!$Q$50*(C95)))/'Cálculos Cambalache (60%)'!$U$51)</f>
        <v>3.1689999999999999E-3</v>
      </c>
      <c r="D101" s="549">
        <f>((('Cálculos Cambalache (60%)'!$B$50*(D91))+('Cálculos Cambalache (60%)'!$F$50*(D92)))/'Cálculos Cambalache (60%)'!$J$51)+((('Cálculos Cambalache (60%)'!$M$50*(D94))+('Cálculos Cambalache (60%)'!$Q$50*(D95)))/'Cálculos Cambalache (60%)'!$U$51)</f>
        <v>3.4335000000000004E-3</v>
      </c>
      <c r="E101" s="549">
        <f>((('Cálculos Cambalache (60%)'!$B$50*(E91))+('Cálculos Cambalache (60%)'!$F$50*(E92)))/'Cálculos Cambalache (60%)'!$J$51)+((('Cálculos Cambalache (60%)'!$M$50*(E94))+('Cálculos Cambalache (60%)'!$Q$50*(E95)))/'Cálculos Cambalache (60%)'!$U$51)</f>
        <v>2.4015E-3</v>
      </c>
      <c r="F101" s="549">
        <f>((('Cálculos Cambalache (60%)'!$B$50*(F91))+('Cálculos Cambalache (60%)'!$F$50*(F92)))/'Cálculos Cambalache (60%)'!$J$51)+((('Cálculos Cambalache (60%)'!$M$50*(F94))+('Cálculos Cambalache (60%)'!$Q$50*(F95)))/'Cálculos Cambalache (60%)'!$U$51)</f>
        <v>6.3460000000000001E-3</v>
      </c>
      <c r="G101" s="549">
        <f>((('Cálculos Cambalache (60%)'!$B$50*(G91))+('Cálculos Cambalache (60%)'!$F$50*(G92)))/'Cálculos Cambalache (60%)'!$J$51)+((('Cálculos Cambalache (60%)'!$M$50*(G94))+('Cálculos Cambalache (60%)'!$Q$50*(G95)))/'Cálculos Cambalache (60%)'!$U$51)</f>
        <v>7.7960000000000008E-3</v>
      </c>
      <c r="H101" s="549">
        <f>((('Cálculos Cambalache (60%)'!$B$50*(H91))+('Cálculos Cambalache (60%)'!$F$50*(H92)))/'Cálculos Cambalache (60%)'!$J$51)+((('Cálculos Cambalache (60%)'!$M$50*(H94))+('Cálculos Cambalache (60%)'!$Q$50*(H95)))/'Cálculos Cambalache (60%)'!$U$51)</f>
        <v>3.8640000000000002E-3</v>
      </c>
      <c r="I101" s="549">
        <f>((('Cálculos Cambalache (60%)'!$B$50*(I91))+('Cálculos Cambalache (60%)'!$F$50*(I92)))/'Cálculos Cambalache (60%)'!$J$51)+((('Cálculos Cambalache (60%)'!$M$50*(I94))+('Cálculos Cambalache (60%)'!$Q$50*(I95)))/'Cálculos Cambalache (60%)'!$U$51)</f>
        <v>2.6720000000000003E-3</v>
      </c>
      <c r="J101" s="549">
        <f>((('Cálculos Cambalache (60%)'!$B$50*(J91))+('Cálculos Cambalache (60%)'!$F$50*(J92)))/'Cálculos Cambalache (60%)'!$J$51)+((('Cálculos Cambalache (60%)'!$M$50*(J94))+('Cálculos Cambalache (60%)'!$Q$50*(J95)))/'Cálculos Cambalache (60%)'!$U$51)</f>
        <v>7.3270000000000002E-3</v>
      </c>
      <c r="K101" s="549">
        <f>((('Cálculos Cambalache (60%)'!$B$50*(K91))+('Cálculos Cambalache (60%)'!$F$50*(K92)))/'Cálculos Cambalache (60%)'!$J$51)+((('Cálculos Cambalache (60%)'!$M$50*(K94))+('Cálculos Cambalache (60%)'!$Q$50*(K95)))/'Cálculos Cambalache (60%)'!$U$51)</f>
        <v>7.7809999999999997E-3</v>
      </c>
      <c r="L101" s="549">
        <f>((('Cálculos Cambalache (60%)'!$B$50*(L91))+('Cálculos Cambalache (60%)'!$F$50*(L92)))/'Cálculos Cambalache (60%)'!$J$51)+((('Cálculos Cambalache (60%)'!$M$50*(L94))+('Cálculos Cambalache (60%)'!$Q$50*(L95)))/'Cálculos Cambalache (60%)'!$U$51)</f>
        <v>7.4295000000000003E-3</v>
      </c>
      <c r="M101" s="549">
        <f>((('Cálculos Cambalache (60%)'!$B$50*(M91))+('Cálculos Cambalache (60%)'!$F$50*(M92)))/'Cálculos Cambalache (60%)'!$J$51)+((('Cálculos Cambalache (60%)'!$M$50*(M94))+('Cálculos Cambalache (60%)'!$Q$50*(M95)))/'Cálculos Cambalache (60%)'!$U$51)</f>
        <v>1.8965000000000002E-3</v>
      </c>
      <c r="N101" s="549">
        <f>((('Cálculos Cambalache (60%)'!$B$50*(N91))+('Cálculos Cambalache (60%)'!$F$50*(N92)))/'Cálculos Cambalache (60%)'!$J$51)+((('Cálculos Cambalache (60%)'!$M$50*(N94))+('Cálculos Cambalache (60%)'!$Q$50*(N95)))/'Cálculos Cambalache (60%)'!$U$51)</f>
        <v>4.5710000000000004E-3</v>
      </c>
      <c r="O101" s="563">
        <f t="shared" si="16"/>
        <v>5.8686999999999996E-2</v>
      </c>
    </row>
    <row r="102" spans="1:15" ht="21.75" customHeight="1" x14ac:dyDescent="0.2">
      <c r="A102" s="543" t="s">
        <v>24</v>
      </c>
      <c r="B102" s="543" t="s">
        <v>94</v>
      </c>
      <c r="C102" s="544">
        <f>SUM(C90,C93)*'Cálculos Cambalache (60%)'!$B$60/'Cálculos Cambalache (60%)'!$F$61</f>
        <v>23963.242709699996</v>
      </c>
      <c r="D102" s="544">
        <f>SUM(D90,D93)*'Cálculos Cambalache (60%)'!$B$60/'Cálculos Cambalache (60%)'!$F$61</f>
        <v>24889.81741344</v>
      </c>
      <c r="E102" s="544">
        <f>SUM(E90,E93)*'Cálculos Cambalache (60%)'!$B$60/'Cálculos Cambalache (60%)'!$F$61</f>
        <v>21756.7466991</v>
      </c>
      <c r="F102" s="544">
        <f>SUM(F90,F93)*'Cálculos Cambalache (60%)'!$B$60/'Cálculos Cambalache (60%)'!$F$61</f>
        <v>43306.432592220001</v>
      </c>
      <c r="G102" s="544">
        <f>SUM(G90,G93)*'Cálculos Cambalache (60%)'!$B$60/'Cálculos Cambalache (60%)'!$F$61</f>
        <v>53639.17978482</v>
      </c>
      <c r="H102" s="544">
        <f>SUM(H90,H93)*'Cálculos Cambalache (60%)'!$B$60/'Cálculos Cambalache (60%)'!$F$61</f>
        <v>27506.879000999998</v>
      </c>
      <c r="I102" s="544">
        <f>SUM(I90,I93)*'Cálculos Cambalache (60%)'!$B$60/'Cálculos Cambalache (60%)'!$F$61</f>
        <v>20153.335258979998</v>
      </c>
      <c r="J102" s="544">
        <f>SUM(J90,J93)*'Cálculos Cambalache (60%)'!$B$60/'Cálculos Cambalache (60%)'!$F$61</f>
        <v>49434.448138740001</v>
      </c>
      <c r="K102" s="544">
        <f>SUM(K90,K93)*'Cálculos Cambalache (60%)'!$B$60/'Cálculos Cambalache (60%)'!$F$61</f>
        <v>51808.684690980001</v>
      </c>
      <c r="L102" s="544">
        <f>SUM(L90,L93)*'Cálculos Cambalache (60%)'!$B$60/'Cálculos Cambalache (60%)'!$F$61</f>
        <v>49181.424395040005</v>
      </c>
      <c r="M102" s="544">
        <f>SUM(M90,M93)*'Cálculos Cambalache (60%)'!$B$60/'Cálculos Cambalache (60%)'!$F$61</f>
        <v>14696.618516999999</v>
      </c>
      <c r="N102" s="544">
        <f>SUM(N90,N93)*'Cálculos Cambalache (60%)'!$B$60/'Cálculos Cambalache (60%)'!$F$61</f>
        <v>32929.67116908</v>
      </c>
      <c r="O102" s="562">
        <f t="shared" si="16"/>
        <v>413266.48037010006</v>
      </c>
    </row>
    <row r="103" spans="1:15" ht="21.75" customHeight="1" x14ac:dyDescent="0.2">
      <c r="A103" s="543" t="s">
        <v>20</v>
      </c>
      <c r="B103" s="543" t="s">
        <v>94</v>
      </c>
      <c r="C103" s="544">
        <f t="shared" ref="C103:N103" si="17">C96/2000</f>
        <v>25.998699999999996</v>
      </c>
      <c r="D103" s="544">
        <f t="shared" si="17"/>
        <v>24.9344</v>
      </c>
      <c r="E103" s="544">
        <f t="shared" si="17"/>
        <v>22.71125</v>
      </c>
      <c r="F103" s="544">
        <f t="shared" si="17"/>
        <v>36.080399999999997</v>
      </c>
      <c r="G103" s="544">
        <f t="shared" si="17"/>
        <v>40.589199999999998</v>
      </c>
      <c r="H103" s="544">
        <f t="shared" si="17"/>
        <v>24.045500000000001</v>
      </c>
      <c r="I103" s="544">
        <f t="shared" si="17"/>
        <v>19.279049999999998</v>
      </c>
      <c r="J103" s="544">
        <f t="shared" si="17"/>
        <v>36.580350000000003</v>
      </c>
      <c r="K103" s="544">
        <f t="shared" si="17"/>
        <v>36.593499999999999</v>
      </c>
      <c r="L103" s="544">
        <f t="shared" si="17"/>
        <v>34.995750000000001</v>
      </c>
      <c r="M103" s="544">
        <f t="shared" si="17"/>
        <v>15.344899999999999</v>
      </c>
      <c r="N103" s="544">
        <f t="shared" si="17"/>
        <v>26.887650000000001</v>
      </c>
      <c r="O103" s="562">
        <f t="shared" si="16"/>
        <v>344.04065000000003</v>
      </c>
    </row>
    <row r="104" spans="1:15" ht="21.75" customHeight="1" x14ac:dyDescent="0.2">
      <c r="A104" s="543" t="s">
        <v>21</v>
      </c>
      <c r="B104" s="543" t="s">
        <v>94</v>
      </c>
      <c r="C104" s="544">
        <f t="shared" ref="C104:N104" si="18">C97/2000</f>
        <v>4.7995000000000001</v>
      </c>
      <c r="D104" s="544">
        <f t="shared" si="18"/>
        <v>4.4204999999999997</v>
      </c>
      <c r="E104" s="544">
        <f t="shared" si="18"/>
        <v>4.6535000000000002</v>
      </c>
      <c r="F104" s="544">
        <f t="shared" si="18"/>
        <v>4.5289999999999999</v>
      </c>
      <c r="G104" s="544">
        <f t="shared" si="18"/>
        <v>4.0465</v>
      </c>
      <c r="H104" s="544">
        <f t="shared" si="18"/>
        <v>3.9935</v>
      </c>
      <c r="I104" s="544">
        <f t="shared" si="18"/>
        <v>4.343</v>
      </c>
      <c r="J104" s="544">
        <f t="shared" si="18"/>
        <v>3.9045000000000001</v>
      </c>
      <c r="K104" s="544">
        <f t="shared" si="18"/>
        <v>3.1225000000000001</v>
      </c>
      <c r="L104" s="544">
        <f t="shared" si="18"/>
        <v>2.8130000000000002</v>
      </c>
      <c r="M104" s="544">
        <f t="shared" si="18"/>
        <v>2.8895</v>
      </c>
      <c r="N104" s="544">
        <f t="shared" si="18"/>
        <v>3.5305</v>
      </c>
      <c r="O104" s="562">
        <f t="shared" si="16"/>
        <v>47.045500000000004</v>
      </c>
    </row>
    <row r="105" spans="1:15" ht="21.75" customHeight="1" x14ac:dyDescent="0.2">
      <c r="A105" s="626" t="s">
        <v>402</v>
      </c>
      <c r="B105" s="626"/>
      <c r="C105" s="555"/>
      <c r="D105" s="555"/>
      <c r="E105" s="555"/>
      <c r="F105" s="555"/>
      <c r="G105" s="555"/>
      <c r="H105" s="555"/>
      <c r="I105" s="555"/>
      <c r="J105" s="626"/>
      <c r="K105" s="626"/>
      <c r="L105" s="555"/>
      <c r="M105" s="555"/>
      <c r="N105" s="555"/>
      <c r="O105" s="555"/>
    </row>
    <row r="106" spans="1:15" ht="21.75" hidden="1" customHeight="1" x14ac:dyDescent="0.2">
      <c r="A106" s="543" t="s">
        <v>403</v>
      </c>
      <c r="B106" s="543" t="s">
        <v>92</v>
      </c>
      <c r="C106" s="556">
        <f>Turbinas!$F$6*42</f>
        <v>285217.8</v>
      </c>
      <c r="D106" s="556">
        <f>Turbinas!$F$7*42</f>
        <v>199659.18</v>
      </c>
      <c r="E106" s="556">
        <f>Turbinas!$F$8*42</f>
        <v>199008.18</v>
      </c>
      <c r="F106" s="556">
        <f>Turbinas!$F$9*42</f>
        <v>340704</v>
      </c>
      <c r="G106" s="556">
        <f>Turbinas!$F$10*42</f>
        <v>527750.16</v>
      </c>
      <c r="H106" s="556">
        <f>Turbinas!$F$11*42</f>
        <v>170188.19999999998</v>
      </c>
      <c r="I106" s="556">
        <f>Turbinas!$F$12*42</f>
        <v>114799.86</v>
      </c>
      <c r="J106" s="556">
        <f>Turbinas!$F$13*42</f>
        <v>376322.1</v>
      </c>
      <c r="K106" s="556">
        <f>Turbinas!$F$14*42</f>
        <v>347886.84</v>
      </c>
      <c r="L106" s="556">
        <f>Turbinas!$F$15*42</f>
        <v>309219.12</v>
      </c>
      <c r="M106" s="556">
        <f>Turbinas!$F$16*42</f>
        <v>69717.900000000009</v>
      </c>
      <c r="N106" s="556">
        <f>Turbinas!$F$17*42</f>
        <v>118581.12000000001</v>
      </c>
      <c r="O106" s="564">
        <f>SUM(C106:N106)</f>
        <v>3059054.46</v>
      </c>
    </row>
    <row r="107" spans="1:15" ht="21.75" hidden="1" customHeight="1" x14ac:dyDescent="0.2">
      <c r="A107" s="543" t="s">
        <v>404</v>
      </c>
      <c r="B107" s="543" t="s">
        <v>371</v>
      </c>
      <c r="C107" s="560">
        <f>Turbinas!$U$6</f>
        <v>0.01</v>
      </c>
      <c r="D107" s="560">
        <f>Turbinas!$U$7</f>
        <v>0.01</v>
      </c>
      <c r="E107" s="560">
        <f>Turbinas!$U$8</f>
        <v>0.01</v>
      </c>
      <c r="F107" s="560">
        <f>Turbinas!$U$9</f>
        <v>0.01</v>
      </c>
      <c r="G107" s="560">
        <f>Turbinas!$U$10</f>
        <v>0.01</v>
      </c>
      <c r="H107" s="560">
        <f>Turbinas!$U$11</f>
        <v>0.01</v>
      </c>
      <c r="I107" s="560">
        <f>Turbinas!$U$12</f>
        <v>0.01</v>
      </c>
      <c r="J107" s="560">
        <f>Turbinas!$U$13</f>
        <v>0.01</v>
      </c>
      <c r="K107" s="560">
        <f>Turbinas!$U$14</f>
        <v>0.01</v>
      </c>
      <c r="L107" s="560">
        <f>Turbinas!$U$15</f>
        <v>0.01</v>
      </c>
      <c r="M107" s="560">
        <f>Turbinas!$U$16</f>
        <v>0.01</v>
      </c>
      <c r="N107" s="560">
        <f>Turbinas!$U$17</f>
        <v>0.01</v>
      </c>
      <c r="O107" s="565">
        <f>IF(O106=0,0,SUMPRODUCT(C107:N107,C106:N106)/O106)</f>
        <v>0.01</v>
      </c>
    </row>
    <row r="108" spans="1:15" ht="21.75" hidden="1" customHeight="1" x14ac:dyDescent="0.2">
      <c r="A108" s="543" t="s">
        <v>393</v>
      </c>
      <c r="B108" s="543" t="s">
        <v>92</v>
      </c>
      <c r="C108" s="556">
        <f>Turbinas!$G$6*42</f>
        <v>266164.92</v>
      </c>
      <c r="D108" s="556">
        <f>Turbinas!$G$7*42</f>
        <v>176767.92</v>
      </c>
      <c r="E108" s="556">
        <f>Turbinas!$G$8*42</f>
        <v>184905</v>
      </c>
      <c r="F108" s="556">
        <f>Turbinas!$G$9*42</f>
        <v>302539.86</v>
      </c>
      <c r="G108" s="556">
        <f>Turbinas!$G$10*42</f>
        <v>460167.95999999996</v>
      </c>
      <c r="H108" s="556">
        <f>Turbinas!$G$11*42</f>
        <v>11274.06</v>
      </c>
      <c r="I108" s="556">
        <f>Turbinas!$G$12*42</f>
        <v>0</v>
      </c>
      <c r="J108" s="556">
        <f>Turbinas!$G$13*42</f>
        <v>0</v>
      </c>
      <c r="K108" s="556">
        <f>Turbinas!$G$14*42</f>
        <v>0</v>
      </c>
      <c r="L108" s="556">
        <f>Turbinas!$G$15*42</f>
        <v>0</v>
      </c>
      <c r="M108" s="556">
        <f>Turbinas!$G$16*42</f>
        <v>1890</v>
      </c>
      <c r="N108" s="556">
        <f>Turbinas!$G$17*42</f>
        <v>19842.060000000001</v>
      </c>
      <c r="O108" s="564">
        <f>SUM(C108:N108)</f>
        <v>1423551.78</v>
      </c>
    </row>
    <row r="109" spans="1:15" ht="21.75" hidden="1" customHeight="1" x14ac:dyDescent="0.2">
      <c r="A109" s="543" t="s">
        <v>405</v>
      </c>
      <c r="B109" s="543" t="s">
        <v>371</v>
      </c>
      <c r="C109" s="560">
        <f>Turbinas!$V$6</f>
        <v>0.01</v>
      </c>
      <c r="D109" s="560">
        <f>Turbinas!$V$7</f>
        <v>0.01</v>
      </c>
      <c r="E109" s="560">
        <f>Turbinas!$V$8</f>
        <v>0.01</v>
      </c>
      <c r="F109" s="560">
        <f>Turbinas!$V$9</f>
        <v>0.01</v>
      </c>
      <c r="G109" s="560">
        <f>Turbinas!$V$10</f>
        <v>0.01</v>
      </c>
      <c r="H109" s="560">
        <f>Turbinas!$V$11</f>
        <v>0.01</v>
      </c>
      <c r="I109" s="560">
        <f>Turbinas!$V$12</f>
        <v>0.01</v>
      </c>
      <c r="J109" s="560">
        <f>Turbinas!$V$13</f>
        <v>0.01</v>
      </c>
      <c r="K109" s="560">
        <f>Turbinas!$V$14</f>
        <v>0.01</v>
      </c>
      <c r="L109" s="560">
        <f>Turbinas!$V$15</f>
        <v>0.01</v>
      </c>
      <c r="M109" s="560">
        <f>Turbinas!$V$16</f>
        <v>0.01</v>
      </c>
      <c r="N109" s="560">
        <f>Turbinas!$V$17</f>
        <v>0.01</v>
      </c>
      <c r="O109" s="565">
        <f>IF(O108=0,0,SUMPRODUCT(C109:N109,C108:N108)/O108)</f>
        <v>9.9999999999999985E-3</v>
      </c>
    </row>
    <row r="110" spans="1:15" ht="21.75" customHeight="1" x14ac:dyDescent="0.2">
      <c r="A110" s="543" t="s">
        <v>17</v>
      </c>
      <c r="B110" s="543" t="s">
        <v>94</v>
      </c>
      <c r="C110" s="544">
        <f>(('Cálculos Daguao'!$B$19*(C106)*'Cálculos Daguao'!$F$19)/'Cálculos Daguao'!$H$20)+(('Cálculos Daguao'!$L$19*(C108)*'Cálculos Daguao'!$P$19)/'Cálculos Daguao'!$R$20)</f>
        <v>0.45654489216000005</v>
      </c>
      <c r="D110" s="544">
        <f>(('Cálculos Daguao'!$B$19*(D106)*'Cálculos Daguao'!$F$19)/'Cálculos Daguao'!$H$20)+(('Cálculos Daguao'!$L$19*(D108)*'Cálculos Daguao'!$P$19)/'Cálculos Daguao'!$R$20)</f>
        <v>0.31168163880000005</v>
      </c>
      <c r="E110" s="544">
        <f>(('Cálculos Daguao'!$B$19*(E106)*'Cálculos Daguao'!$F$19)/'Cálculos Daguao'!$H$20)+(('Cálculos Daguao'!$L$19*(E108)*'Cálculos Daguao'!$P$19)/'Cálculos Daguao'!$R$20)</f>
        <v>0.31788011304000002</v>
      </c>
      <c r="F110" s="544">
        <f>(('Cálculos Daguao'!$B$19*(F106)*'Cálculos Daguao'!$F$19)/'Cálculos Daguao'!$H$20)+(('Cálculos Daguao'!$L$19*(F108)*'Cálculos Daguao'!$P$19)/'Cálculos Daguao'!$R$20)</f>
        <v>0.53260591608000007</v>
      </c>
      <c r="G110" s="544">
        <f>(('Cálculos Daguao'!$B$19*(G106)*'Cálculos Daguao'!$F$19)/'Cálculos Daguao'!$H$20)+(('Cálculos Daguao'!$L$19*(G108)*'Cálculos Daguao'!$P$19)/'Cálculos Daguao'!$R$20)</f>
        <v>0.81799620336000012</v>
      </c>
      <c r="H110" s="544">
        <f>(('Cálculos Daguao'!$B$19*(H106)*'Cálculos Daguao'!$F$19)/'Cálculos Daguao'!$H$20)+(('Cálculos Daguao'!$L$19*(H108)*'Cálculos Daguao'!$P$19)/'Cálculos Daguao'!$R$20)</f>
        <v>0.15025075127999998</v>
      </c>
      <c r="I110" s="544">
        <f>(('Cálculos Daguao'!$B$19*(I106)*'Cálculos Daguao'!$F$19)/'Cálculos Daguao'!$H$20)+(('Cálculos Daguao'!$L$19*(I108)*'Cálculos Daguao'!$P$19)/'Cálculos Daguao'!$R$20)</f>
        <v>9.5054284080000023E-2</v>
      </c>
      <c r="J110" s="544">
        <f>(('Cálculos Daguao'!$B$19*(J106)*'Cálculos Daguao'!$F$19)/'Cálculos Daguao'!$H$20)+(('Cálculos Daguao'!$L$19*(J108)*'Cálculos Daguao'!$P$19)/'Cálculos Daguao'!$R$20)</f>
        <v>0.31159469880000007</v>
      </c>
      <c r="K110" s="544">
        <f>(('Cálculos Daguao'!$B$19*(K106)*'Cálculos Daguao'!$F$19)/'Cálculos Daguao'!$H$20)+(('Cálculos Daguao'!$L$19*(K108)*'Cálculos Daguao'!$P$19)/'Cálculos Daguao'!$R$20)</f>
        <v>0.28805030352000005</v>
      </c>
      <c r="L110" s="544">
        <f>(('Cálculos Daguao'!$B$19*(L106)*'Cálculos Daguao'!$F$19)/'Cálculos Daguao'!$H$20)+(('Cálculos Daguao'!$L$19*(L108)*'Cálculos Daguao'!$P$19)/'Cálculos Daguao'!$R$20)</f>
        <v>0.25603343136000001</v>
      </c>
      <c r="M110" s="544">
        <f>(('Cálculos Daguao'!$B$19*(M106)*'Cálculos Daguao'!$F$19)/'Cálculos Daguao'!$H$20)+(('Cálculos Daguao'!$L$19*(M108)*'Cálculos Daguao'!$P$19)/'Cálculos Daguao'!$R$20)</f>
        <v>5.9291341200000014E-2</v>
      </c>
      <c r="N110" s="544">
        <f>(('Cálculos Daguao'!$B$19*(N106)*'Cálculos Daguao'!$F$19)/'Cálculos Daguao'!$H$20)+(('Cálculos Daguao'!$L$19*(N108)*'Cálculos Daguao'!$P$19)/'Cálculos Daguao'!$R$20)</f>
        <v>0.11461439304000003</v>
      </c>
      <c r="O110" s="562">
        <f t="shared" ref="O110:O116" si="19">SUM(C110:N110)</f>
        <v>3.7115979667200003</v>
      </c>
    </row>
    <row r="111" spans="1:15" ht="21.75" customHeight="1" x14ac:dyDescent="0.2">
      <c r="A111" s="543" t="s">
        <v>365</v>
      </c>
      <c r="B111" s="543" t="s">
        <v>94</v>
      </c>
      <c r="C111" s="544">
        <f>(((1.01*C107)*(C106)*'Cálculos Daguao'!$F$28)/'Cálculos Daguao'!$H$29)+(((1.01*C109)*(C108)*'Cálculos Daguao'!$P$28)/'Cálculos Daguao'!$R$29)</f>
        <v>0.38425861756800006</v>
      </c>
      <c r="D111" s="544">
        <f>(((1.01*D107)*(D106)*'Cálculos Daguao'!$F$28)/'Cálculos Daguao'!$H$29)+(((1.01*D109)*(D108)*'Cálculos Daguao'!$P$28)/'Cálculos Daguao'!$R$29)</f>
        <v>0.26233204599000004</v>
      </c>
      <c r="E111" s="544">
        <f>(((1.01*E107)*(E106)*'Cálculos Daguao'!$F$28)/'Cálculos Daguao'!$H$29)+(((1.01*E109)*(E108)*'Cálculos Daguao'!$P$28)/'Cálculos Daguao'!$R$29)</f>
        <v>0.26754909514199998</v>
      </c>
      <c r="F111" s="544">
        <f>(((1.01*F107)*(F106)*'Cálculos Daguao'!$F$28)/'Cálculos Daguao'!$H$29)+(((1.01*F109)*(F108)*'Cálculos Daguao'!$P$28)/'Cálculos Daguao'!$R$29)</f>
        <v>0.44827664603400008</v>
      </c>
      <c r="G111" s="544">
        <f>(((1.01*G107)*(G106)*'Cálculos Daguao'!$F$28)/'Cálculos Daguao'!$H$29)+(((1.01*G109)*(G108)*'Cálculos Daguao'!$P$28)/'Cálculos Daguao'!$R$29)</f>
        <v>0.68848013782799999</v>
      </c>
      <c r="H111" s="544">
        <f>(((1.01*H107)*(H106)*'Cálculos Daguao'!$F$28)/'Cálculos Daguao'!$H$29)+(((1.01*H109)*(H108)*'Cálculos Daguao'!$P$28)/'Cálculos Daguao'!$R$29)</f>
        <v>0.12646104899399999</v>
      </c>
      <c r="I111" s="544">
        <f>(((1.01*I107)*(I106)*'Cálculos Daguao'!$F$28)/'Cálculos Daguao'!$H$29)+(((1.01*I109)*(I108)*'Cálculos Daguao'!$P$28)/'Cálculos Daguao'!$R$29)</f>
        <v>8.0004022434000011E-2</v>
      </c>
      <c r="J111" s="544">
        <f>(((1.01*J107)*(J106)*'Cálculos Daguao'!$F$28)/'Cálculos Daguao'!$H$29)+(((1.01*J109)*(J108)*'Cálculos Daguao'!$P$28)/'Cálculos Daguao'!$R$29)</f>
        <v>0.26225887148999999</v>
      </c>
      <c r="K111" s="544">
        <f>(((1.01*K107)*(K106)*'Cálculos Daguao'!$F$28)/'Cálculos Daguao'!$H$29)+(((1.01*K109)*(K108)*'Cálculos Daguao'!$P$28)/'Cálculos Daguao'!$R$29)</f>
        <v>0.24244233879600002</v>
      </c>
      <c r="L111" s="544">
        <f>(((1.01*L107)*(L106)*'Cálculos Daguao'!$F$28)/'Cálculos Daguao'!$H$29)+(((1.01*L109)*(L108)*'Cálculos Daguao'!$P$28)/'Cálculos Daguao'!$R$29)</f>
        <v>0.21549480472800003</v>
      </c>
      <c r="M111" s="544">
        <f>(((1.01*M107)*(M106)*'Cálculos Daguao'!$F$28)/'Cálculos Daguao'!$H$29)+(((1.01*M109)*(M108)*'Cálculos Daguao'!$P$28)/'Cálculos Daguao'!$R$29)</f>
        <v>4.9903545510000008E-2</v>
      </c>
      <c r="N111" s="544">
        <f>(((1.01*N107)*(N106)*'Cálculos Daguao'!$F$28)/'Cálculos Daguao'!$H$29)+(((1.01*N109)*(N108)*'Cálculos Daguao'!$P$28)/'Cálculos Daguao'!$R$29)</f>
        <v>9.6467114142000016E-2</v>
      </c>
      <c r="O111" s="562">
        <f t="shared" si="19"/>
        <v>3.1239282886559998</v>
      </c>
    </row>
    <row r="112" spans="1:15" ht="21.75" customHeight="1" x14ac:dyDescent="0.2">
      <c r="A112" s="543" t="s">
        <v>20</v>
      </c>
      <c r="B112" s="543" t="s">
        <v>94</v>
      </c>
      <c r="C112" s="544">
        <f>(('Cálculos Daguao'!$B$37*(C106)*'Cálculos Daguao'!$F$37)/'Cálculos Daguao'!$H$38)+(('Cálculos Daguao'!$L$37*(C108)*'Cálculos Daguao'!$P$37)/'Cálculos Daguao'!$R$38)</f>
        <v>33.479958758400002</v>
      </c>
      <c r="D112" s="544">
        <f>(('Cálculos Daguao'!$B$37*(D106)*'Cálculos Daguao'!$F$37)/'Cálculos Daguao'!$H$38)+(('Cálculos Daguao'!$L$37*(D108)*'Cálculos Daguao'!$P$37)/'Cálculos Daguao'!$R$38)</f>
        <v>22.856653512000001</v>
      </c>
      <c r="E112" s="544">
        <f>(('Cálculos Daguao'!$B$37*(E106)*'Cálculos Daguao'!$F$37)/'Cálculos Daguao'!$H$38)+(('Cálculos Daguao'!$L$37*(E108)*'Cálculos Daguao'!$P$37)/'Cálculos Daguao'!$R$38)</f>
        <v>23.3112082896</v>
      </c>
      <c r="F112" s="544">
        <f>(('Cálculos Daguao'!$B$37*(F106)*'Cálculos Daguao'!$F$37)/'Cálculos Daguao'!$H$38)+(('Cálculos Daguao'!$L$37*(F108)*'Cálculos Daguao'!$P$37)/'Cálculos Daguao'!$R$38)</f>
        <v>39.057767179199999</v>
      </c>
      <c r="G112" s="544">
        <f>(('Cálculos Daguao'!$B$37*(G106)*'Cálculos Daguao'!$F$37)/'Cálculos Daguao'!$H$38)+(('Cálculos Daguao'!$L$37*(G108)*'Cálculos Daguao'!$P$37)/'Cálculos Daguao'!$R$38)</f>
        <v>59.986388246400004</v>
      </c>
      <c r="H112" s="544">
        <f>(('Cálculos Daguao'!$B$37*(H106)*'Cálculos Daguao'!$F$37)/'Cálculos Daguao'!$H$38)+(('Cálculos Daguao'!$L$37*(H108)*'Cálculos Daguao'!$P$37)/'Cálculos Daguao'!$R$38)</f>
        <v>11.018388427199998</v>
      </c>
      <c r="I112" s="544">
        <f>(('Cálculos Daguao'!$B$37*(I106)*'Cálculos Daguao'!$F$37)/'Cálculos Daguao'!$H$38)+(('Cálculos Daguao'!$L$37*(I108)*'Cálculos Daguao'!$P$37)/'Cálculos Daguao'!$R$38)</f>
        <v>6.9706474992</v>
      </c>
      <c r="J112" s="544">
        <f>(('Cálculos Daguao'!$B$37*(J106)*'Cálculos Daguao'!$F$37)/'Cálculos Daguao'!$H$38)+(('Cálculos Daguao'!$L$37*(J108)*'Cálculos Daguao'!$P$37)/'Cálculos Daguao'!$R$38)</f>
        <v>22.850277912000003</v>
      </c>
      <c r="K112" s="544">
        <f>(('Cálculos Daguao'!$B$37*(K106)*'Cálculos Daguao'!$F$37)/'Cálculos Daguao'!$H$38)+(('Cálculos Daguao'!$L$37*(K108)*'Cálculos Daguao'!$P$37)/'Cálculos Daguao'!$R$38)</f>
        <v>21.1236889248</v>
      </c>
      <c r="L112" s="544">
        <f>(('Cálculos Daguao'!$B$37*(L106)*'Cálculos Daguao'!$F$37)/'Cálculos Daguao'!$H$38)+(('Cálculos Daguao'!$L$37*(L108)*'Cálculos Daguao'!$P$37)/'Cálculos Daguao'!$R$38)</f>
        <v>18.7757849664</v>
      </c>
      <c r="M112" s="544">
        <f>(('Cálculos Daguao'!$B$37*(M106)*'Cálculos Daguao'!$F$37)/'Cálculos Daguao'!$H$38)+(('Cálculos Daguao'!$L$37*(M108)*'Cálculos Daguao'!$P$37)/'Cálculos Daguao'!$R$38)</f>
        <v>4.3480316880000007</v>
      </c>
      <c r="N112" s="544">
        <f>(('Cálculos Daguao'!$B$37*(N106)*'Cálculos Daguao'!$F$37)/'Cálculos Daguao'!$H$38)+(('Cálculos Daguao'!$L$37*(N108)*'Cálculos Daguao'!$P$37)/'Cálculos Daguao'!$R$38)</f>
        <v>8.4050554896000023</v>
      </c>
      <c r="O112" s="562">
        <f t="shared" si="19"/>
        <v>272.18385089279997</v>
      </c>
    </row>
    <row r="113" spans="1:15" ht="21.75" customHeight="1" x14ac:dyDescent="0.2">
      <c r="A113" s="543" t="s">
        <v>22</v>
      </c>
      <c r="B113" s="543" t="s">
        <v>94</v>
      </c>
      <c r="C113" s="544">
        <f>(('Cálculos Daguao'!$B$46*(C106)*'Cálculos Daguao'!$F$46)/'Cálculos Daguao'!$H$47)+(('Cálculos Daguao'!$L$46*(C108)*'Cálculos Daguao'!$P$46)/'Cálculos Daguao'!$R$47)</f>
        <v>1.5598617148800002E-2</v>
      </c>
      <c r="D113" s="544">
        <f>(('Cálculos Daguao'!$B$46*(D106)*'Cálculos Daguao'!$F$46)/'Cálculos Daguao'!$H$47)+(('Cálculos Daguao'!$L$46*(D108)*'Cálculos Daguao'!$P$46)/'Cálculos Daguao'!$R$47)</f>
        <v>1.0649122659000001E-2</v>
      </c>
      <c r="E113" s="544">
        <f>(('Cálculos Daguao'!$B$46*(E106)*'Cálculos Daguao'!$F$46)/'Cálculos Daguao'!$H$47)+(('Cálculos Daguao'!$L$46*(E108)*'Cálculos Daguao'!$P$46)/'Cálculos Daguao'!$R$47)</f>
        <v>1.0860903862200001E-2</v>
      </c>
      <c r="F113" s="544">
        <f>(('Cálculos Daguao'!$B$46*(F106)*'Cálculos Daguao'!$F$46)/'Cálculos Daguao'!$H$47)+(('Cálculos Daguao'!$L$46*(F108)*'Cálculos Daguao'!$P$46)/'Cálculos Daguao'!$R$47)</f>
        <v>1.81973687994E-2</v>
      </c>
      <c r="G113" s="544">
        <f>(('Cálculos Daguao'!$B$46*(G106)*'Cálculos Daguao'!$F$46)/'Cálculos Daguao'!$H$47)+(('Cálculos Daguao'!$L$46*(G108)*'Cálculos Daguao'!$P$46)/'Cálculos Daguao'!$R$47)</f>
        <v>2.79482036148E-2</v>
      </c>
      <c r="H113" s="544">
        <f>(('Cálculos Daguao'!$B$46*(H106)*'Cálculos Daguao'!$F$46)/'Cálculos Daguao'!$H$47)+(('Cálculos Daguao'!$L$46*(H108)*'Cálculos Daguao'!$P$46)/'Cálculos Daguao'!$R$47)</f>
        <v>5.1335673353999998E-3</v>
      </c>
      <c r="I113" s="544">
        <f>(('Cálculos Daguao'!$B$46*(I106)*'Cálculos Daguao'!$F$46)/'Cálculos Daguao'!$H$47)+(('Cálculos Daguao'!$L$46*(I108)*'Cálculos Daguao'!$P$46)/'Cálculos Daguao'!$R$47)</f>
        <v>3.2476880394000001E-3</v>
      </c>
      <c r="J113" s="544">
        <f>(('Cálculos Daguao'!$B$46*(J106)*'Cálculos Daguao'!$F$46)/'Cálculos Daguao'!$H$47)+(('Cálculos Daguao'!$L$46*(J108)*'Cálculos Daguao'!$P$46)/'Cálculos Daguao'!$R$47)</f>
        <v>1.0646152209E-2</v>
      </c>
      <c r="K113" s="544">
        <f>(('Cálculos Daguao'!$B$46*(K106)*'Cálculos Daguao'!$F$46)/'Cálculos Daguao'!$H$47)+(('Cálculos Daguao'!$L$46*(K108)*'Cálculos Daguao'!$P$46)/'Cálculos Daguao'!$R$47)</f>
        <v>9.8417187036000005E-3</v>
      </c>
      <c r="L113" s="544">
        <f>(('Cálculos Daguao'!$B$46*(L106)*'Cálculos Daguao'!$F$46)/'Cálculos Daguao'!$H$47)+(('Cálculos Daguao'!$L$46*(L108)*'Cálculos Daguao'!$P$46)/'Cálculos Daguao'!$R$47)</f>
        <v>8.7478089048000016E-3</v>
      </c>
      <c r="M113" s="544">
        <f>(('Cálculos Daguao'!$B$46*(M106)*'Cálculos Daguao'!$F$46)/'Cálculos Daguao'!$H$47)+(('Cálculos Daguao'!$L$46*(M108)*'Cálculos Daguao'!$P$46)/'Cálculos Daguao'!$R$47)</f>
        <v>2.0257874910000005E-3</v>
      </c>
      <c r="N113" s="544">
        <f>(('Cálculos Daguao'!$B$46*(N106)*'Cálculos Daguao'!$F$46)/'Cálculos Daguao'!$H$47)+(('Cálculos Daguao'!$L$46*(N108)*'Cálculos Daguao'!$P$46)/'Cálculos Daguao'!$R$47)</f>
        <v>3.9159917622000008E-3</v>
      </c>
      <c r="O113" s="562">
        <f t="shared" si="19"/>
        <v>0.12681293052959999</v>
      </c>
    </row>
    <row r="114" spans="1:15" ht="21.75" customHeight="1" x14ac:dyDescent="0.2">
      <c r="A114" s="543" t="s">
        <v>21</v>
      </c>
      <c r="B114" s="543" t="s">
        <v>94</v>
      </c>
      <c r="C114" s="544">
        <f>(('Cálculos Daguao'!$B$59*(C106)*'Cálculos Daguao'!$F$59)/'Cálculos Daguao'!$H$60)+(('Cálculos Daguao'!$L$59*(C108)*'Cálculos Daguao'!$P$59)/'Cálculos Daguao'!$R$60)</f>
        <v>0.12554984534399999</v>
      </c>
      <c r="D114" s="544">
        <f>(('Cálculos Daguao'!$B$59*(D106)*'Cálculos Daguao'!$F$59)/'Cálculos Daguao'!$H$60)+(('Cálculos Daguao'!$L$59*(D108)*'Cálculos Daguao'!$P$59)/'Cálculos Daguao'!$R$60)</f>
        <v>8.5712450670000009E-2</v>
      </c>
      <c r="E114" s="544">
        <f>(('Cálculos Daguao'!$B$59*(E106)*'Cálculos Daguao'!$F$59)/'Cálculos Daguao'!$H$60)+(('Cálculos Daguao'!$L$59*(E108)*'Cálculos Daguao'!$P$59)/'Cálculos Daguao'!$R$60)</f>
        <v>8.7417031086000019E-2</v>
      </c>
      <c r="F114" s="544">
        <f>(('Cálculos Daguao'!$B$59*(F106)*'Cálculos Daguao'!$F$59)/'Cálculos Daguao'!$H$60)+(('Cálculos Daguao'!$L$59*(F108)*'Cálculos Daguao'!$P$59)/'Cálculos Daguao'!$R$60)</f>
        <v>0.14646662692200002</v>
      </c>
      <c r="G114" s="544">
        <f>(('Cálculos Daguao'!$B$59*(G106)*'Cálculos Daguao'!$F$59)/'Cálculos Daguao'!$H$60)+(('Cálculos Daguao'!$L$59*(G108)*'Cálculos Daguao'!$P$59)/'Cálculos Daguao'!$R$60)</f>
        <v>0.22494895592399999</v>
      </c>
      <c r="H114" s="544">
        <f>(('Cálculos Daguao'!$B$59*(H106)*'Cálculos Daguao'!$F$59)/'Cálculos Daguao'!$H$60)+(('Cálculos Daguao'!$L$59*(H108)*'Cálculos Daguao'!$P$59)/'Cálculos Daguao'!$R$60)</f>
        <v>4.1318956602000002E-2</v>
      </c>
      <c r="I114" s="544">
        <f>(('Cálculos Daguao'!$B$59*(I106)*'Cálculos Daguao'!$F$59)/'Cálculos Daguao'!$H$60)+(('Cálculos Daguao'!$L$59*(I108)*'Cálculos Daguao'!$P$59)/'Cálculos Daguao'!$R$60)</f>
        <v>2.6139928122000004E-2</v>
      </c>
      <c r="J114" s="544">
        <f>(('Cálculos Daguao'!$B$59*(J106)*'Cálculos Daguao'!$F$59)/'Cálculos Daguao'!$H$60)+(('Cálculos Daguao'!$L$59*(J108)*'Cálculos Daguao'!$P$59)/'Cálculos Daguao'!$R$60)</f>
        <v>8.5688542170000007E-2</v>
      </c>
      <c r="K114" s="544">
        <f>(('Cálculos Daguao'!$B$59*(K106)*'Cálculos Daguao'!$F$59)/'Cálculos Daguao'!$H$60)+(('Cálculos Daguao'!$L$59*(K108)*'Cálculos Daguao'!$P$59)/'Cálculos Daguao'!$R$60)</f>
        <v>7.9213833468000011E-2</v>
      </c>
      <c r="L114" s="544">
        <f>(('Cálculos Daguao'!$B$59*(L106)*'Cálculos Daguao'!$F$59)/'Cálculos Daguao'!$H$60)+(('Cálculos Daguao'!$L$59*(L108)*'Cálculos Daguao'!$P$59)/'Cálculos Daguao'!$R$60)</f>
        <v>7.0409193624000013E-2</v>
      </c>
      <c r="M114" s="544">
        <f>(('Cálculos Daguao'!$B$59*(M106)*'Cálculos Daguao'!$F$59)/'Cálculos Daguao'!$H$60)+(('Cálculos Daguao'!$L$59*(M108)*'Cálculos Daguao'!$P$59)/'Cálculos Daguao'!$R$60)</f>
        <v>1.6305118830000007E-2</v>
      </c>
      <c r="N114" s="544">
        <f>(('Cálculos Daguao'!$B$59*(N106)*'Cálculos Daguao'!$F$59)/'Cálculos Daguao'!$H$60)+(('Cálculos Daguao'!$L$59*(N108)*'Cálculos Daguao'!$P$59)/'Cálculos Daguao'!$R$60)</f>
        <v>3.1518958086000005E-2</v>
      </c>
      <c r="O114" s="562">
        <f t="shared" si="19"/>
        <v>1.0206894408480001</v>
      </c>
    </row>
    <row r="115" spans="1:15" ht="21.75" customHeight="1" x14ac:dyDescent="0.2">
      <c r="A115" s="543" t="s">
        <v>23</v>
      </c>
      <c r="B115" s="543" t="s">
        <v>94</v>
      </c>
      <c r="C115" s="549">
        <f>(('Cálculos Daguao'!$B$68*(C106)*'Cálculos Daguao'!$F$68)/'Cálculos Daguao'!$H$69)+(('Cálculos Daguao'!$L$68*(C108)*'Cálculos Daguao'!$P$68)/'Cálculos Daguao'!$R$69)</f>
        <v>5.3263570752000011E-4</v>
      </c>
      <c r="D115" s="549">
        <f>(('Cálculos Daguao'!$B$68*(D106)*'Cálculos Daguao'!$F$68)/'Cálculos Daguao'!$H$69)+(('Cálculos Daguao'!$L$68*(D108)*'Cálculos Daguao'!$P$68)/'Cálculos Daguao'!$R$69)</f>
        <v>3.6362857860000001E-4</v>
      </c>
      <c r="E115" s="549">
        <f>(('Cálculos Daguao'!$B$68*(E106)*'Cálculos Daguao'!$F$68)/'Cálculos Daguao'!$H$69)+(('Cálculos Daguao'!$L$68*(E108)*'Cálculos Daguao'!$P$68)/'Cálculos Daguao'!$R$69)</f>
        <v>3.7086013188000007E-4</v>
      </c>
      <c r="F115" s="549">
        <f>(('Cálculos Daguao'!$B$68*(F106)*'Cálculos Daguao'!$F$68)/'Cálculos Daguao'!$H$69)+(('Cálculos Daguao'!$L$68*(F108)*'Cálculos Daguao'!$P$68)/'Cálculos Daguao'!$R$69)</f>
        <v>6.2137356875999997E-4</v>
      </c>
      <c r="G115" s="549">
        <f>(('Cálculos Daguao'!$B$68*(G106)*'Cálculos Daguao'!$F$68)/'Cálculos Daguao'!$H$69)+(('Cálculos Daguao'!$L$68*(G108)*'Cálculos Daguao'!$P$68)/'Cálculos Daguao'!$R$69)</f>
        <v>9.543289039200001E-4</v>
      </c>
      <c r="H115" s="549">
        <f>(('Cálculos Daguao'!$B$68*(H106)*'Cálculos Daguao'!$F$68)/'Cálculos Daguao'!$H$69)+(('Cálculos Daguao'!$L$68*(H108)*'Cálculos Daguao'!$P$68)/'Cálculos Daguao'!$R$69)</f>
        <v>1.7529254316000001E-4</v>
      </c>
      <c r="I115" s="549">
        <f>(('Cálculos Daguao'!$B$68*(I106)*'Cálculos Daguao'!$F$68)/'Cálculos Daguao'!$H$69)+(('Cálculos Daguao'!$L$68*(I108)*'Cálculos Daguao'!$P$68)/'Cálculos Daguao'!$R$69)</f>
        <v>1.1089666475999999E-4</v>
      </c>
      <c r="J115" s="549">
        <f>(('Cálculos Daguao'!$B$68*(J106)*'Cálculos Daguao'!$F$68)/'Cálculos Daguao'!$H$69)+(('Cálculos Daguao'!$L$68*(J108)*'Cálculos Daguao'!$P$68)/'Cálculos Daguao'!$R$69)</f>
        <v>3.6352714859999997E-4</v>
      </c>
      <c r="K115" s="549">
        <f>(('Cálculos Daguao'!$B$68*(K106)*'Cálculos Daguao'!$F$68)/'Cálculos Daguao'!$H$69)+(('Cálculos Daguao'!$L$68*(K108)*'Cálculos Daguao'!$P$68)/'Cálculos Daguao'!$R$69)</f>
        <v>3.3605868744000008E-4</v>
      </c>
      <c r="L115" s="549">
        <f>(('Cálculos Daguao'!$B$68*(L106)*'Cálculos Daguao'!$F$68)/'Cálculos Daguao'!$H$69)+(('Cálculos Daguao'!$L$68*(L108)*'Cálculos Daguao'!$P$68)/'Cálculos Daguao'!$R$69)</f>
        <v>2.9870566992000003E-4</v>
      </c>
      <c r="M115" s="549">
        <f>(('Cálculos Daguao'!$B$68*(M106)*'Cálculos Daguao'!$F$68)/'Cálculos Daguao'!$H$69)+(('Cálculos Daguao'!$L$68*(M108)*'Cálculos Daguao'!$P$68)/'Cálculos Daguao'!$R$69)</f>
        <v>6.9173231400000015E-5</v>
      </c>
      <c r="N115" s="549">
        <f>(('Cálculos Daguao'!$B$68*(N106)*'Cálculos Daguao'!$F$68)/'Cálculos Daguao'!$H$69)+(('Cálculos Daguao'!$L$68*(N108)*'Cálculos Daguao'!$P$68)/'Cálculos Daguao'!$R$69)</f>
        <v>1.3371679188000003E-4</v>
      </c>
      <c r="O115" s="563">
        <f t="shared" si="19"/>
        <v>4.3301976278400014E-3</v>
      </c>
    </row>
    <row r="116" spans="1:15" ht="21.75" customHeight="1" x14ac:dyDescent="0.2">
      <c r="A116" s="543" t="s">
        <v>24</v>
      </c>
      <c r="B116" s="543" t="s">
        <v>94</v>
      </c>
      <c r="C116" s="544">
        <f>('Cálculos Daguao'!$B$77*((C106))/'Cálculos Daguao'!$F$78)+('Cálculos Daguao'!$L$77*((C108))/'Cálculos Daguao'!$P$78)</f>
        <v>6224.6754819321814</v>
      </c>
      <c r="D116" s="544">
        <f>('Cálculos Daguao'!$B$77*((D106))/'Cálculos Daguao'!$F$78)+('Cálculos Daguao'!$L$77*((D108))/'Cálculos Daguao'!$P$78)</f>
        <v>4249.564694564302</v>
      </c>
      <c r="E116" s="544">
        <f>('Cálculos Daguao'!$B$77*((E106))/'Cálculos Daguao'!$F$78)+('Cálculos Daguao'!$L$77*((E108))/'Cálculos Daguao'!$P$78)</f>
        <v>4334.0766260078235</v>
      </c>
      <c r="F116" s="544">
        <f>('Cálculos Daguao'!$B$77*((F106))/'Cálculos Daguao'!$F$78)+('Cálculos Daguao'!$L$77*((F108))/'Cálculos Daguao'!$P$78)</f>
        <v>7261.7152098009474</v>
      </c>
      <c r="G116" s="544">
        <f>('Cálculos Daguao'!$B$77*((G106))/'Cálculos Daguao'!$F$78)+('Cálculos Daguao'!$L$77*((G108))/'Cálculos Daguao'!$P$78)</f>
        <v>11152.815415979187</v>
      </c>
      <c r="H116" s="544">
        <f>('Cálculos Daguao'!$B$77*((H106))/'Cálculos Daguao'!$F$78)+('Cálculos Daguao'!$L$77*((H108))/'Cálculos Daguao'!$P$78)</f>
        <v>2048.5656146750534</v>
      </c>
      <c r="I116" s="544">
        <f>('Cálculos Daguao'!$B$77*((I106))/'Cálculos Daguao'!$F$78)+('Cálculos Daguao'!$L$77*((I108))/'Cálculos Daguao'!$P$78)</f>
        <v>1295.9997619643339</v>
      </c>
      <c r="J116" s="544">
        <f>('Cálculos Daguao'!$B$77*((J106))/'Cálculos Daguao'!$F$78)+('Cálculos Daguao'!$L$77*((J108))/'Cálculos Daguao'!$P$78)</f>
        <v>4248.3793274827885</v>
      </c>
      <c r="K116" s="544">
        <f>('Cálculos Daguao'!$B$77*((K106))/'Cálculos Daguao'!$F$78)+('Cálculos Daguao'!$L$77*((K108))/'Cálculos Daguao'!$P$78)</f>
        <v>3927.3676974041987</v>
      </c>
      <c r="L116" s="544">
        <f>('Cálculos Daguao'!$B$77*((L106))/'Cálculos Daguao'!$F$78)+('Cálculos Daguao'!$L$77*((L108))/'Cálculos Daguao'!$P$78)</f>
        <v>3490.8396744980428</v>
      </c>
      <c r="M116" s="544">
        <f>('Cálculos Daguao'!$B$77*((M106))/'Cálculos Daguao'!$F$78)+('Cálculos Daguao'!$L$77*((M108))/'Cálculos Daguao'!$P$78)</f>
        <v>808.39664224996318</v>
      </c>
      <c r="N116" s="544">
        <f>('Cálculos Daguao'!$B$77*((N106))/'Cálculos Daguao'!$F$78)+('Cálculos Daguao'!$L$77*((N108))/'Cálculos Daguao'!$P$78)</f>
        <v>1562.6883894313651</v>
      </c>
      <c r="O116" s="562">
        <f t="shared" si="19"/>
        <v>50605.084535990187</v>
      </c>
    </row>
    <row r="117" spans="1:15" ht="21.75" customHeight="1" x14ac:dyDescent="0.2">
      <c r="A117" s="626" t="s">
        <v>49</v>
      </c>
      <c r="B117" s="626"/>
      <c r="C117" s="555"/>
      <c r="D117" s="555"/>
      <c r="E117" s="555"/>
      <c r="F117" s="555"/>
      <c r="G117" s="555"/>
      <c r="H117" s="555"/>
      <c r="I117" s="555"/>
      <c r="J117" s="626"/>
      <c r="K117" s="626"/>
      <c r="L117" s="555"/>
      <c r="M117" s="555"/>
      <c r="N117" s="555"/>
      <c r="O117" s="555"/>
    </row>
    <row r="118" spans="1:15" ht="21.75" hidden="1" customHeight="1" x14ac:dyDescent="0.2">
      <c r="A118" s="543" t="s">
        <v>403</v>
      </c>
      <c r="B118" s="543" t="s">
        <v>92</v>
      </c>
      <c r="C118" s="556">
        <f>Turbinas!$J$6*42</f>
        <v>0</v>
      </c>
      <c r="D118" s="556">
        <f>Turbinas!$J$7*42</f>
        <v>0</v>
      </c>
      <c r="E118" s="556">
        <f>Turbinas!$J$8*42</f>
        <v>0</v>
      </c>
      <c r="F118" s="556">
        <f>Turbinas!$J$9*42</f>
        <v>0</v>
      </c>
      <c r="G118" s="556">
        <f>Turbinas!$J$10*42</f>
        <v>0</v>
      </c>
      <c r="H118" s="556">
        <f>Turbinas!$J$11*42</f>
        <v>0</v>
      </c>
      <c r="I118" s="556">
        <f>Turbinas!$J$12*42</f>
        <v>0</v>
      </c>
      <c r="J118" s="556">
        <f>Turbinas!$J$13*42</f>
        <v>0</v>
      </c>
      <c r="K118" s="556">
        <f>Turbinas!$J$14*42</f>
        <v>0</v>
      </c>
      <c r="L118" s="556">
        <f>Turbinas!$J$15*42</f>
        <v>0</v>
      </c>
      <c r="M118" s="556">
        <f>Turbinas!$J$16*42</f>
        <v>0</v>
      </c>
      <c r="N118" s="556">
        <f>Turbinas!$J$17*42</f>
        <v>0</v>
      </c>
      <c r="O118" s="564">
        <f>SUM(C118:N118)</f>
        <v>0</v>
      </c>
    </row>
    <row r="119" spans="1:15" ht="21.75" hidden="1" customHeight="1" x14ac:dyDescent="0.2">
      <c r="A119" s="543" t="s">
        <v>404</v>
      </c>
      <c r="B119" s="543" t="s">
        <v>371</v>
      </c>
      <c r="C119" s="560">
        <f>Turbinas!$AE$6</f>
        <v>0.01</v>
      </c>
      <c r="D119" s="560">
        <f>Turbinas!$AE$7</f>
        <v>0.01</v>
      </c>
      <c r="E119" s="560">
        <f>Turbinas!$AE$8</f>
        <v>0.01</v>
      </c>
      <c r="F119" s="560">
        <f>Turbinas!$AE$9</f>
        <v>0.01</v>
      </c>
      <c r="G119" s="560">
        <f>Turbinas!$AE$10</f>
        <v>0.01</v>
      </c>
      <c r="H119" s="560">
        <f>Turbinas!$AE$11</f>
        <v>0.01</v>
      </c>
      <c r="I119" s="560">
        <f>Turbinas!$AE$12</f>
        <v>0.01</v>
      </c>
      <c r="J119" s="560">
        <f>Turbinas!$AE$13</f>
        <v>0.01</v>
      </c>
      <c r="K119" s="560">
        <f>Turbinas!$AE$14</f>
        <v>0.01</v>
      </c>
      <c r="L119" s="560">
        <f>Turbinas!$AE$15</f>
        <v>0.01</v>
      </c>
      <c r="M119" s="560">
        <f>Turbinas!$AE$16</f>
        <v>0.01</v>
      </c>
      <c r="N119" s="560">
        <f>Turbinas!$AE$17</f>
        <v>0.01</v>
      </c>
      <c r="O119" s="565">
        <f>IF(O118=0,0,SUMPRODUCT(C119:N119,C118:N118)/O118)</f>
        <v>0</v>
      </c>
    </row>
    <row r="120" spans="1:15" ht="21.75" hidden="1" customHeight="1" x14ac:dyDescent="0.2">
      <c r="A120" s="543" t="s">
        <v>393</v>
      </c>
      <c r="B120" s="543" t="s">
        <v>92</v>
      </c>
      <c r="C120" s="556">
        <f>Turbinas!$K$6*42</f>
        <v>181121.64</v>
      </c>
      <c r="D120" s="556">
        <f>Turbinas!$K$7*42</f>
        <v>126716.52</v>
      </c>
      <c r="E120" s="556">
        <f>Turbinas!$K$8*42</f>
        <v>109584.3</v>
      </c>
      <c r="F120" s="556">
        <f>Turbinas!$K$9*42</f>
        <v>213150</v>
      </c>
      <c r="G120" s="556">
        <f>Turbinas!$K$10*42</f>
        <v>393182.16</v>
      </c>
      <c r="H120" s="556">
        <f>Turbinas!$K$11*42</f>
        <v>132192.06</v>
      </c>
      <c r="I120" s="556">
        <f>Turbinas!$K$12*42</f>
        <v>69763.679999999993</v>
      </c>
      <c r="J120" s="556">
        <f>Turbinas!$K$13*42</f>
        <v>300137.46000000002</v>
      </c>
      <c r="K120" s="556">
        <f>Turbinas!$K$14*42</f>
        <v>266540.39999999997</v>
      </c>
      <c r="L120" s="556">
        <f>Turbinas!$K$15*42</f>
        <v>160618.92000000001</v>
      </c>
      <c r="M120" s="556">
        <f>Turbinas!$K$16*42</f>
        <v>38978.94</v>
      </c>
      <c r="N120" s="556">
        <f>Turbinas!$K$17*42</f>
        <v>51187.08</v>
      </c>
      <c r="O120" s="564">
        <f>SUM(C120:N120)</f>
        <v>2043173.1599999997</v>
      </c>
    </row>
    <row r="121" spans="1:15" ht="21.75" hidden="1" customHeight="1" x14ac:dyDescent="0.2">
      <c r="A121" s="543" t="s">
        <v>405</v>
      </c>
      <c r="B121" s="543" t="s">
        <v>371</v>
      </c>
      <c r="C121" s="560">
        <f>Turbinas!$AF$6</f>
        <v>0.01</v>
      </c>
      <c r="D121" s="560">
        <f>Turbinas!$AF$7</f>
        <v>0.01</v>
      </c>
      <c r="E121" s="560">
        <f>Turbinas!$AF$8</f>
        <v>0.01</v>
      </c>
      <c r="F121" s="560">
        <f>Turbinas!$AF$9</f>
        <v>0.01</v>
      </c>
      <c r="G121" s="560">
        <f>Turbinas!$AF$10</f>
        <v>0.01</v>
      </c>
      <c r="H121" s="560">
        <f>Turbinas!$AF$11</f>
        <v>0.01</v>
      </c>
      <c r="I121" s="560">
        <f>Turbinas!$AF$12</f>
        <v>0.01</v>
      </c>
      <c r="J121" s="560">
        <f>Turbinas!$AF$13</f>
        <v>0.01</v>
      </c>
      <c r="K121" s="560">
        <f>Turbinas!$AF$14</f>
        <v>0.01</v>
      </c>
      <c r="L121" s="560">
        <f>Turbinas!$AF$15</f>
        <v>0.01</v>
      </c>
      <c r="M121" s="560">
        <f>Turbinas!$AF$16</f>
        <v>0.01</v>
      </c>
      <c r="N121" s="560">
        <f>Turbinas!$AF$17</f>
        <v>0.01</v>
      </c>
      <c r="O121" s="565">
        <f>IF(O120=0,0,SUMPRODUCT(C121:N121,C120:N120)/O120)</f>
        <v>1.0000000000000004E-2</v>
      </c>
    </row>
    <row r="122" spans="1:15" ht="21.75" customHeight="1" x14ac:dyDescent="0.2">
      <c r="A122" s="543" t="s">
        <v>17</v>
      </c>
      <c r="B122" s="543" t="s">
        <v>94</v>
      </c>
      <c r="C122" s="544">
        <f>(('Cálculos Yabucoa'!$B$19*(C118)*'Cálculos Yabucoa'!$F$19)/'Cálculos Yabucoa'!$H$20)+(('Cálculos Yabucoa'!$L$19*(C120)*'Cálculos Yabucoa'!$P$19)/'Cálculos Yabucoa'!$R$20)</f>
        <v>0.14996871792000005</v>
      </c>
      <c r="D122" s="544">
        <f>(('Cálculos Yabucoa'!$B$19*(D118)*'Cálculos Yabucoa'!$F$19)/'Cálculos Yabucoa'!$H$20)+(('Cálculos Yabucoa'!$L$19*(D120)*'Cálculos Yabucoa'!$P$19)/'Cálculos Yabucoa'!$R$20)</f>
        <v>0.10492127856000001</v>
      </c>
      <c r="E122" s="544">
        <f>(('Cálculos Yabucoa'!$B$19*(E118)*'Cálculos Yabucoa'!$F$19)/'Cálculos Yabucoa'!$H$20)+(('Cálculos Yabucoa'!$L$19*(E120)*'Cálculos Yabucoa'!$P$19)/'Cálculos Yabucoa'!$R$20)</f>
        <v>9.0735800400000011E-2</v>
      </c>
      <c r="F122" s="544">
        <f>(('Cálculos Yabucoa'!$B$19*(F118)*'Cálculos Yabucoa'!$F$19)/'Cálculos Yabucoa'!$H$20)+(('Cálculos Yabucoa'!$L$19*(F120)*'Cálculos Yabucoa'!$P$19)/'Cálculos Yabucoa'!$R$20)</f>
        <v>0.17648820000000004</v>
      </c>
      <c r="G122" s="544">
        <f>(('Cálculos Yabucoa'!$B$19*(G118)*'Cálculos Yabucoa'!$F$19)/'Cálculos Yabucoa'!$H$20)+(('Cálculos Yabucoa'!$L$19*(G120)*'Cálculos Yabucoa'!$P$19)/'Cálculos Yabucoa'!$R$20)</f>
        <v>0.32555482848</v>
      </c>
      <c r="H122" s="544">
        <f>(('Cálculos Yabucoa'!$B$19*(H118)*'Cálculos Yabucoa'!$F$19)/'Cálculos Yabucoa'!$H$20)+(('Cálculos Yabucoa'!$L$19*(H120)*'Cálculos Yabucoa'!$P$19)/'Cálculos Yabucoa'!$R$20)</f>
        <v>0.10945502568000003</v>
      </c>
      <c r="I122" s="544">
        <f>(('Cálculos Yabucoa'!$B$19*(I118)*'Cálculos Yabucoa'!$F$19)/'Cálculos Yabucoa'!$H$20)+(('Cálculos Yabucoa'!$L$19*(I120)*'Cálculos Yabucoa'!$P$19)/'Cálculos Yabucoa'!$R$20)</f>
        <v>5.7764327040000001E-2</v>
      </c>
      <c r="J122" s="544">
        <f>(('Cálculos Yabucoa'!$B$19*(J118)*'Cálculos Yabucoa'!$F$19)/'Cálculos Yabucoa'!$H$20)+(('Cálculos Yabucoa'!$L$19*(J120)*'Cálculos Yabucoa'!$P$19)/'Cálculos Yabucoa'!$R$20)</f>
        <v>0.24851381688000004</v>
      </c>
      <c r="K122" s="544">
        <f>(('Cálculos Yabucoa'!$B$19*(K118)*'Cálculos Yabucoa'!$F$19)/'Cálculos Yabucoa'!$H$20)+(('Cálculos Yabucoa'!$L$19*(K120)*'Cálculos Yabucoa'!$P$19)/'Cálculos Yabucoa'!$R$20)</f>
        <v>0.2206954512</v>
      </c>
      <c r="L122" s="544">
        <f>(('Cálculos Yabucoa'!$B$19*(L118)*'Cálculos Yabucoa'!$F$19)/'Cálculos Yabucoa'!$H$20)+(('Cálculos Yabucoa'!$L$19*(L120)*'Cálculos Yabucoa'!$P$19)/'Cálculos Yabucoa'!$R$20)</f>
        <v>0.13299246576000001</v>
      </c>
      <c r="M122" s="544">
        <f>(('Cálculos Yabucoa'!$B$19*(M118)*'Cálculos Yabucoa'!$F$19)/'Cálculos Yabucoa'!$H$20)+(('Cálculos Yabucoa'!$L$19*(M120)*'Cálculos Yabucoa'!$P$19)/'Cálculos Yabucoa'!$R$20)</f>
        <v>3.2274562320000005E-2</v>
      </c>
      <c r="N122" s="544">
        <f>(('Cálculos Yabucoa'!$B$19*(N118)*'Cálculos Yabucoa'!$F$19)/'Cálculos Yabucoa'!$H$20)+(('Cálculos Yabucoa'!$L$19*(N120)*'Cálculos Yabucoa'!$P$19)/'Cálculos Yabucoa'!$R$20)</f>
        <v>4.2382902239999999E-2</v>
      </c>
      <c r="O122" s="562">
        <f t="shared" ref="O122:O128" si="20">SUM(C122:N122)</f>
        <v>1.6917473764800004</v>
      </c>
    </row>
    <row r="123" spans="1:15" ht="21.75" customHeight="1" x14ac:dyDescent="0.2">
      <c r="A123" s="543" t="s">
        <v>365</v>
      </c>
      <c r="B123" s="543" t="s">
        <v>94</v>
      </c>
      <c r="C123" s="544">
        <f>(((('Cálculos Yabucoa'!$B$6*C119))*(C118)*'Cálculos Yabucoa'!$F$27)/'Cálculos Yabucoa'!$H$28)+((('Cálculos Yabucoa'!$L$6*C121)*(C120)*'Cálculos Yabucoa'!$P$27)/'Cálculos Yabucoa'!$R$28)</f>
        <v>0.12622367091600001</v>
      </c>
      <c r="D123" s="544">
        <f>(((('Cálculos Yabucoa'!$B$6*D119))*(D118)*'Cálculos Yabucoa'!$F$27)/'Cálculos Yabucoa'!$H$28)+((('Cálculos Yabucoa'!$L$6*D121)*(D120)*'Cálculos Yabucoa'!$P$27)/'Cálculos Yabucoa'!$R$28)</f>
        <v>8.8308742788000008E-2</v>
      </c>
      <c r="E123" s="544">
        <f>(((('Cálculos Yabucoa'!$B$6*E119))*(E118)*'Cálculos Yabucoa'!$F$27)/'Cálculos Yabucoa'!$H$28)+((('Cálculos Yabucoa'!$L$6*E121)*(E120)*'Cálculos Yabucoa'!$P$27)/'Cálculos Yabucoa'!$R$28)</f>
        <v>7.6369298670000002E-2</v>
      </c>
      <c r="F123" s="544">
        <f>(((('Cálculos Yabucoa'!$B$6*F119))*(F118)*'Cálculos Yabucoa'!$F$27)/'Cálculos Yabucoa'!$H$28)+((('Cálculos Yabucoa'!$L$6*F121)*(F120)*'Cálculos Yabucoa'!$P$27)/'Cálculos Yabucoa'!$R$28)</f>
        <v>0.14854423500000002</v>
      </c>
      <c r="G123" s="544">
        <f>(((('Cálculos Yabucoa'!$B$6*G119))*(G118)*'Cálculos Yabucoa'!$F$27)/'Cálculos Yabucoa'!$H$28)+((('Cálculos Yabucoa'!$L$6*G121)*(G120)*'Cálculos Yabucoa'!$P$27)/'Cálculos Yabucoa'!$R$28)</f>
        <v>0.27400864730399999</v>
      </c>
      <c r="H123" s="544">
        <f>(((('Cálculos Yabucoa'!$B$6*H119))*(H118)*'Cálculos Yabucoa'!$F$27)/'Cálculos Yabucoa'!$H$28)+((('Cálculos Yabucoa'!$L$6*H121)*(H120)*'Cálculos Yabucoa'!$P$27)/'Cálculos Yabucoa'!$R$28)</f>
        <v>9.2124646613999994E-2</v>
      </c>
      <c r="I123" s="544">
        <f>(((('Cálculos Yabucoa'!$B$6*I119))*(I118)*'Cálculos Yabucoa'!$F$27)/'Cálculos Yabucoa'!$H$28)+((('Cálculos Yabucoa'!$L$6*I121)*(I120)*'Cálculos Yabucoa'!$P$27)/'Cálculos Yabucoa'!$R$28)</f>
        <v>4.861830859199999E-2</v>
      </c>
      <c r="J123" s="544">
        <f>(((('Cálculos Yabucoa'!$B$6*J119))*(J118)*'Cálculos Yabucoa'!$F$27)/'Cálculos Yabucoa'!$H$28)+((('Cálculos Yabucoa'!$L$6*J121)*(J120)*'Cálculos Yabucoa'!$P$27)/'Cálculos Yabucoa'!$R$28)</f>
        <v>0.20916579587400003</v>
      </c>
      <c r="K123" s="544">
        <f>(((('Cálculos Yabucoa'!$B$6*K119))*(K118)*'Cálculos Yabucoa'!$F$27)/'Cálculos Yabucoa'!$H$28)+((('Cálculos Yabucoa'!$L$6*K121)*(K120)*'Cálculos Yabucoa'!$P$27)/'Cálculos Yabucoa'!$R$28)</f>
        <v>0.18575200475999998</v>
      </c>
      <c r="L123" s="544">
        <f>(((('Cálculos Yabucoa'!$B$6*L119))*(L118)*'Cálculos Yabucoa'!$F$27)/'Cálculos Yabucoa'!$H$28)+((('Cálculos Yabucoa'!$L$6*L121)*(L120)*'Cálculos Yabucoa'!$P$27)/'Cálculos Yabucoa'!$R$28)</f>
        <v>0.11193532534800001</v>
      </c>
      <c r="M123" s="544">
        <f>(((('Cálculos Yabucoa'!$B$6*M119))*(M118)*'Cálculos Yabucoa'!$F$27)/'Cálculos Yabucoa'!$H$28)+((('Cálculos Yabucoa'!$L$6*M121)*(M120)*'Cálculos Yabucoa'!$P$27)/'Cálculos Yabucoa'!$R$28)</f>
        <v>2.7164423286000002E-2</v>
      </c>
      <c r="N123" s="544">
        <f>(((('Cálculos Yabucoa'!$B$6*N119))*(N118)*'Cálculos Yabucoa'!$F$27)/'Cálculos Yabucoa'!$H$28)+((('Cálculos Yabucoa'!$L$6*N121)*(N120)*'Cálculos Yabucoa'!$P$27)/'Cálculos Yabucoa'!$R$28)</f>
        <v>3.5672276052000004E-2</v>
      </c>
      <c r="O123" s="562">
        <f t="shared" si="20"/>
        <v>1.4238873752040002</v>
      </c>
    </row>
    <row r="124" spans="1:15" ht="21.75" customHeight="1" x14ac:dyDescent="0.2">
      <c r="A124" s="543" t="s">
        <v>20</v>
      </c>
      <c r="B124" s="543" t="s">
        <v>94</v>
      </c>
      <c r="C124" s="544">
        <f>(('Cálculos Yabucoa'!$B$37*(C118)*'Cálculos Yabucoa'!$F$37)/'Cálculos Yabucoa'!$H$38)+(('Cálculos Yabucoa'!$L$37*(C120)*'Cálculos Yabucoa'!$P$37)/'Cálculos Yabucoa'!$R$38)</f>
        <v>10.997705980800001</v>
      </c>
      <c r="D124" s="544">
        <f>(('Cálculos Yabucoa'!$B$37*(D118)*'Cálculos Yabucoa'!$F$37)/'Cálculos Yabucoa'!$H$38)+(('Cálculos Yabucoa'!$L$37*(D120)*'Cálculos Yabucoa'!$P$37)/'Cálculos Yabucoa'!$R$38)</f>
        <v>7.6942270944000013</v>
      </c>
      <c r="E124" s="544">
        <f>(('Cálculos Yabucoa'!$B$37*(E118)*'Cálculos Yabucoa'!$F$37)/'Cálculos Yabucoa'!$H$38)+(('Cálculos Yabucoa'!$L$37*(E120)*'Cálculos Yabucoa'!$P$37)/'Cálculos Yabucoa'!$R$38)</f>
        <v>6.6539586960000019</v>
      </c>
      <c r="F124" s="544">
        <f>(('Cálculos Yabucoa'!$B$37*(F118)*'Cálculos Yabucoa'!$F$37)/'Cálculos Yabucoa'!$H$38)+(('Cálculos Yabucoa'!$L$37*(F120)*'Cálculos Yabucoa'!$P$37)/'Cálculos Yabucoa'!$R$38)</f>
        <v>12.942468000000002</v>
      </c>
      <c r="G124" s="544">
        <f>(('Cálculos Yabucoa'!$B$37*(G118)*'Cálculos Yabucoa'!$F$37)/'Cálculos Yabucoa'!$H$38)+(('Cálculos Yabucoa'!$L$37*(G120)*'Cálculos Yabucoa'!$P$37)/'Cálculos Yabucoa'!$R$38)</f>
        <v>23.8740207552</v>
      </c>
      <c r="H124" s="544">
        <f>(('Cálculos Yabucoa'!$B$37*(H118)*'Cálculos Yabucoa'!$F$37)/'Cálculos Yabucoa'!$H$38)+(('Cálculos Yabucoa'!$L$37*(H120)*'Cálculos Yabucoa'!$P$37)/'Cálculos Yabucoa'!$R$38)</f>
        <v>8.0267018832000012</v>
      </c>
      <c r="I124" s="544">
        <f>(('Cálculos Yabucoa'!$B$37*(I118)*'Cálculos Yabucoa'!$F$37)/'Cálculos Yabucoa'!$H$38)+(('Cálculos Yabucoa'!$L$37*(I120)*'Cálculos Yabucoa'!$P$37)/'Cálculos Yabucoa'!$R$38)</f>
        <v>4.2360506496000001</v>
      </c>
      <c r="J124" s="544">
        <f>(('Cálculos Yabucoa'!$B$37*(J118)*'Cálculos Yabucoa'!$F$37)/'Cálculos Yabucoa'!$H$38)+(('Cálculos Yabucoa'!$L$37*(J120)*'Cálculos Yabucoa'!$P$37)/'Cálculos Yabucoa'!$R$38)</f>
        <v>18.224346571200002</v>
      </c>
      <c r="K124" s="544">
        <f>(('Cálculos Yabucoa'!$B$37*(K118)*'Cálculos Yabucoa'!$F$37)/'Cálculos Yabucoa'!$H$38)+(('Cálculos Yabucoa'!$L$37*(K120)*'Cálculos Yabucoa'!$P$37)/'Cálculos Yabucoa'!$R$38)</f>
        <v>16.184333087999999</v>
      </c>
      <c r="L124" s="544">
        <f>(('Cálculos Yabucoa'!$B$37*(L118)*'Cálculos Yabucoa'!$F$37)/'Cálculos Yabucoa'!$H$38)+(('Cálculos Yabucoa'!$L$37*(L120)*'Cálculos Yabucoa'!$P$37)/'Cálculos Yabucoa'!$R$38)</f>
        <v>9.7527808224000019</v>
      </c>
      <c r="M124" s="544">
        <f>(('Cálculos Yabucoa'!$B$37*(M118)*'Cálculos Yabucoa'!$F$37)/'Cálculos Yabucoa'!$H$38)+(('Cálculos Yabucoa'!$L$37*(M120)*'Cálculos Yabucoa'!$P$37)/'Cálculos Yabucoa'!$R$38)</f>
        <v>2.3668012367999998</v>
      </c>
      <c r="N124" s="544">
        <f>(('Cálculos Yabucoa'!$B$37*(N118)*'Cálculos Yabucoa'!$F$37)/'Cálculos Yabucoa'!$H$38)+(('Cálculos Yabucoa'!$L$37*(N120)*'Cálculos Yabucoa'!$P$37)/'Cálculos Yabucoa'!$R$38)</f>
        <v>3.1080794976000004</v>
      </c>
      <c r="O124" s="562">
        <f t="shared" si="20"/>
        <v>124.06147427520001</v>
      </c>
    </row>
    <row r="125" spans="1:15" ht="21.75" customHeight="1" x14ac:dyDescent="0.2">
      <c r="A125" s="543" t="s">
        <v>22</v>
      </c>
      <c r="B125" s="543" t="s">
        <v>94</v>
      </c>
      <c r="C125" s="544">
        <f>(('Cálculos Yabucoa'!$B$45*(C118)*'Cálculos Yabucoa'!$F$45)/'Cálculos Yabucoa'!$H$46)+(('Cálculos Yabucoa'!$L$45*(C120)*'Cálculos Yabucoa'!$P$45)/'Cálculos Yabucoa'!$R$46)</f>
        <v>5.1239311956000006E-3</v>
      </c>
      <c r="D125" s="544">
        <f>(('Cálculos Yabucoa'!$B$45*(D118)*'Cálculos Yabucoa'!$F$45)/'Cálculos Yabucoa'!$H$46)+(('Cálculos Yabucoa'!$L$45*(D120)*'Cálculos Yabucoa'!$P$45)/'Cálculos Yabucoa'!$R$46)</f>
        <v>3.5848103508000001E-3</v>
      </c>
      <c r="E125" s="544">
        <f>(('Cálculos Yabucoa'!$B$45*(E118)*'Cálculos Yabucoa'!$F$45)/'Cálculos Yabucoa'!$H$46)+(('Cálculos Yabucoa'!$L$45*(E120)*'Cálculos Yabucoa'!$P$45)/'Cálculos Yabucoa'!$R$46)</f>
        <v>3.1001398470000005E-3</v>
      </c>
      <c r="F125" s="544">
        <f>(('Cálculos Yabucoa'!$B$45*(F118)*'Cálculos Yabucoa'!$F$45)/'Cálculos Yabucoa'!$H$46)+(('Cálculos Yabucoa'!$L$45*(F120)*'Cálculos Yabucoa'!$P$45)/'Cálculos Yabucoa'!$R$46)</f>
        <v>6.0300134999999996E-3</v>
      </c>
      <c r="G125" s="544">
        <f>(('Cálculos Yabucoa'!$B$45*(G118)*'Cálculos Yabucoa'!$F$45)/'Cálculos Yabucoa'!$H$46)+(('Cálculos Yabucoa'!$L$45*(G120)*'Cálculos Yabucoa'!$P$45)/'Cálculos Yabucoa'!$R$46)</f>
        <v>1.11231233064E-2</v>
      </c>
      <c r="H125" s="544">
        <f>(('Cálculos Yabucoa'!$B$45*(H118)*'Cálculos Yabucoa'!$F$45)/'Cálculos Yabucoa'!$H$46)+(('Cálculos Yabucoa'!$L$45*(H120)*'Cálculos Yabucoa'!$P$45)/'Cálculos Yabucoa'!$R$46)</f>
        <v>3.7397133774000001E-3</v>
      </c>
      <c r="I125" s="544">
        <f>(('Cálculos Yabucoa'!$B$45*(I118)*'Cálculos Yabucoa'!$F$45)/'Cálculos Yabucoa'!$H$46)+(('Cálculos Yabucoa'!$L$45*(I120)*'Cálculos Yabucoa'!$P$45)/'Cálculos Yabucoa'!$R$46)</f>
        <v>1.9736145072000002E-3</v>
      </c>
      <c r="J125" s="544">
        <f>(('Cálculos Yabucoa'!$B$45*(J118)*'Cálculos Yabucoa'!$F$45)/'Cálculos Yabucoa'!$H$46)+(('Cálculos Yabucoa'!$L$45*(J120)*'Cálculos Yabucoa'!$P$45)/'Cálculos Yabucoa'!$R$46)</f>
        <v>8.4908887434000015E-3</v>
      </c>
      <c r="K125" s="544">
        <f>(('Cálculos Yabucoa'!$B$45*(K118)*'Cálculos Yabucoa'!$F$45)/'Cálculos Yabucoa'!$H$46)+(('Cálculos Yabucoa'!$L$45*(K120)*'Cálculos Yabucoa'!$P$45)/'Cálculos Yabucoa'!$R$46)</f>
        <v>7.5404279159999995E-3</v>
      </c>
      <c r="L125" s="544">
        <f>(('Cálculos Yabucoa'!$B$45*(L118)*'Cálculos Yabucoa'!$F$45)/'Cálculos Yabucoa'!$H$46)+(('Cálculos Yabucoa'!$L$45*(L120)*'Cálculos Yabucoa'!$P$45)/'Cálculos Yabucoa'!$R$46)</f>
        <v>4.5439092468000011E-3</v>
      </c>
      <c r="M125" s="544">
        <f>(('Cálculos Yabucoa'!$B$45*(M118)*'Cálculos Yabucoa'!$F$45)/'Cálculos Yabucoa'!$H$46)+(('Cálculos Yabucoa'!$L$45*(M120)*'Cálculos Yabucoa'!$P$45)/'Cálculos Yabucoa'!$R$46)</f>
        <v>1.1027142126000002E-3</v>
      </c>
      <c r="N125" s="544">
        <f>(('Cálculos Yabucoa'!$B$45*(N118)*'Cálculos Yabucoa'!$F$45)/'Cálculos Yabucoa'!$H$46)+(('Cálculos Yabucoa'!$L$45*(N120)*'Cálculos Yabucoa'!$P$45)/'Cálculos Yabucoa'!$R$46)</f>
        <v>1.4480824932E-3</v>
      </c>
      <c r="O125" s="562">
        <f t="shared" si="20"/>
        <v>5.7801368696400006E-2</v>
      </c>
    </row>
    <row r="126" spans="1:15" ht="21.75" customHeight="1" x14ac:dyDescent="0.2">
      <c r="A126" s="543" t="s">
        <v>21</v>
      </c>
      <c r="B126" s="543" t="s">
        <v>94</v>
      </c>
      <c r="C126" s="544">
        <f>(('Cálculos Yabucoa'!$B$53*(C118)*'Cálculos Yabucoa'!$F$53)/'Cálculos Yabucoa'!$H$54)+(('Cálculos Yabucoa'!$L$53*(C120)*'Cálculos Yabucoa'!$P$53)/'Cálculos Yabucoa'!$R$54)</f>
        <v>4.124139742800001E-2</v>
      </c>
      <c r="D126" s="544">
        <f>(('Cálculos Yabucoa'!$B$53*(D118)*'Cálculos Yabucoa'!$F$53)/'Cálculos Yabucoa'!$H$54)+(('Cálculos Yabucoa'!$L$53*(D120)*'Cálculos Yabucoa'!$P$53)/'Cálculos Yabucoa'!$R$54)</f>
        <v>2.8853351603999999E-2</v>
      </c>
      <c r="E126" s="544">
        <f>(('Cálculos Yabucoa'!$B$53*(E118)*'Cálculos Yabucoa'!$F$53)/'Cálculos Yabucoa'!$H$54)+(('Cálculos Yabucoa'!$L$53*(E120)*'Cálculos Yabucoa'!$P$53)/'Cálculos Yabucoa'!$R$54)</f>
        <v>2.4952345110000003E-2</v>
      </c>
      <c r="F126" s="544">
        <f>(('Cálculos Yabucoa'!$B$53*(F118)*'Cálculos Yabucoa'!$F$53)/'Cálculos Yabucoa'!$H$54)+(('Cálculos Yabucoa'!$L$53*(F120)*'Cálculos Yabucoa'!$P$53)/'Cálculos Yabucoa'!$R$54)</f>
        <v>4.8534254999999998E-2</v>
      </c>
      <c r="G126" s="544">
        <f>(('Cálculos Yabucoa'!$B$53*(G118)*'Cálculos Yabucoa'!$F$53)/'Cálculos Yabucoa'!$H$54)+(('Cálculos Yabucoa'!$L$53*(G120)*'Cálculos Yabucoa'!$P$53)/'Cálculos Yabucoa'!$R$54)</f>
        <v>8.9527577832000008E-2</v>
      </c>
      <c r="H126" s="544">
        <f>(('Cálculos Yabucoa'!$B$53*(H118)*'Cálculos Yabucoa'!$F$53)/'Cálculos Yabucoa'!$H$54)+(('Cálculos Yabucoa'!$L$53*(H120)*'Cálculos Yabucoa'!$P$53)/'Cálculos Yabucoa'!$R$54)</f>
        <v>3.0100132062000001E-2</v>
      </c>
      <c r="I126" s="544">
        <f>(('Cálculos Yabucoa'!$B$53*(I118)*'Cálculos Yabucoa'!$F$53)/'Cálculos Yabucoa'!$H$54)+(('Cálculos Yabucoa'!$L$53*(I120)*'Cálculos Yabucoa'!$P$53)/'Cálculos Yabucoa'!$R$54)</f>
        <v>1.5885189936000001E-2</v>
      </c>
      <c r="J126" s="544">
        <f>(('Cálculos Yabucoa'!$B$53*(J118)*'Cálculos Yabucoa'!$F$53)/'Cálculos Yabucoa'!$H$54)+(('Cálculos Yabucoa'!$L$53*(J120)*'Cálculos Yabucoa'!$P$53)/'Cálculos Yabucoa'!$R$54)</f>
        <v>6.8341299642000003E-2</v>
      </c>
      <c r="K126" s="544">
        <f>(('Cálculos Yabucoa'!$B$53*(K118)*'Cálculos Yabucoa'!$F$53)/'Cálculos Yabucoa'!$H$54)+(('Cálculos Yabucoa'!$L$53*(K120)*'Cálculos Yabucoa'!$P$53)/'Cálculos Yabucoa'!$R$54)</f>
        <v>6.0691249079999988E-2</v>
      </c>
      <c r="L126" s="544">
        <f>(('Cálculos Yabucoa'!$B$53*(L118)*'Cálculos Yabucoa'!$F$53)/'Cálculos Yabucoa'!$H$54)+(('Cálculos Yabucoa'!$L$53*(L120)*'Cálculos Yabucoa'!$P$53)/'Cálculos Yabucoa'!$R$54)</f>
        <v>3.6572928084000006E-2</v>
      </c>
      <c r="M126" s="544">
        <f>(('Cálculos Yabucoa'!$B$53*(M118)*'Cálculos Yabucoa'!$F$53)/'Cálculos Yabucoa'!$H$54)+(('Cálculos Yabucoa'!$L$53*(M120)*'Cálculos Yabucoa'!$P$53)/'Cálculos Yabucoa'!$R$54)</f>
        <v>8.8755046380000011E-3</v>
      </c>
      <c r="N126" s="544">
        <f>(('Cálculos Yabucoa'!$B$53*(N118)*'Cálculos Yabucoa'!$F$53)/'Cálculos Yabucoa'!$H$54)+(('Cálculos Yabucoa'!$L$53*(N120)*'Cálculos Yabucoa'!$P$53)/'Cálculos Yabucoa'!$R$54)</f>
        <v>1.1655298116000001E-2</v>
      </c>
      <c r="O126" s="562">
        <f t="shared" si="20"/>
        <v>0.46523052853200014</v>
      </c>
    </row>
    <row r="127" spans="1:15" ht="21.75" customHeight="1" x14ac:dyDescent="0.2">
      <c r="A127" s="543" t="s">
        <v>23</v>
      </c>
      <c r="B127" s="543" t="s">
        <v>94</v>
      </c>
      <c r="C127" s="549">
        <f>(('Cálculos Yabucoa'!$B$61*(C118)*'Cálculos Yabucoa'!$F$61)/'Cálculos Yabucoa'!$H$62)+(('Cálculos Yabucoa'!$L$61*(C120)*'Cálculos Yabucoa'!$P$61)/'Cálculos Yabucoa'!$R$62)</f>
        <v>1.7496350424E-4</v>
      </c>
      <c r="D127" s="549">
        <f>(('Cálculos Yabucoa'!$B$61*(D118)*'Cálculos Yabucoa'!$F$61)/'Cálculos Yabucoa'!$H$62)+(('Cálculos Yabucoa'!$L$61*(D120)*'Cálculos Yabucoa'!$P$61)/'Cálculos Yabucoa'!$R$62)</f>
        <v>1.2240815832000002E-4</v>
      </c>
      <c r="E127" s="549">
        <f>(('Cálculos Yabucoa'!$B$61*(E118)*'Cálculos Yabucoa'!$F$61)/'Cálculos Yabucoa'!$H$62)+(('Cálculos Yabucoa'!$L$61*(E120)*'Cálculos Yabucoa'!$P$61)/'Cálculos Yabucoa'!$R$62)</f>
        <v>1.0585843380000001E-4</v>
      </c>
      <c r="F127" s="549">
        <f>(('Cálculos Yabucoa'!$B$61*(F118)*'Cálculos Yabucoa'!$F$61)/'Cálculos Yabucoa'!$H$62)+(('Cálculos Yabucoa'!$L$61*(F120)*'Cálculos Yabucoa'!$P$61)/'Cálculos Yabucoa'!$R$62)</f>
        <v>2.059029E-4</v>
      </c>
      <c r="G127" s="549">
        <f>(('Cálculos Yabucoa'!$B$61*(G118)*'Cálculos Yabucoa'!$F$61)/'Cálculos Yabucoa'!$H$62)+(('Cálculos Yabucoa'!$L$61*(G120)*'Cálculos Yabucoa'!$P$61)/'Cálculos Yabucoa'!$R$62)</f>
        <v>3.7981396656000001E-4</v>
      </c>
      <c r="H127" s="549">
        <f>(('Cálculos Yabucoa'!$B$61*(H118)*'Cálculos Yabucoa'!$F$61)/'Cálculos Yabucoa'!$H$62)+(('Cálculos Yabucoa'!$L$61*(H120)*'Cálculos Yabucoa'!$P$61)/'Cálculos Yabucoa'!$R$62)</f>
        <v>1.2769752996E-4</v>
      </c>
      <c r="I127" s="549">
        <f>(('Cálculos Yabucoa'!$B$61*(I118)*'Cálculos Yabucoa'!$F$61)/'Cálculos Yabucoa'!$H$62)+(('Cálculos Yabucoa'!$L$61*(I120)*'Cálculos Yabucoa'!$P$61)/'Cálculos Yabucoa'!$R$62)</f>
        <v>6.7391714879999997E-5</v>
      </c>
      <c r="J127" s="549">
        <f>(('Cálculos Yabucoa'!$B$61*(J118)*'Cálculos Yabucoa'!$F$61)/'Cálculos Yabucoa'!$H$62)+(('Cálculos Yabucoa'!$L$61*(J120)*'Cálculos Yabucoa'!$P$61)/'Cálculos Yabucoa'!$R$62)</f>
        <v>2.8993278636000003E-4</v>
      </c>
      <c r="K127" s="549">
        <f>(('Cálculos Yabucoa'!$B$61*(K118)*'Cálculos Yabucoa'!$F$61)/'Cálculos Yabucoa'!$H$62)+(('Cálculos Yabucoa'!$L$61*(K120)*'Cálculos Yabucoa'!$P$61)/'Cálculos Yabucoa'!$R$62)</f>
        <v>2.5747802639999997E-4</v>
      </c>
      <c r="L127" s="549">
        <f>(('Cálculos Yabucoa'!$B$61*(L118)*'Cálculos Yabucoa'!$F$61)/'Cálculos Yabucoa'!$H$62)+(('Cálculos Yabucoa'!$L$61*(L120)*'Cálculos Yabucoa'!$P$61)/'Cálculos Yabucoa'!$R$62)</f>
        <v>1.5515787672000004E-4</v>
      </c>
      <c r="M127" s="549">
        <f>(('Cálculos Yabucoa'!$B$61*(M118)*'Cálculos Yabucoa'!$F$61)/'Cálculos Yabucoa'!$H$62)+(('Cálculos Yabucoa'!$L$61*(M120)*'Cálculos Yabucoa'!$P$61)/'Cálculos Yabucoa'!$R$62)</f>
        <v>3.7653656040000001E-5</v>
      </c>
      <c r="N127" s="549">
        <f>(('Cálculos Yabucoa'!$B$61*(N118)*'Cálculos Yabucoa'!$F$61)/'Cálculos Yabucoa'!$H$62)+(('Cálculos Yabucoa'!$L$61*(N120)*'Cálculos Yabucoa'!$P$61)/'Cálculos Yabucoa'!$R$62)</f>
        <v>4.9446719280000009E-5</v>
      </c>
      <c r="O127" s="563">
        <f t="shared" si="20"/>
        <v>1.9737052725599998E-3</v>
      </c>
    </row>
    <row r="128" spans="1:15" ht="21.75" customHeight="1" x14ac:dyDescent="0.2">
      <c r="A128" s="543" t="s">
        <v>24</v>
      </c>
      <c r="B128" s="543" t="s">
        <v>94</v>
      </c>
      <c r="C128" s="544">
        <f>('Cálculos Yabucoa'!$B$71*((C118))/'Cálculos Yabucoa'!$F$72)+('Cálculos Yabucoa'!$L$71*((C120))/'Cálculos Yabucoa'!$P$72)</f>
        <v>2044.720283862627</v>
      </c>
      <c r="D128" s="544">
        <f>('Cálculos Yabucoa'!$B$71*((D118))/'Cálculos Yabucoa'!$F$72)+('Cálculos Yabucoa'!$L$71*((D120))/'Cálculos Yabucoa'!$P$72)</f>
        <v>1430.5294427793622</v>
      </c>
      <c r="E128" s="544">
        <f>('Cálculos Yabucoa'!$B$71*((E118))/'Cálculos Yabucoa'!$F$72)+('Cálculos Yabucoa'!$L$71*((E120))/'Cálculos Yabucoa'!$P$72)</f>
        <v>1237.1202082914403</v>
      </c>
      <c r="F128" s="544">
        <f>('Cálculos Yabucoa'!$B$71*((F118))/'Cálculos Yabucoa'!$F$72)+('Cálculos Yabucoa'!$L$71*((F120))/'Cálculos Yabucoa'!$P$72)</f>
        <v>2406.2951754705782</v>
      </c>
      <c r="G128" s="544">
        <f>('Cálculos Yabucoa'!$B$71*((G118))/'Cálculos Yabucoa'!$F$72)+('Cálculos Yabucoa'!$L$71*((G120))/'Cálculos Yabucoa'!$P$72)</f>
        <v>4438.7160904954299</v>
      </c>
      <c r="H128" s="544">
        <f>('Cálculos Yabucoa'!$B$71*((H118))/'Cálculos Yabucoa'!$F$72)+('Cálculos Yabucoa'!$L$71*((H120))/'Cálculos Yabucoa'!$P$72)</f>
        <v>1492.3439653460812</v>
      </c>
      <c r="I128" s="544">
        <f>('Cálculos Yabucoa'!$B$71*((I118))/'Cálculos Yabucoa'!$F$72)+('Cálculos Yabucoa'!$L$71*((I120))/'Cálculos Yabucoa'!$P$72)</f>
        <v>787.57685483027569</v>
      </c>
      <c r="J128" s="544">
        <f>('Cálculos Yabucoa'!$B$71*((J118))/'Cálculos Yabucoa'!$F$72)+('Cálculos Yabucoa'!$L$71*((J120))/'Cálculos Yabucoa'!$P$72)</f>
        <v>3388.314904883855</v>
      </c>
      <c r="K128" s="544">
        <f>('Cálculos Yabucoa'!$B$71*((K118))/'Cálculos Yabucoa'!$F$72)+('Cálculos Yabucoa'!$L$71*((K120))/'Cálculos Yabucoa'!$P$72)</f>
        <v>3009.0306290781045</v>
      </c>
      <c r="L128" s="544">
        <f>('Cálculos Yabucoa'!$B$71*((L118))/'Cálculos Yabucoa'!$F$72)+('Cálculos Yabucoa'!$L$71*((L120))/'Cálculos Yabucoa'!$P$72)</f>
        <v>1813.2607660581505</v>
      </c>
      <c r="M128" s="544">
        <f>('Cálculos Yabucoa'!$B$71*((M118))/'Cálculos Yabucoa'!$F$72)+('Cálculos Yabucoa'!$L$71*((M120))/'Cálculos Yabucoa'!$P$72)</f>
        <v>440.04145093575954</v>
      </c>
      <c r="N128" s="544">
        <f>('Cálculos Yabucoa'!$B$71*((N118))/'Cálculos Yabucoa'!$F$72)+('Cálculos Yabucoa'!$L$71*((N120))/'Cálculos Yabucoa'!$P$72)</f>
        <v>577.86171076906646</v>
      </c>
      <c r="O128" s="562">
        <f t="shared" si="20"/>
        <v>23065.811482800727</v>
      </c>
    </row>
    <row r="129" spans="1:15" ht="21.75" customHeight="1" x14ac:dyDescent="0.2">
      <c r="A129" s="626" t="s">
        <v>48</v>
      </c>
      <c r="B129" s="626"/>
      <c r="C129" s="555"/>
      <c r="D129" s="555"/>
      <c r="E129" s="555"/>
      <c r="F129" s="555"/>
      <c r="G129" s="555"/>
      <c r="H129" s="555"/>
      <c r="I129" s="555"/>
      <c r="J129" s="626"/>
      <c r="K129" s="626"/>
      <c r="L129" s="555"/>
      <c r="M129" s="555"/>
      <c r="N129" s="555"/>
      <c r="O129" s="555"/>
    </row>
    <row r="130" spans="1:15" ht="21.75" hidden="1" customHeight="1" x14ac:dyDescent="0.2">
      <c r="A130" s="543" t="s">
        <v>403</v>
      </c>
      <c r="B130" s="543" t="s">
        <v>92</v>
      </c>
      <c r="C130" s="556">
        <f>Turbinas!$B$6*42</f>
        <v>0</v>
      </c>
      <c r="D130" s="556">
        <f>Turbinas!$B$7*42</f>
        <v>0</v>
      </c>
      <c r="E130" s="556">
        <f>Turbinas!$B$8*42</f>
        <v>0</v>
      </c>
      <c r="F130" s="556">
        <f>Turbinas!$B$9*42</f>
        <v>0</v>
      </c>
      <c r="G130" s="556">
        <f>Turbinas!$B$10*42</f>
        <v>0</v>
      </c>
      <c r="H130" s="556">
        <f>Turbinas!$B$11*42</f>
        <v>0</v>
      </c>
      <c r="I130" s="556">
        <f>Turbinas!$B$12*42</f>
        <v>0</v>
      </c>
      <c r="J130" s="556">
        <f>Turbinas!$B$13*42</f>
        <v>0</v>
      </c>
      <c r="K130" s="556">
        <f>Turbinas!$B$14*42</f>
        <v>0</v>
      </c>
      <c r="L130" s="556">
        <f>Turbinas!$B$15*42</f>
        <v>0</v>
      </c>
      <c r="M130" s="556">
        <f>Turbinas!$B$16*42</f>
        <v>0</v>
      </c>
      <c r="N130" s="556">
        <f>Turbinas!$B$17*42</f>
        <v>0</v>
      </c>
      <c r="O130" s="564">
        <f>SUM(C130:N130)</f>
        <v>0</v>
      </c>
    </row>
    <row r="131" spans="1:15" ht="21.75" hidden="1" customHeight="1" x14ac:dyDescent="0.2">
      <c r="A131" s="543" t="s">
        <v>404</v>
      </c>
      <c r="B131" s="543" t="s">
        <v>371</v>
      </c>
      <c r="C131" s="560">
        <f>Turbinas!$AC$6</f>
        <v>0.01</v>
      </c>
      <c r="D131" s="560">
        <f>Turbinas!$AC$7</f>
        <v>0.01</v>
      </c>
      <c r="E131" s="560">
        <f>Turbinas!$AC$8</f>
        <v>0.01</v>
      </c>
      <c r="F131" s="560">
        <f>Turbinas!$AC$9</f>
        <v>0.01</v>
      </c>
      <c r="G131" s="560">
        <f>Turbinas!$AC$10</f>
        <v>0.01</v>
      </c>
      <c r="H131" s="560">
        <f>Turbinas!$AC$11</f>
        <v>0.01</v>
      </c>
      <c r="I131" s="560">
        <f>Turbinas!$AC$12</f>
        <v>0.01</v>
      </c>
      <c r="J131" s="560">
        <f>Turbinas!$AC$13</f>
        <v>0.01</v>
      </c>
      <c r="K131" s="560">
        <f>Turbinas!$AC$14</f>
        <v>0.01</v>
      </c>
      <c r="L131" s="560">
        <f>Turbinas!$AC$15</f>
        <v>0.01</v>
      </c>
      <c r="M131" s="560">
        <f>Turbinas!$AC$16</f>
        <v>0.01</v>
      </c>
      <c r="N131" s="560">
        <f>Turbinas!$AC$17</f>
        <v>0.01</v>
      </c>
      <c r="O131" s="565">
        <f>IF(O130=0,0,SUMPRODUCT(C131:N131,C130:N130)/O130)</f>
        <v>0</v>
      </c>
    </row>
    <row r="132" spans="1:15" ht="21.75" hidden="1" customHeight="1" x14ac:dyDescent="0.2">
      <c r="A132" s="543" t="s">
        <v>393</v>
      </c>
      <c r="B132" s="543" t="s">
        <v>92</v>
      </c>
      <c r="C132" s="556">
        <f>Turbinas!$C$6*42</f>
        <v>0</v>
      </c>
      <c r="D132" s="556">
        <f>Turbinas!$C$7*42</f>
        <v>0</v>
      </c>
      <c r="E132" s="556">
        <f>Turbinas!$C$8*42</f>
        <v>0</v>
      </c>
      <c r="F132" s="556">
        <f>Turbinas!$C$9*42</f>
        <v>0</v>
      </c>
      <c r="G132" s="556">
        <f>Turbinas!$C$10*42</f>
        <v>0</v>
      </c>
      <c r="H132" s="556">
        <f>Turbinas!$C$11*42</f>
        <v>0</v>
      </c>
      <c r="I132" s="556">
        <f>Turbinas!$C$12*42</f>
        <v>0</v>
      </c>
      <c r="J132" s="556">
        <f>Turbinas!$C$13*42</f>
        <v>0</v>
      </c>
      <c r="K132" s="556">
        <f>Turbinas!$C$14*42</f>
        <v>0</v>
      </c>
      <c r="L132" s="556">
        <f>Turbinas!$C$15*42</f>
        <v>0</v>
      </c>
      <c r="M132" s="556">
        <f>Turbinas!$C$16*42</f>
        <v>0</v>
      </c>
      <c r="N132" s="556">
        <f>Turbinas!$C$17*42</f>
        <v>0</v>
      </c>
      <c r="O132" s="564">
        <f>SUM(C132:N132)</f>
        <v>0</v>
      </c>
    </row>
    <row r="133" spans="1:15" ht="21.75" hidden="1" customHeight="1" x14ac:dyDescent="0.2">
      <c r="A133" s="543" t="s">
        <v>405</v>
      </c>
      <c r="B133" s="543" t="s">
        <v>371</v>
      </c>
      <c r="C133" s="560">
        <f>Turbinas!$AD$6</f>
        <v>0.01</v>
      </c>
      <c r="D133" s="560">
        <f>Turbinas!$AD$7</f>
        <v>0.01</v>
      </c>
      <c r="E133" s="560">
        <f>Turbinas!$AD$8</f>
        <v>0.01</v>
      </c>
      <c r="F133" s="560">
        <f>Turbinas!$AD$9</f>
        <v>0.01</v>
      </c>
      <c r="G133" s="560">
        <f>Turbinas!$AD$10</f>
        <v>0.01</v>
      </c>
      <c r="H133" s="560">
        <f>Turbinas!$AD$11</f>
        <v>0.01</v>
      </c>
      <c r="I133" s="560">
        <f>Turbinas!$AD$12</f>
        <v>0.01</v>
      </c>
      <c r="J133" s="560">
        <f>Turbinas!$AD$13</f>
        <v>0.01</v>
      </c>
      <c r="K133" s="560">
        <f>Turbinas!$AD$14</f>
        <v>0.01</v>
      </c>
      <c r="L133" s="560">
        <f>Turbinas!$AD$15</f>
        <v>0.01</v>
      </c>
      <c r="M133" s="560">
        <f>Turbinas!$AD$16</f>
        <v>0.01</v>
      </c>
      <c r="N133" s="560">
        <f>Turbinas!$AD$17</f>
        <v>0.01</v>
      </c>
      <c r="O133" s="565">
        <f>IF(O132=0,0,SUMPRODUCT(C133:N133,C132:N132)/O132)</f>
        <v>0</v>
      </c>
    </row>
    <row r="134" spans="1:15" ht="21.75" customHeight="1" x14ac:dyDescent="0.2">
      <c r="A134" s="543" t="s">
        <v>17</v>
      </c>
      <c r="B134" s="543" t="s">
        <v>94</v>
      </c>
      <c r="C134" s="544">
        <f>(('Cálculos Vega Baja'!$B$19*(C130)*'Cálculos Vega Baja'!$F$19)/'Cálculos Vega Baja'!$H$20)+(('Cálculos Vega Baja'!$L$19*(C132)*'Cálculos Vega Baja'!$P$19)/'Cálculos Vega Baja'!$R$20)</f>
        <v>0</v>
      </c>
      <c r="D134" s="544">
        <f>(('Cálculos Vega Baja'!$B$19*(D130)*'Cálculos Vega Baja'!$F$19)/'Cálculos Vega Baja'!$H$20)+(('Cálculos Vega Baja'!$L$19*(D132)*'Cálculos Vega Baja'!$P$19)/'Cálculos Vega Baja'!$R$20)</f>
        <v>0</v>
      </c>
      <c r="E134" s="544">
        <f>(('Cálculos Vega Baja'!$B$19*(E130)*'Cálculos Vega Baja'!$F$19)/'Cálculos Vega Baja'!$H$20)+(('Cálculos Vega Baja'!$L$19*(E132)*'Cálculos Vega Baja'!$P$19)/'Cálculos Vega Baja'!$R$20)</f>
        <v>0</v>
      </c>
      <c r="F134" s="544">
        <f>(('Cálculos Vega Baja'!$B$19*(F130)*'Cálculos Vega Baja'!$F$19)/'Cálculos Vega Baja'!$H$20)+(('Cálculos Vega Baja'!$L$19*(F132)*'Cálculos Vega Baja'!$P$19)/'Cálculos Vega Baja'!$R$20)</f>
        <v>0</v>
      </c>
      <c r="G134" s="544">
        <f>(('Cálculos Vega Baja'!$B$19*(G130)*'Cálculos Vega Baja'!$F$19)/'Cálculos Vega Baja'!$H$20)+(('Cálculos Vega Baja'!$L$19*(G132)*'Cálculos Vega Baja'!$P$19)/'Cálculos Vega Baja'!$R$20)</f>
        <v>0</v>
      </c>
      <c r="H134" s="544">
        <f>(('Cálculos Vega Baja'!$B$19*(H130)*'Cálculos Vega Baja'!$F$19)/'Cálculos Vega Baja'!$H$20)+(('Cálculos Vega Baja'!$L$19*(H132)*'Cálculos Vega Baja'!$P$19)/'Cálculos Vega Baja'!$R$20)</f>
        <v>0</v>
      </c>
      <c r="I134" s="544">
        <f>(('Cálculos Vega Baja'!$B$19*(I130)*'Cálculos Vega Baja'!$F$19)/'Cálculos Vega Baja'!$H$20)+(('Cálculos Vega Baja'!$L$19*(I132)*'Cálculos Vega Baja'!$P$19)/'Cálculos Vega Baja'!$R$20)</f>
        <v>0</v>
      </c>
      <c r="J134" s="544">
        <f>(('Cálculos Vega Baja'!$B$19*(J130)*'Cálculos Vega Baja'!$F$19)/'Cálculos Vega Baja'!$H$20)+(('Cálculos Vega Baja'!$L$19*(J132)*'Cálculos Vega Baja'!$P$19)/'Cálculos Vega Baja'!$R$20)</f>
        <v>0</v>
      </c>
      <c r="K134" s="544">
        <f>(('Cálculos Vega Baja'!$B$19*(K130)*'Cálculos Vega Baja'!$F$19)/'Cálculos Vega Baja'!$H$20)+(('Cálculos Vega Baja'!$L$19*(K132)*'Cálculos Vega Baja'!$P$19)/'Cálculos Vega Baja'!$R$20)</f>
        <v>0</v>
      </c>
      <c r="L134" s="544">
        <f>(('Cálculos Vega Baja'!$B$19*(L130)*'Cálculos Vega Baja'!$F$19)/'Cálculos Vega Baja'!$H$20)+(('Cálculos Vega Baja'!$L$19*(L132)*'Cálculos Vega Baja'!$P$19)/'Cálculos Vega Baja'!$R$20)</f>
        <v>0</v>
      </c>
      <c r="M134" s="544">
        <f>(('Cálculos Vega Baja'!$B$19*(M130)*'Cálculos Vega Baja'!$F$19)/'Cálculos Vega Baja'!$H$20)+(('Cálculos Vega Baja'!$L$19*(M132)*'Cálculos Vega Baja'!$P$19)/'Cálculos Vega Baja'!$R$20)</f>
        <v>0</v>
      </c>
      <c r="N134" s="544">
        <f>(('Cálculos Vega Baja'!$B$19*(N130)*'Cálculos Vega Baja'!$F$19)/'Cálculos Vega Baja'!$H$20)+(('Cálculos Vega Baja'!$L$19*(N132)*'Cálculos Vega Baja'!$P$19)/'Cálculos Vega Baja'!$R$20)</f>
        <v>0</v>
      </c>
      <c r="O134" s="562">
        <f t="shared" ref="O134:O140" si="21">SUM(C134:N134)</f>
        <v>0</v>
      </c>
    </row>
    <row r="135" spans="1:15" ht="21.75" customHeight="1" x14ac:dyDescent="0.2">
      <c r="A135" s="543" t="s">
        <v>365</v>
      </c>
      <c r="B135" s="543" t="s">
        <v>94</v>
      </c>
      <c r="C135" s="544">
        <f>((('Cálculos Vega Baja'!$B$6*C131)*(C130)*'Cálculos Vega Baja'!$F$29)/'Cálculos Vega Baja'!$H$30)+((('Cálculos Vega Baja'!$L$6*C133)*(C132)*'Cálculos Vega Baja'!$P$29)/'Cálculos Vega Baja'!$R$30)</f>
        <v>0</v>
      </c>
      <c r="D135" s="544">
        <f>((('Cálculos Vega Baja'!$B$6*D131)*(D130)*'Cálculos Vega Baja'!$F$29)/'Cálculos Vega Baja'!$H$30)+((('Cálculos Vega Baja'!$L$6*D133)*(D132)*'Cálculos Vega Baja'!$P$29)/'Cálculos Vega Baja'!$R$30)</f>
        <v>0</v>
      </c>
      <c r="E135" s="544">
        <f>((('Cálculos Vega Baja'!$B$6*E131)*(E130)*'Cálculos Vega Baja'!$F$29)/'Cálculos Vega Baja'!$H$30)+((('Cálculos Vega Baja'!$L$6*E133)*(E132)*'Cálculos Vega Baja'!$P$29)/'Cálculos Vega Baja'!$R$30)</f>
        <v>0</v>
      </c>
      <c r="F135" s="544">
        <f>((('Cálculos Vega Baja'!$B$6*F131)*(F130)*'Cálculos Vega Baja'!$F$29)/'Cálculos Vega Baja'!$H$30)+((('Cálculos Vega Baja'!$L$6*F133)*(F132)*'Cálculos Vega Baja'!$P$29)/'Cálculos Vega Baja'!$R$30)</f>
        <v>0</v>
      </c>
      <c r="G135" s="544">
        <f>((('Cálculos Vega Baja'!$B$6*G131)*(G130)*'Cálculos Vega Baja'!$F$29)/'Cálculos Vega Baja'!$H$30)+((('Cálculos Vega Baja'!$L$6*G133)*(G132)*'Cálculos Vega Baja'!$P$29)/'Cálculos Vega Baja'!$R$30)</f>
        <v>0</v>
      </c>
      <c r="H135" s="544">
        <f>((('Cálculos Vega Baja'!$B$6*H131)*(H130)*'Cálculos Vega Baja'!$F$29)/'Cálculos Vega Baja'!$H$30)+((('Cálculos Vega Baja'!$L$6*H133)*(H132)*'Cálculos Vega Baja'!$P$29)/'Cálculos Vega Baja'!$R$30)</f>
        <v>0</v>
      </c>
      <c r="I135" s="544">
        <f>((('Cálculos Vega Baja'!$B$6*I131)*(I130)*'Cálculos Vega Baja'!$F$29)/'Cálculos Vega Baja'!$H$30)+((('Cálculos Vega Baja'!$L$6*I133)*(I132)*'Cálculos Vega Baja'!$P$29)/'Cálculos Vega Baja'!$R$30)</f>
        <v>0</v>
      </c>
      <c r="J135" s="544">
        <f>((('Cálculos Vega Baja'!$B$6*J131)*(J130)*'Cálculos Vega Baja'!$F$29)/'Cálculos Vega Baja'!$H$30)+((('Cálculos Vega Baja'!$L$6*J133)*(J132)*'Cálculos Vega Baja'!$P$29)/'Cálculos Vega Baja'!$R$30)</f>
        <v>0</v>
      </c>
      <c r="K135" s="544">
        <f>((('Cálculos Vega Baja'!$B$6*K131)*(K130)*'Cálculos Vega Baja'!$F$29)/'Cálculos Vega Baja'!$H$30)+((('Cálculos Vega Baja'!$L$6*K133)*(K132)*'Cálculos Vega Baja'!$P$29)/'Cálculos Vega Baja'!$R$30)</f>
        <v>0</v>
      </c>
      <c r="L135" s="544">
        <f>((('Cálculos Vega Baja'!$B$6*L131)*(L130)*'Cálculos Vega Baja'!$F$29)/'Cálculos Vega Baja'!$H$30)+((('Cálculos Vega Baja'!$L$6*L133)*(L132)*'Cálculos Vega Baja'!$P$29)/'Cálculos Vega Baja'!$R$30)</f>
        <v>0</v>
      </c>
      <c r="M135" s="544">
        <f>((('Cálculos Vega Baja'!$B$6*M131)*(M130)*'Cálculos Vega Baja'!$F$29)/'Cálculos Vega Baja'!$H$30)+((('Cálculos Vega Baja'!$L$6*M133)*(M132)*'Cálculos Vega Baja'!$P$29)/'Cálculos Vega Baja'!$R$30)</f>
        <v>0</v>
      </c>
      <c r="N135" s="544">
        <f>((('Cálculos Vega Baja'!$B$6*N131)*(N130)*'Cálculos Vega Baja'!$F$29)/'Cálculos Vega Baja'!$H$30)+((('Cálculos Vega Baja'!$L$6*N133)*(N132)*'Cálculos Vega Baja'!$P$29)/'Cálculos Vega Baja'!$R$30)</f>
        <v>0</v>
      </c>
      <c r="O135" s="562">
        <f t="shared" si="21"/>
        <v>0</v>
      </c>
    </row>
    <row r="136" spans="1:15" ht="21.75" customHeight="1" x14ac:dyDescent="0.2">
      <c r="A136" s="543" t="s">
        <v>20</v>
      </c>
      <c r="B136" s="543" t="s">
        <v>94</v>
      </c>
      <c r="C136" s="544">
        <f>(('Cálculos Vega Baja'!$B$39*(C130)*'Cálculos Vega Baja'!$F$39)/'Cálculos Vega Baja'!$H$40)+(('Cálculos Vega Baja'!$L$39*(C132)*'Cálculos Vega Baja'!$P$39)/'Cálculos Vega Baja'!$R$40)</f>
        <v>0</v>
      </c>
      <c r="D136" s="544">
        <f>(('Cálculos Vega Baja'!$B$39*(D130)*'Cálculos Vega Baja'!$F$39)/'Cálculos Vega Baja'!$H$40)+(('Cálculos Vega Baja'!$L$39*(D132)*'Cálculos Vega Baja'!$P$39)/'Cálculos Vega Baja'!$R$40)</f>
        <v>0</v>
      </c>
      <c r="E136" s="544">
        <f>(('Cálculos Vega Baja'!$B$39*(E130)*'Cálculos Vega Baja'!$F$39)/'Cálculos Vega Baja'!$H$40)+(('Cálculos Vega Baja'!$L$39*(E132)*'Cálculos Vega Baja'!$P$39)/'Cálculos Vega Baja'!$R$40)</f>
        <v>0</v>
      </c>
      <c r="F136" s="544">
        <f>(('Cálculos Vega Baja'!$B$39*(F130)*'Cálculos Vega Baja'!$F$39)/'Cálculos Vega Baja'!$H$40)+(('Cálculos Vega Baja'!$L$39*(F132)*'Cálculos Vega Baja'!$P$39)/'Cálculos Vega Baja'!$R$40)</f>
        <v>0</v>
      </c>
      <c r="G136" s="544">
        <f>(('Cálculos Vega Baja'!$B$39*(G130)*'Cálculos Vega Baja'!$F$39)/'Cálculos Vega Baja'!$H$40)+(('Cálculos Vega Baja'!$L$39*(G132)*'Cálculos Vega Baja'!$P$39)/'Cálculos Vega Baja'!$R$40)</f>
        <v>0</v>
      </c>
      <c r="H136" s="544">
        <f>(('Cálculos Vega Baja'!$B$39*(H130)*'Cálculos Vega Baja'!$F$39)/'Cálculos Vega Baja'!$H$40)+(('Cálculos Vega Baja'!$L$39*(H132)*'Cálculos Vega Baja'!$P$39)/'Cálculos Vega Baja'!$R$40)</f>
        <v>0</v>
      </c>
      <c r="I136" s="544">
        <f>(('Cálculos Vega Baja'!$B$39*(I130)*'Cálculos Vega Baja'!$F$39)/'Cálculos Vega Baja'!$H$40)+(('Cálculos Vega Baja'!$L$39*(I132)*'Cálculos Vega Baja'!$P$39)/'Cálculos Vega Baja'!$R$40)</f>
        <v>0</v>
      </c>
      <c r="J136" s="544">
        <f>(('Cálculos Vega Baja'!$B$39*(J130)*'Cálculos Vega Baja'!$F$39)/'Cálculos Vega Baja'!$H$40)+(('Cálculos Vega Baja'!$L$39*(J132)*'Cálculos Vega Baja'!$P$39)/'Cálculos Vega Baja'!$R$40)</f>
        <v>0</v>
      </c>
      <c r="K136" s="544">
        <f>(('Cálculos Vega Baja'!$B$39*(K130)*'Cálculos Vega Baja'!$F$39)/'Cálculos Vega Baja'!$H$40)+(('Cálculos Vega Baja'!$L$39*(K132)*'Cálculos Vega Baja'!$P$39)/'Cálculos Vega Baja'!$R$40)</f>
        <v>0</v>
      </c>
      <c r="L136" s="544">
        <f>(('Cálculos Vega Baja'!$B$39*(L130)*'Cálculos Vega Baja'!$F$39)/'Cálculos Vega Baja'!$H$40)+(('Cálculos Vega Baja'!$L$39*(L132)*'Cálculos Vega Baja'!$P$39)/'Cálculos Vega Baja'!$R$40)</f>
        <v>0</v>
      </c>
      <c r="M136" s="544">
        <f>(('Cálculos Vega Baja'!$B$39*(M130)*'Cálculos Vega Baja'!$F$39)/'Cálculos Vega Baja'!$H$40)+(('Cálculos Vega Baja'!$L$39*(M132)*'Cálculos Vega Baja'!$P$39)/'Cálculos Vega Baja'!$R$40)</f>
        <v>0</v>
      </c>
      <c r="N136" s="544">
        <f>(('Cálculos Vega Baja'!$B$39*(N130)*'Cálculos Vega Baja'!$F$39)/'Cálculos Vega Baja'!$H$40)+(('Cálculos Vega Baja'!$L$39*(N132)*'Cálculos Vega Baja'!$P$39)/'Cálculos Vega Baja'!$R$40)</f>
        <v>0</v>
      </c>
      <c r="O136" s="562">
        <f t="shared" si="21"/>
        <v>0</v>
      </c>
    </row>
    <row r="137" spans="1:15" ht="21.75" customHeight="1" x14ac:dyDescent="0.2">
      <c r="A137" s="543" t="s">
        <v>22</v>
      </c>
      <c r="B137" s="543" t="s">
        <v>94</v>
      </c>
      <c r="C137" s="544">
        <f>(('Cálculos Vega Baja'!$B$49*(C130)*'Cálculos Vega Baja'!$F$49)/'Cálculos Vega Baja'!$H$50)+(('Cálculos Vega Baja'!$L$49*(C132)*'Cálculos Vega Baja'!$P$49)/'Cálculos Vega Baja'!$R$50)</f>
        <v>0</v>
      </c>
      <c r="D137" s="544">
        <f>(('Cálculos Vega Baja'!$B$49*(D130)*'Cálculos Vega Baja'!$F$49)/'Cálculos Vega Baja'!$H$50)+(('Cálculos Vega Baja'!$L$49*(D132)*'Cálculos Vega Baja'!$P$49)/'Cálculos Vega Baja'!$R$50)</f>
        <v>0</v>
      </c>
      <c r="E137" s="544">
        <f>(('Cálculos Vega Baja'!$B$49*(E130)*'Cálculos Vega Baja'!$F$49)/'Cálculos Vega Baja'!$H$50)+(('Cálculos Vega Baja'!$L$49*(E132)*'Cálculos Vega Baja'!$P$49)/'Cálculos Vega Baja'!$R$50)</f>
        <v>0</v>
      </c>
      <c r="F137" s="544">
        <f>(('Cálculos Vega Baja'!$B$49*(F130)*'Cálculos Vega Baja'!$F$49)/'Cálculos Vega Baja'!$H$50)+(('Cálculos Vega Baja'!$L$49*(F132)*'Cálculos Vega Baja'!$P$49)/'Cálculos Vega Baja'!$R$50)</f>
        <v>0</v>
      </c>
      <c r="G137" s="544">
        <f>(('Cálculos Vega Baja'!$B$49*(G130)*'Cálculos Vega Baja'!$F$49)/'Cálculos Vega Baja'!$H$50)+(('Cálculos Vega Baja'!$L$49*(G132)*'Cálculos Vega Baja'!$P$49)/'Cálculos Vega Baja'!$R$50)</f>
        <v>0</v>
      </c>
      <c r="H137" s="544">
        <f>(('Cálculos Vega Baja'!$B$49*(H130)*'Cálculos Vega Baja'!$F$49)/'Cálculos Vega Baja'!$H$50)+(('Cálculos Vega Baja'!$L$49*(H132)*'Cálculos Vega Baja'!$P$49)/'Cálculos Vega Baja'!$R$50)</f>
        <v>0</v>
      </c>
      <c r="I137" s="544">
        <f>(('Cálculos Vega Baja'!$B$49*(I130)*'Cálculos Vega Baja'!$F$49)/'Cálculos Vega Baja'!$H$50)+(('Cálculos Vega Baja'!$L$49*(I132)*'Cálculos Vega Baja'!$P$49)/'Cálculos Vega Baja'!$R$50)</f>
        <v>0</v>
      </c>
      <c r="J137" s="544">
        <f>(('Cálculos Vega Baja'!$B$49*(J130)*'Cálculos Vega Baja'!$F$49)/'Cálculos Vega Baja'!$H$50)+(('Cálculos Vega Baja'!$L$49*(J132)*'Cálculos Vega Baja'!$P$49)/'Cálculos Vega Baja'!$R$50)</f>
        <v>0</v>
      </c>
      <c r="K137" s="544">
        <f>(('Cálculos Vega Baja'!$B$49*(K130)*'Cálculos Vega Baja'!$F$49)/'Cálculos Vega Baja'!$H$50)+(('Cálculos Vega Baja'!$L$49*(K132)*'Cálculos Vega Baja'!$P$49)/'Cálculos Vega Baja'!$R$50)</f>
        <v>0</v>
      </c>
      <c r="L137" s="544">
        <f>(('Cálculos Vega Baja'!$B$49*(L130)*'Cálculos Vega Baja'!$F$49)/'Cálculos Vega Baja'!$H$50)+(('Cálculos Vega Baja'!$L$49*(L132)*'Cálculos Vega Baja'!$P$49)/'Cálculos Vega Baja'!$R$50)</f>
        <v>0</v>
      </c>
      <c r="M137" s="544">
        <f>(('Cálculos Vega Baja'!$B$49*(M130)*'Cálculos Vega Baja'!$F$49)/'Cálculos Vega Baja'!$H$50)+(('Cálculos Vega Baja'!$L$49*(M132)*'Cálculos Vega Baja'!$P$49)/'Cálculos Vega Baja'!$R$50)</f>
        <v>0</v>
      </c>
      <c r="N137" s="544">
        <f>(('Cálculos Vega Baja'!$B$49*(N130)*'Cálculos Vega Baja'!$F$49)/'Cálculos Vega Baja'!$H$50)+(('Cálculos Vega Baja'!$L$49*(N132)*'Cálculos Vega Baja'!$P$49)/'Cálculos Vega Baja'!$R$50)</f>
        <v>0</v>
      </c>
      <c r="O137" s="562">
        <f t="shared" si="21"/>
        <v>0</v>
      </c>
    </row>
    <row r="138" spans="1:15" ht="21.75" customHeight="1" x14ac:dyDescent="0.2">
      <c r="A138" s="543" t="s">
        <v>21</v>
      </c>
      <c r="B138" s="543" t="s">
        <v>94</v>
      </c>
      <c r="C138" s="544">
        <f>(('Cálculos Vega Baja'!$B$59*(C130)*'Cálculos Vega Baja'!$F$59)/'Cálculos Vega Baja'!$H$60)+(('Cálculos Vega Baja'!$L$59*(C132)*'Cálculos Vega Baja'!$P$59)/'Cálculos Vega Baja'!$R$60)</f>
        <v>0</v>
      </c>
      <c r="D138" s="544">
        <f>(('Cálculos Vega Baja'!$B$59*(D130)*'Cálculos Vega Baja'!$F$59)/'Cálculos Vega Baja'!$H$60)+(('Cálculos Vega Baja'!$L$59*(D132)*'Cálculos Vega Baja'!$P$59)/'Cálculos Vega Baja'!$R$60)</f>
        <v>0</v>
      </c>
      <c r="E138" s="544">
        <f>(('Cálculos Vega Baja'!$B$59*(E130)*'Cálculos Vega Baja'!$F$59)/'Cálculos Vega Baja'!$H$60)+(('Cálculos Vega Baja'!$L$59*(E132)*'Cálculos Vega Baja'!$P$59)/'Cálculos Vega Baja'!$R$60)</f>
        <v>0</v>
      </c>
      <c r="F138" s="544">
        <f>(('Cálculos Vega Baja'!$B$59*(F130)*'Cálculos Vega Baja'!$F$59)/'Cálculos Vega Baja'!$H$60)+(('Cálculos Vega Baja'!$L$59*(F132)*'Cálculos Vega Baja'!$P$59)/'Cálculos Vega Baja'!$R$60)</f>
        <v>0</v>
      </c>
      <c r="G138" s="544">
        <f>(('Cálculos Vega Baja'!$B$59*(G130)*'Cálculos Vega Baja'!$F$59)/'Cálculos Vega Baja'!$H$60)+(('Cálculos Vega Baja'!$L$59*(G132)*'Cálculos Vega Baja'!$P$59)/'Cálculos Vega Baja'!$R$60)</f>
        <v>0</v>
      </c>
      <c r="H138" s="544">
        <f>(('Cálculos Vega Baja'!$B$59*(H130)*'Cálculos Vega Baja'!$F$59)/'Cálculos Vega Baja'!$H$60)+(('Cálculos Vega Baja'!$L$59*(H132)*'Cálculos Vega Baja'!$P$59)/'Cálculos Vega Baja'!$R$60)</f>
        <v>0</v>
      </c>
      <c r="I138" s="544">
        <f>(('Cálculos Vega Baja'!$B$59*(I130)*'Cálculos Vega Baja'!$F$59)/'Cálculos Vega Baja'!$H$60)+(('Cálculos Vega Baja'!$L$59*(I132)*'Cálculos Vega Baja'!$P$59)/'Cálculos Vega Baja'!$R$60)</f>
        <v>0</v>
      </c>
      <c r="J138" s="544">
        <f>(('Cálculos Vega Baja'!$B$59*(J130)*'Cálculos Vega Baja'!$F$59)/'Cálculos Vega Baja'!$H$60)+(('Cálculos Vega Baja'!$L$59*(J132)*'Cálculos Vega Baja'!$P$59)/'Cálculos Vega Baja'!$R$60)</f>
        <v>0</v>
      </c>
      <c r="K138" s="544">
        <f>(('Cálculos Vega Baja'!$B$59*(K130)*'Cálculos Vega Baja'!$F$59)/'Cálculos Vega Baja'!$H$60)+(('Cálculos Vega Baja'!$L$59*(K132)*'Cálculos Vega Baja'!$P$59)/'Cálculos Vega Baja'!$R$60)</f>
        <v>0</v>
      </c>
      <c r="L138" s="544">
        <f>(('Cálculos Vega Baja'!$B$59*(L130)*'Cálculos Vega Baja'!$F$59)/'Cálculos Vega Baja'!$H$60)+(('Cálculos Vega Baja'!$L$59*(L132)*'Cálculos Vega Baja'!$P$59)/'Cálculos Vega Baja'!$R$60)</f>
        <v>0</v>
      </c>
      <c r="M138" s="544">
        <f>(('Cálculos Vega Baja'!$B$59*(M130)*'Cálculos Vega Baja'!$F$59)/'Cálculos Vega Baja'!$H$60)+(('Cálculos Vega Baja'!$L$59*(M132)*'Cálculos Vega Baja'!$P$59)/'Cálculos Vega Baja'!$R$60)</f>
        <v>0</v>
      </c>
      <c r="N138" s="544">
        <f>(('Cálculos Vega Baja'!$B$59*(N130)*'Cálculos Vega Baja'!$F$59)/'Cálculos Vega Baja'!$H$60)+(('Cálculos Vega Baja'!$L$59*(N132)*'Cálculos Vega Baja'!$P$59)/'Cálculos Vega Baja'!$R$60)</f>
        <v>0</v>
      </c>
      <c r="O138" s="562">
        <f t="shared" si="21"/>
        <v>0</v>
      </c>
    </row>
    <row r="139" spans="1:15" ht="21.75" customHeight="1" x14ac:dyDescent="0.2">
      <c r="A139" s="543" t="s">
        <v>23</v>
      </c>
      <c r="B139" s="543" t="s">
        <v>94</v>
      </c>
      <c r="C139" s="549">
        <f>(('Cálculos Vega Baja'!$B$69*(C130)*'Cálculos Vega Baja'!$F$69)/'Cálculos Vega Baja'!$H$70)+(('Cálculos Vega Baja'!$L$69*(C132)*'Cálculos Vega Baja'!$P$69)/'Cálculos Vega Baja'!$R$70)</f>
        <v>0</v>
      </c>
      <c r="D139" s="549">
        <f>(('Cálculos Vega Baja'!$B$69*(D130)*'Cálculos Vega Baja'!$F$69)/'Cálculos Vega Baja'!$H$70)+(('Cálculos Vega Baja'!$L$69*(D132)*'Cálculos Vega Baja'!$P$69)/'Cálculos Vega Baja'!$R$70)</f>
        <v>0</v>
      </c>
      <c r="E139" s="549">
        <f>(('Cálculos Vega Baja'!$B$69*(E130)*'Cálculos Vega Baja'!$F$69)/'Cálculos Vega Baja'!$H$70)+(('Cálculos Vega Baja'!$L$69*(E132)*'Cálculos Vega Baja'!$P$69)/'Cálculos Vega Baja'!$R$70)</f>
        <v>0</v>
      </c>
      <c r="F139" s="549">
        <f>(('Cálculos Vega Baja'!$B$69*(F130)*'Cálculos Vega Baja'!$F$69)/'Cálculos Vega Baja'!$H$70)+(('Cálculos Vega Baja'!$L$69*(F132)*'Cálculos Vega Baja'!$P$69)/'Cálculos Vega Baja'!$R$70)</f>
        <v>0</v>
      </c>
      <c r="G139" s="549">
        <f>(('Cálculos Vega Baja'!$B$69*(G130)*'Cálculos Vega Baja'!$F$69)/'Cálculos Vega Baja'!$H$70)+(('Cálculos Vega Baja'!$L$69*(G132)*'Cálculos Vega Baja'!$P$69)/'Cálculos Vega Baja'!$R$70)</f>
        <v>0</v>
      </c>
      <c r="H139" s="549">
        <f>(('Cálculos Vega Baja'!$B$69*(H130)*'Cálculos Vega Baja'!$F$69)/'Cálculos Vega Baja'!$H$70)+(('Cálculos Vega Baja'!$L$69*(H132)*'Cálculos Vega Baja'!$P$69)/'Cálculos Vega Baja'!$R$70)</f>
        <v>0</v>
      </c>
      <c r="I139" s="549">
        <f>(('Cálculos Vega Baja'!$B$69*(I130)*'Cálculos Vega Baja'!$F$69)/'Cálculos Vega Baja'!$H$70)+(('Cálculos Vega Baja'!$L$69*(I132)*'Cálculos Vega Baja'!$P$69)/'Cálculos Vega Baja'!$R$70)</f>
        <v>0</v>
      </c>
      <c r="J139" s="549">
        <f>(('Cálculos Vega Baja'!$B$69*(J130)*'Cálculos Vega Baja'!$F$69)/'Cálculos Vega Baja'!$H$70)+(('Cálculos Vega Baja'!$L$69*(J132)*'Cálculos Vega Baja'!$P$69)/'Cálculos Vega Baja'!$R$70)</f>
        <v>0</v>
      </c>
      <c r="K139" s="549">
        <f>(('Cálculos Vega Baja'!$B$69*(K130)*'Cálculos Vega Baja'!$F$69)/'Cálculos Vega Baja'!$H$70)+(('Cálculos Vega Baja'!$L$69*(K132)*'Cálculos Vega Baja'!$P$69)/'Cálculos Vega Baja'!$R$70)</f>
        <v>0</v>
      </c>
      <c r="L139" s="549">
        <f>(('Cálculos Vega Baja'!$B$69*(L130)*'Cálculos Vega Baja'!$F$69)/'Cálculos Vega Baja'!$H$70)+(('Cálculos Vega Baja'!$L$69*(L132)*'Cálculos Vega Baja'!$P$69)/'Cálculos Vega Baja'!$R$70)</f>
        <v>0</v>
      </c>
      <c r="M139" s="549">
        <f>(('Cálculos Vega Baja'!$B$69*(M130)*'Cálculos Vega Baja'!$F$69)/'Cálculos Vega Baja'!$H$70)+(('Cálculos Vega Baja'!$L$69*(M132)*'Cálculos Vega Baja'!$P$69)/'Cálculos Vega Baja'!$R$70)</f>
        <v>0</v>
      </c>
      <c r="N139" s="549">
        <f>(('Cálculos Vega Baja'!$B$69*(N130)*'Cálculos Vega Baja'!$F$69)/'Cálculos Vega Baja'!$H$70)+(('Cálculos Vega Baja'!$L$69*(N132)*'Cálculos Vega Baja'!$P$69)/'Cálculos Vega Baja'!$R$70)</f>
        <v>0</v>
      </c>
      <c r="O139" s="563">
        <f t="shared" si="21"/>
        <v>0</v>
      </c>
    </row>
    <row r="140" spans="1:15" ht="21.75" customHeight="1" x14ac:dyDescent="0.2">
      <c r="A140" s="543" t="s">
        <v>24</v>
      </c>
      <c r="B140" s="543" t="s">
        <v>94</v>
      </c>
      <c r="C140" s="544">
        <f>('Cálculos Vega Baja'!$B$79*((C130))/'Cálculos Vega Baja'!$F$80)+('Cálculos Vega Baja'!$L$79*((C132))/'Cálculos Vega Baja'!$P$80)</f>
        <v>0</v>
      </c>
      <c r="D140" s="544">
        <f>('Cálculos Vega Baja'!$B$79*((D130))/'Cálculos Vega Baja'!$F$80)+('Cálculos Vega Baja'!$L$79*((D132))/'Cálculos Vega Baja'!$P$80)</f>
        <v>0</v>
      </c>
      <c r="E140" s="544">
        <f>('Cálculos Vega Baja'!$B$79*((E130))/'Cálculos Vega Baja'!$F$80)+('Cálculos Vega Baja'!$L$79*((E132))/'Cálculos Vega Baja'!$P$80)</f>
        <v>0</v>
      </c>
      <c r="F140" s="544">
        <f>('Cálculos Vega Baja'!$B$79*((F130))/'Cálculos Vega Baja'!$F$80)+('Cálculos Vega Baja'!$L$79*((F132))/'Cálculos Vega Baja'!$P$80)</f>
        <v>0</v>
      </c>
      <c r="G140" s="544">
        <f>('Cálculos Vega Baja'!$B$79*((G130))/'Cálculos Vega Baja'!$F$80)+('Cálculos Vega Baja'!$L$79*((G132))/'Cálculos Vega Baja'!$P$80)</f>
        <v>0</v>
      </c>
      <c r="H140" s="544">
        <f>('Cálculos Vega Baja'!$B$79*((H130))/'Cálculos Vega Baja'!$F$80)+('Cálculos Vega Baja'!$L$79*((H132))/'Cálculos Vega Baja'!$P$80)</f>
        <v>0</v>
      </c>
      <c r="I140" s="544">
        <f>('Cálculos Vega Baja'!$B$79*((I130))/'Cálculos Vega Baja'!$F$80)+('Cálculos Vega Baja'!$L$79*((I132))/'Cálculos Vega Baja'!$P$80)</f>
        <v>0</v>
      </c>
      <c r="J140" s="544">
        <f>('Cálculos Vega Baja'!$B$79*((J130))/'Cálculos Vega Baja'!$F$80)+('Cálculos Vega Baja'!$L$79*((J132))/'Cálculos Vega Baja'!$P$80)</f>
        <v>0</v>
      </c>
      <c r="K140" s="544">
        <f>('Cálculos Vega Baja'!$B$79*((K130))/'Cálculos Vega Baja'!$F$80)+('Cálculos Vega Baja'!$L$79*((K132))/'Cálculos Vega Baja'!$P$80)</f>
        <v>0</v>
      </c>
      <c r="L140" s="544">
        <f>('Cálculos Vega Baja'!$B$79*((L130))/'Cálculos Vega Baja'!$F$80)+('Cálculos Vega Baja'!$L$79*((L132))/'Cálculos Vega Baja'!$P$80)</f>
        <v>0</v>
      </c>
      <c r="M140" s="544">
        <f>('Cálculos Vega Baja'!$B$79*((M130))/'Cálculos Vega Baja'!$F$80)+('Cálculos Vega Baja'!$L$79*((M132))/'Cálculos Vega Baja'!$P$80)</f>
        <v>0</v>
      </c>
      <c r="N140" s="544">
        <f>('Cálculos Vega Baja'!$B$79*((N130))/'Cálculos Vega Baja'!$F$80)+('Cálculos Vega Baja'!$L$79*((N132))/'Cálculos Vega Baja'!$P$80)</f>
        <v>0</v>
      </c>
      <c r="O140" s="562">
        <f t="shared" si="21"/>
        <v>0</v>
      </c>
    </row>
    <row r="141" spans="1:15" ht="21.75" customHeight="1" x14ac:dyDescent="0.2">
      <c r="A141" s="626" t="s">
        <v>47</v>
      </c>
      <c r="B141" s="626"/>
      <c r="C141" s="555"/>
      <c r="D141" s="555"/>
      <c r="E141" s="555"/>
      <c r="F141" s="555"/>
      <c r="G141" s="555"/>
      <c r="H141" s="555"/>
      <c r="I141" s="555"/>
      <c r="J141" s="626"/>
      <c r="K141" s="626"/>
      <c r="L141" s="555"/>
      <c r="M141" s="555"/>
      <c r="N141" s="555"/>
      <c r="O141" s="555"/>
    </row>
    <row r="142" spans="1:15" ht="21.75" hidden="1" customHeight="1" x14ac:dyDescent="0.2">
      <c r="A142" s="543" t="s">
        <v>403</v>
      </c>
      <c r="B142" s="543" t="s">
        <v>92</v>
      </c>
      <c r="C142" s="556">
        <f>Turbinas!$N$6*42</f>
        <v>0</v>
      </c>
      <c r="D142" s="556">
        <f>Turbinas!$N$7*42</f>
        <v>0</v>
      </c>
      <c r="E142" s="556">
        <f>Turbinas!$N$8*42</f>
        <v>0</v>
      </c>
      <c r="F142" s="556">
        <f>Turbinas!$N$9*42</f>
        <v>0</v>
      </c>
      <c r="G142" s="556">
        <f>Turbinas!$N$10*42</f>
        <v>0</v>
      </c>
      <c r="H142" s="556">
        <f>Turbinas!$N$11*42</f>
        <v>0</v>
      </c>
      <c r="I142" s="556">
        <f>Turbinas!$N$12*42</f>
        <v>0</v>
      </c>
      <c r="J142" s="556">
        <f>Turbinas!$N$13*42</f>
        <v>0</v>
      </c>
      <c r="K142" s="556">
        <f>Turbinas!$N$14*42</f>
        <v>0</v>
      </c>
      <c r="L142" s="556">
        <f>Turbinas!$N$15*42</f>
        <v>0</v>
      </c>
      <c r="M142" s="556">
        <f>Turbinas!$N$16*42</f>
        <v>0</v>
      </c>
      <c r="N142" s="556">
        <f>Turbinas!$N$17*42</f>
        <v>0</v>
      </c>
      <c r="O142" s="564">
        <f>SUM(C142:N142)</f>
        <v>0</v>
      </c>
    </row>
    <row r="143" spans="1:15" ht="21.75" hidden="1" customHeight="1" x14ac:dyDescent="0.2">
      <c r="A143" s="543" t="s">
        <v>404</v>
      </c>
      <c r="B143" s="543" t="s">
        <v>371</v>
      </c>
      <c r="C143" s="560">
        <f>Turbinas!$W$6</f>
        <v>0.01</v>
      </c>
      <c r="D143" s="560">
        <f>Turbinas!$W$7</f>
        <v>0.01</v>
      </c>
      <c r="E143" s="560">
        <f>Turbinas!$W$8</f>
        <v>0.01</v>
      </c>
      <c r="F143" s="560">
        <f>Turbinas!$W$9</f>
        <v>0.01</v>
      </c>
      <c r="G143" s="560">
        <f>Turbinas!$W$10</f>
        <v>0.01</v>
      </c>
      <c r="H143" s="560">
        <f>Turbinas!$W$11</f>
        <v>0.01</v>
      </c>
      <c r="I143" s="560">
        <f>Turbinas!$W$12</f>
        <v>0.01</v>
      </c>
      <c r="J143" s="560">
        <f>Turbinas!$W$13</f>
        <v>0.01</v>
      </c>
      <c r="K143" s="560">
        <f>Turbinas!$W$14</f>
        <v>0.01</v>
      </c>
      <c r="L143" s="560">
        <f>Turbinas!$W$15</f>
        <v>0.01</v>
      </c>
      <c r="M143" s="560">
        <f>Turbinas!$W$16</f>
        <v>0.01</v>
      </c>
      <c r="N143" s="560">
        <f>Turbinas!$W$17</f>
        <v>0.01</v>
      </c>
      <c r="O143" s="565">
        <f>IF(O142=0,0,SUMPRODUCT(C143:N143,C142:N142)/O142)</f>
        <v>0</v>
      </c>
    </row>
    <row r="144" spans="1:15" ht="21.75" hidden="1" customHeight="1" x14ac:dyDescent="0.2">
      <c r="A144" s="543" t="s">
        <v>393</v>
      </c>
      <c r="B144" s="543" t="s">
        <v>92</v>
      </c>
      <c r="C144" s="556">
        <f>Turbinas!$O$6*42</f>
        <v>0</v>
      </c>
      <c r="D144" s="556">
        <f>Turbinas!$O$7*42</f>
        <v>146196.96</v>
      </c>
      <c r="E144" s="556">
        <f>Turbinas!$O$8*42</f>
        <v>126224.7</v>
      </c>
      <c r="F144" s="556">
        <f>Turbinas!$O$9*42</f>
        <v>261518.04</v>
      </c>
      <c r="G144" s="556">
        <f>Turbinas!$O$10*42</f>
        <v>411226.2</v>
      </c>
      <c r="H144" s="556">
        <f>Turbinas!$O$11*42</f>
        <v>185063.34000000003</v>
      </c>
      <c r="I144" s="556">
        <f>Turbinas!$O$12*42</f>
        <v>78391.740000000005</v>
      </c>
      <c r="J144" s="556">
        <f>Turbinas!$O$13*42</f>
        <v>335179.74</v>
      </c>
      <c r="K144" s="556">
        <f>Turbinas!$O$14*42</f>
        <v>352414.86</v>
      </c>
      <c r="L144" s="556">
        <f>Turbinas!$O$15*42</f>
        <v>279020.7</v>
      </c>
      <c r="M144" s="556">
        <f>Turbinas!$O$16*42</f>
        <v>48707.82</v>
      </c>
      <c r="N144" s="556">
        <f>Turbinas!$O$17*42</f>
        <v>85532.160000000003</v>
      </c>
      <c r="O144" s="564">
        <f>SUM(C144:N144)</f>
        <v>2309476.2600000002</v>
      </c>
    </row>
    <row r="145" spans="1:15" ht="21.75" hidden="1" customHeight="1" x14ac:dyDescent="0.2">
      <c r="A145" s="543" t="s">
        <v>405</v>
      </c>
      <c r="B145" s="543" t="s">
        <v>371</v>
      </c>
      <c r="C145" s="560">
        <f>Turbinas!$X$6</f>
        <v>0.01</v>
      </c>
      <c r="D145" s="560">
        <f>Turbinas!$X$7</f>
        <v>0.01</v>
      </c>
      <c r="E145" s="560">
        <f>Turbinas!$X$8</f>
        <v>0.01</v>
      </c>
      <c r="F145" s="560">
        <f>Turbinas!$X$9</f>
        <v>0.01</v>
      </c>
      <c r="G145" s="560">
        <f>Turbinas!$X$10</f>
        <v>0.01</v>
      </c>
      <c r="H145" s="560">
        <f>Turbinas!$X$11</f>
        <v>0.01</v>
      </c>
      <c r="I145" s="560">
        <f>Turbinas!$X$12</f>
        <v>0.01</v>
      </c>
      <c r="J145" s="560">
        <f>Turbinas!$X$13</f>
        <v>0.01</v>
      </c>
      <c r="K145" s="560">
        <f>Turbinas!$X$14</f>
        <v>0.01</v>
      </c>
      <c r="L145" s="560">
        <f>Turbinas!$X$15</f>
        <v>0.01</v>
      </c>
      <c r="M145" s="560">
        <f>Turbinas!$X$16</f>
        <v>0.01</v>
      </c>
      <c r="N145" s="560">
        <f>Turbinas!$X$17</f>
        <v>0.01</v>
      </c>
      <c r="O145" s="565">
        <f>IF(O144=0,0,SUMPRODUCT(C145:N145,C144:N144)/O144)</f>
        <v>0.01</v>
      </c>
    </row>
    <row r="146" spans="1:15" ht="21.75" customHeight="1" x14ac:dyDescent="0.2">
      <c r="A146" s="543" t="s">
        <v>17</v>
      </c>
      <c r="B146" s="543" t="s">
        <v>94</v>
      </c>
      <c r="C146" s="544">
        <f>(('Cálculos Jobos'!$B$19*(C142)*'Cálculos Jobos'!$F$19)/'Cálculos Jobos'!$H$20)+(('Cálculos Jobos'!$L$19*(C144)*'Cálculos Jobos'!$P$19)/'Cálculos Jobos'!$R$20)</f>
        <v>0</v>
      </c>
      <c r="D146" s="544">
        <f>(('Cálculos Jobos'!$B$19*(D142)*'Cálculos Jobos'!$F$19)/'Cálculos Jobos'!$H$20)+(('Cálculos Jobos'!$L$19*(D144)*'Cálculos Jobos'!$P$19)/'Cálculos Jobos'!$R$20)</f>
        <v>0.12105108287999999</v>
      </c>
      <c r="E146" s="544">
        <f>(('Cálculos Jobos'!$B$19*(E142)*'Cálculos Jobos'!$F$19)/'Cálculos Jobos'!$H$20)+(('Cálculos Jobos'!$L$19*(E144)*'Cálculos Jobos'!$P$19)/'Cálculos Jobos'!$R$20)</f>
        <v>0.10451405160000002</v>
      </c>
      <c r="F146" s="544">
        <f>(('Cálculos Jobos'!$B$19*(F142)*'Cálculos Jobos'!$F$19)/'Cálculos Jobos'!$H$20)+(('Cálculos Jobos'!$L$19*(F144)*'Cálculos Jobos'!$P$19)/'Cálculos Jobos'!$R$20)</f>
        <v>0.21653693712000002</v>
      </c>
      <c r="G146" s="544">
        <f>(('Cálculos Jobos'!$B$19*(G142)*'Cálculos Jobos'!$F$19)/'Cálculos Jobos'!$H$20)+(('Cálculos Jobos'!$L$19*(G144)*'Cálculos Jobos'!$P$19)/'Cálculos Jobos'!$R$20)</f>
        <v>0.34049529360000003</v>
      </c>
      <c r="H146" s="544">
        <f>(('Cálculos Jobos'!$B$19*(H142)*'Cálculos Jobos'!$F$19)/'Cálculos Jobos'!$H$20)+(('Cálculos Jobos'!$L$19*(H144)*'Cálculos Jobos'!$P$19)/'Cálculos Jobos'!$R$20)</f>
        <v>0.15323244552000007</v>
      </c>
      <c r="I146" s="544">
        <f>(('Cálculos Jobos'!$B$19*(I142)*'Cálculos Jobos'!$F$19)/'Cálculos Jobos'!$H$20)+(('Cálculos Jobos'!$L$19*(I144)*'Cálculos Jobos'!$P$19)/'Cálculos Jobos'!$R$20)</f>
        <v>6.4908360720000016E-2</v>
      </c>
      <c r="J146" s="544">
        <f>(('Cálculos Jobos'!$B$19*(J142)*'Cálculos Jobos'!$F$19)/'Cálculos Jobos'!$H$20)+(('Cálculos Jobos'!$L$19*(J144)*'Cálculos Jobos'!$P$19)/'Cálculos Jobos'!$R$20)</f>
        <v>0.27752882472000007</v>
      </c>
      <c r="K146" s="544">
        <f>(('Cálculos Jobos'!$B$19*(K142)*'Cálculos Jobos'!$F$19)/'Cálculos Jobos'!$H$20)+(('Cálculos Jobos'!$L$19*(K144)*'Cálculos Jobos'!$P$19)/'Cálculos Jobos'!$R$20)</f>
        <v>0.29179950407999999</v>
      </c>
      <c r="L146" s="544">
        <f>(('Cálculos Jobos'!$B$19*(L142)*'Cálculos Jobos'!$F$19)/'Cálculos Jobos'!$H$20)+(('Cálculos Jobos'!$L$19*(L144)*'Cálculos Jobos'!$P$19)/'Cálculos Jobos'!$R$20)</f>
        <v>0.23102913960000004</v>
      </c>
      <c r="M146" s="544">
        <f>(('Cálculos Jobos'!$B$19*(M142)*'Cálculos Jobos'!$F$19)/'Cálculos Jobos'!$H$20)+(('Cálculos Jobos'!$L$19*(M144)*'Cálculos Jobos'!$P$19)/'Cálculos Jobos'!$R$20)</f>
        <v>4.0330074960000004E-2</v>
      </c>
      <c r="N146" s="544">
        <f>(('Cálculos Jobos'!$B$19*(N142)*'Cálculos Jobos'!$F$19)/'Cálculos Jobos'!$H$20)+(('Cálculos Jobos'!$L$19*(N144)*'Cálculos Jobos'!$P$19)/'Cálculos Jobos'!$R$20)</f>
        <v>7.0820628480000009E-2</v>
      </c>
      <c r="O146" s="562">
        <f t="shared" ref="O146:O152" si="22">SUM(C146:N146)</f>
        <v>1.9122463432800001</v>
      </c>
    </row>
    <row r="147" spans="1:15" ht="21.75" customHeight="1" x14ac:dyDescent="0.2">
      <c r="A147" s="543" t="s">
        <v>365</v>
      </c>
      <c r="B147" s="543" t="s">
        <v>94</v>
      </c>
      <c r="C147" s="544">
        <f>((('Cálculos Jobos'!$B$6*C143)*(C142)*'Cálculos Jobos'!$F$29)/'Cálculos Jobos'!$H$30)+((('Cálculos Jobos'!$L$6*C145)*(C144)*'Cálculos Jobos'!$P$29)/'Cálculos Jobos'!$R$30)</f>
        <v>0</v>
      </c>
      <c r="D147" s="544">
        <f>((('Cálculos Jobos'!$B$6*D143)*(D142)*'Cálculos Jobos'!$F$29)/'Cálculos Jobos'!$H$30)+((('Cálculos Jobos'!$L$6*D145)*(D144)*'Cálculos Jobos'!$P$29)/'Cálculos Jobos'!$R$30)</f>
        <v>0.101884661424</v>
      </c>
      <c r="E147" s="544">
        <f>((('Cálculos Jobos'!$B$6*E143)*(E142)*'Cálculos Jobos'!$F$29)/'Cálculos Jobos'!$H$30)+((('Cálculos Jobos'!$L$6*E145)*(E144)*'Cálculos Jobos'!$P$29)/'Cálculos Jobos'!$R$30)</f>
        <v>8.796599343E-2</v>
      </c>
      <c r="F147" s="544">
        <f>((('Cálculos Jobos'!$B$6*F143)*(F142)*'Cálculos Jobos'!$F$29)/'Cálculos Jobos'!$H$30)+((('Cálculos Jobos'!$L$6*F145)*(F144)*'Cálculos Jobos'!$P$29)/'Cálculos Jobos'!$R$30)</f>
        <v>0.18225192207599999</v>
      </c>
      <c r="G147" s="544">
        <f>((('Cálculos Jobos'!$B$6*G143)*(G142)*'Cálculos Jobos'!$F$29)/'Cálculos Jobos'!$H$30)+((('Cálculos Jobos'!$L$6*G145)*(G144)*'Cálculos Jobos'!$P$29)/'Cálculos Jobos'!$R$30)</f>
        <v>0.28658353878000004</v>
      </c>
      <c r="H147" s="544">
        <f>((('Cálculos Jobos'!$B$6*H143)*(H142)*'Cálculos Jobos'!$F$29)/'Cálculos Jobos'!$H$30)+((('Cálculos Jobos'!$L$6*H145)*(H144)*'Cálculos Jobos'!$P$29)/'Cálculos Jobos'!$R$30)</f>
        <v>0.12897064164600003</v>
      </c>
      <c r="I147" s="544">
        <f>((('Cálculos Jobos'!$B$6*I143)*(I142)*'Cálculos Jobos'!$F$29)/'Cálculos Jobos'!$H$30)+((('Cálculos Jobos'!$L$6*I145)*(I144)*'Cálculos Jobos'!$P$29)/'Cálculos Jobos'!$R$30)</f>
        <v>5.4631203606000003E-2</v>
      </c>
      <c r="J147" s="544">
        <f>((('Cálculos Jobos'!$B$6*J143)*(J142)*'Cálculos Jobos'!$F$29)/'Cálculos Jobos'!$H$30)+((('Cálculos Jobos'!$L$6*J145)*(J144)*'Cálculos Jobos'!$P$29)/'Cálculos Jobos'!$R$30)</f>
        <v>0.23358676080599999</v>
      </c>
      <c r="K147" s="544">
        <f>((('Cálculos Jobos'!$B$6*K143)*(K142)*'Cálculos Jobos'!$F$29)/'Cálculos Jobos'!$H$30)+((('Cálculos Jobos'!$L$6*K145)*(K144)*'Cálculos Jobos'!$P$29)/'Cálculos Jobos'!$R$30)</f>
        <v>0.24559791593400002</v>
      </c>
      <c r="L147" s="544">
        <f>((('Cálculos Jobos'!$B$6*L143)*(L142)*'Cálculos Jobos'!$F$29)/'Cálculos Jobos'!$H$30)+((('Cálculos Jobos'!$L$6*L145)*(L144)*'Cálculos Jobos'!$P$29)/'Cálculos Jobos'!$R$30)</f>
        <v>0.19444952583000003</v>
      </c>
      <c r="M147" s="544">
        <f>((('Cálculos Jobos'!$B$6*M143)*(M142)*'Cálculos Jobos'!$F$29)/'Cálculos Jobos'!$H$30)+((('Cálculos Jobos'!$L$6*M145)*(M144)*'Cálculos Jobos'!$P$29)/'Cálculos Jobos'!$R$30)</f>
        <v>3.3944479758000003E-2</v>
      </c>
      <c r="N147" s="544">
        <f>((('Cálculos Jobos'!$B$6*N143)*(N142)*'Cálculos Jobos'!$F$29)/'Cálculos Jobos'!$H$30)+((('Cálculos Jobos'!$L$6*N145)*(N144)*'Cálculos Jobos'!$P$29)/'Cálculos Jobos'!$R$30)</f>
        <v>5.9607362304000003E-2</v>
      </c>
      <c r="O147" s="562">
        <f t="shared" si="22"/>
        <v>1.6094740055940002</v>
      </c>
    </row>
    <row r="148" spans="1:15" ht="21.75" customHeight="1" x14ac:dyDescent="0.2">
      <c r="A148" s="543" t="s">
        <v>20</v>
      </c>
      <c r="B148" s="543" t="s">
        <v>94</v>
      </c>
      <c r="C148" s="544">
        <f>(('Cálculos Jobos'!$B$39*(C142)*'Cálculos Jobos'!$F$39)/'Cálculos Jobos'!$H$40)+(('Cálculos Jobos'!$L$39*(C144)*'Cálculos Jobos'!$P$39)/'Cálculos Jobos'!$R$40)</f>
        <v>0</v>
      </c>
      <c r="D148" s="544">
        <f>(('Cálculos Jobos'!$B$39*(D142)*'Cálculos Jobos'!$F$39)/'Cálculos Jobos'!$H$40)+(('Cálculos Jobos'!$L$39*(D144)*'Cálculos Jobos'!$P$39)/'Cálculos Jobos'!$R$40)</f>
        <v>8.8770794112000004</v>
      </c>
      <c r="E148" s="544">
        <f>(('Cálculos Jobos'!$B$39*(E142)*'Cálculos Jobos'!$F$39)/'Cálculos Jobos'!$H$40)+(('Cálculos Jobos'!$L$39*(E144)*'Cálculos Jobos'!$P$39)/'Cálculos Jobos'!$R$40)</f>
        <v>7.6643637840000007</v>
      </c>
      <c r="F148" s="544">
        <f>(('Cálculos Jobos'!$B$39*(F142)*'Cálculos Jobos'!$F$39)/'Cálculos Jobos'!$H$40)+(('Cálculos Jobos'!$L$39*(F144)*'Cálculos Jobos'!$P$39)/'Cálculos Jobos'!$R$40)</f>
        <v>15.879375388800003</v>
      </c>
      <c r="G148" s="544">
        <f>(('Cálculos Jobos'!$B$39*(G142)*'Cálculos Jobos'!$F$39)/'Cálculos Jobos'!$H$40)+(('Cálculos Jobos'!$L$39*(G144)*'Cálculos Jobos'!$P$39)/'Cálculos Jobos'!$R$40)</f>
        <v>24.969654864000002</v>
      </c>
      <c r="H148" s="544">
        <f>(('Cálculos Jobos'!$B$39*(H142)*'Cálculos Jobos'!$F$39)/'Cálculos Jobos'!$H$40)+(('Cálculos Jobos'!$L$39*(H144)*'Cálculos Jobos'!$P$39)/'Cálculos Jobos'!$R$40)</f>
        <v>11.237046004800002</v>
      </c>
      <c r="I148" s="544">
        <f>(('Cálculos Jobos'!$B$39*(I142)*'Cálculos Jobos'!$F$39)/'Cálculos Jobos'!$H$40)+(('Cálculos Jobos'!$L$39*(I144)*'Cálculos Jobos'!$P$39)/'Cálculos Jobos'!$R$40)</f>
        <v>4.7599464528000004</v>
      </c>
      <c r="J148" s="544">
        <f>(('Cálculos Jobos'!$B$39*(J142)*'Cálculos Jobos'!$F$39)/'Cálculos Jobos'!$H$40)+(('Cálculos Jobos'!$L$39*(J144)*'Cálculos Jobos'!$P$39)/'Cálculos Jobos'!$R$40)</f>
        <v>20.352113812800003</v>
      </c>
      <c r="K148" s="544">
        <f>(('Cálculos Jobos'!$B$39*(K142)*'Cálculos Jobos'!$F$39)/'Cálculos Jobos'!$H$40)+(('Cálculos Jobos'!$L$39*(K144)*'Cálculos Jobos'!$P$39)/'Cálculos Jobos'!$R$40)</f>
        <v>21.398630299200001</v>
      </c>
      <c r="L148" s="544">
        <f>(('Cálculos Jobos'!$B$39*(L142)*'Cálculos Jobos'!$F$39)/'Cálculos Jobos'!$H$40)+(('Cálculos Jobos'!$L$39*(L144)*'Cálculos Jobos'!$P$39)/'Cálculos Jobos'!$R$40)</f>
        <v>16.942136904000002</v>
      </c>
      <c r="M148" s="544">
        <f>(('Cálculos Jobos'!$B$39*(M142)*'Cálculos Jobos'!$F$39)/'Cálculos Jobos'!$H$40)+(('Cálculos Jobos'!$L$39*(M144)*'Cálculos Jobos'!$P$39)/'Cálculos Jobos'!$R$40)</f>
        <v>2.9575388304000003</v>
      </c>
      <c r="N148" s="544">
        <f>(('Cálculos Jobos'!$B$39*(N142)*'Cálculos Jobos'!$F$39)/'Cálculos Jobos'!$H$40)+(('Cálculos Jobos'!$L$39*(N144)*'Cálculos Jobos'!$P$39)/'Cálculos Jobos'!$R$40)</f>
        <v>5.1935127552000004</v>
      </c>
      <c r="O148" s="562">
        <f t="shared" si="22"/>
        <v>140.23139850720003</v>
      </c>
    </row>
    <row r="149" spans="1:15" ht="21.75" customHeight="1" x14ac:dyDescent="0.2">
      <c r="A149" s="543" t="s">
        <v>22</v>
      </c>
      <c r="B149" s="543" t="s">
        <v>94</v>
      </c>
      <c r="C149" s="544">
        <f>(('Cálculos Jobos'!$B$49*(C142)*'Cálculos Jobos'!$F$49)/'Cálculos Jobos'!$H$50)+(('Cálculos Jobos'!$L$49*(C144)*'Cálculos Jobos'!$P$49)/'Cálculos Jobos'!$R$50)</f>
        <v>0</v>
      </c>
      <c r="D149" s="544">
        <f>(('Cálculos Jobos'!$B$49*(D142)*'Cálculos Jobos'!$F$49)/'Cálculos Jobos'!$H$50)+(('Cálculos Jobos'!$L$49*(D144)*'Cálculos Jobos'!$P$49)/'Cálculos Jobos'!$R$50)</f>
        <v>4.1359119983999998E-3</v>
      </c>
      <c r="E149" s="544">
        <f>(('Cálculos Jobos'!$B$49*(E142)*'Cálculos Jobos'!$F$49)/'Cálculos Jobos'!$H$50)+(('Cálculos Jobos'!$L$49*(E144)*'Cálculos Jobos'!$P$49)/'Cálculos Jobos'!$R$50)</f>
        <v>3.570896763E-3</v>
      </c>
      <c r="F149" s="544">
        <f>(('Cálculos Jobos'!$B$49*(F142)*'Cálculos Jobos'!$F$49)/'Cálculos Jobos'!$H$50)+(('Cálculos Jobos'!$L$49*(F144)*'Cálculos Jobos'!$P$49)/'Cálculos Jobos'!$R$50)</f>
        <v>7.3983453516000015E-3</v>
      </c>
      <c r="G149" s="544">
        <f>(('Cálculos Jobos'!$B$49*(G142)*'Cálculos Jobos'!$F$49)/'Cálculos Jobos'!$H$50)+(('Cálculos Jobos'!$L$49*(G144)*'Cálculos Jobos'!$P$49)/'Cálculos Jobos'!$R$50)</f>
        <v>1.1633589198000002E-2</v>
      </c>
      <c r="H149" s="544">
        <f>(('Cálculos Jobos'!$B$49*(H142)*'Cálculos Jobos'!$F$49)/'Cálculos Jobos'!$H$50)+(('Cálculos Jobos'!$L$49*(H144)*'Cálculos Jobos'!$P$49)/'Cálculos Jobos'!$R$50)</f>
        <v>5.2354418886000004E-3</v>
      </c>
      <c r="I149" s="544">
        <f>(('Cálculos Jobos'!$B$49*(I142)*'Cálculos Jobos'!$F$49)/'Cálculos Jobos'!$H$50)+(('Cálculos Jobos'!$L$49*(I144)*'Cálculos Jobos'!$P$49)/'Cálculos Jobos'!$R$50)</f>
        <v>2.2177023246000003E-3</v>
      </c>
      <c r="J149" s="544">
        <f>(('Cálculos Jobos'!$B$49*(J142)*'Cálculos Jobos'!$F$49)/'Cálculos Jobos'!$H$50)+(('Cálculos Jobos'!$L$49*(J144)*'Cálculos Jobos'!$P$49)/'Cálculos Jobos'!$R$50)</f>
        <v>9.4822348446000002E-3</v>
      </c>
      <c r="K149" s="544">
        <f>(('Cálculos Jobos'!$B$49*(K142)*'Cálculos Jobos'!$F$49)/'Cálculos Jobos'!$H$50)+(('Cálculos Jobos'!$L$49*(K144)*'Cálculos Jobos'!$P$49)/'Cálculos Jobos'!$R$50)</f>
        <v>9.9698163893999995E-3</v>
      </c>
      <c r="L149" s="544">
        <f>(('Cálculos Jobos'!$B$49*(L142)*'Cálculos Jobos'!$F$49)/'Cálculos Jobos'!$H$50)+(('Cálculos Jobos'!$L$49*(L144)*'Cálculos Jobos'!$P$49)/'Cálculos Jobos'!$R$50)</f>
        <v>7.893495603000001E-3</v>
      </c>
      <c r="M149" s="544">
        <f>(('Cálculos Jobos'!$B$49*(M142)*'Cálculos Jobos'!$F$49)/'Cálculos Jobos'!$H$50)+(('Cálculos Jobos'!$L$49*(M144)*'Cálculos Jobos'!$P$49)/'Cálculos Jobos'!$R$50)</f>
        <v>1.3779442278000001E-3</v>
      </c>
      <c r="N149" s="544">
        <f>(('Cálculos Jobos'!$B$49*(N142)*'Cálculos Jobos'!$F$49)/'Cálculos Jobos'!$H$50)+(('Cálculos Jobos'!$L$49*(N144)*'Cálculos Jobos'!$P$49)/'Cálculos Jobos'!$R$50)</f>
        <v>2.4197048064000001E-3</v>
      </c>
      <c r="O149" s="562">
        <f t="shared" si="22"/>
        <v>6.5335083395400007E-2</v>
      </c>
    </row>
    <row r="150" spans="1:15" ht="21.75" customHeight="1" x14ac:dyDescent="0.2">
      <c r="A150" s="543" t="s">
        <v>21</v>
      </c>
      <c r="B150" s="543" t="s">
        <v>94</v>
      </c>
      <c r="C150" s="544">
        <f>(('Cálculos Jobos'!$B$59*(C142)*'Cálculos Jobos'!$F$59)/'Cálculos Jobos'!$H$60)+(('Cálculos Jobos'!$L$59*(C144)*'Cálculos Jobos'!$P$59)/'Cálculos Jobos'!$R$60)</f>
        <v>0</v>
      </c>
      <c r="D150" s="544">
        <f>(('Cálculos Jobos'!$B$59*(D142)*'Cálculos Jobos'!$F$59)/'Cálculos Jobos'!$H$60)+(('Cálculos Jobos'!$L$59*(D144)*'Cálculos Jobos'!$P$59)/'Cálculos Jobos'!$R$60)</f>
        <v>3.3289047791999996E-2</v>
      </c>
      <c r="E150" s="544">
        <f>(('Cálculos Jobos'!$B$59*(E142)*'Cálculos Jobos'!$F$59)/'Cálculos Jobos'!$H$60)+(('Cálculos Jobos'!$L$59*(E144)*'Cálculos Jobos'!$P$59)/'Cálculos Jobos'!$R$60)</f>
        <v>2.874136419E-2</v>
      </c>
      <c r="F150" s="544">
        <f>(('Cálculos Jobos'!$B$59*(F142)*'Cálculos Jobos'!$F$59)/'Cálculos Jobos'!$H$60)+(('Cálculos Jobos'!$L$59*(F144)*'Cálculos Jobos'!$P$59)/'Cálculos Jobos'!$R$60)</f>
        <v>5.954765770800001E-2</v>
      </c>
      <c r="G150" s="544">
        <f>(('Cálculos Jobos'!$B$59*(G142)*'Cálculos Jobos'!$F$59)/'Cálculos Jobos'!$H$60)+(('Cálculos Jobos'!$L$59*(G144)*'Cálculos Jobos'!$P$59)/'Cálculos Jobos'!$R$60)</f>
        <v>9.3636205740000006E-2</v>
      </c>
      <c r="H150" s="544">
        <f>(('Cálculos Jobos'!$B$59*(H142)*'Cálculos Jobos'!$F$59)/'Cálculos Jobos'!$H$60)+(('Cálculos Jobos'!$L$59*(H144)*'Cálculos Jobos'!$P$59)/'Cálculos Jobos'!$R$60)</f>
        <v>4.2138922518000006E-2</v>
      </c>
      <c r="I150" s="544">
        <f>(('Cálculos Jobos'!$B$59*(I142)*'Cálculos Jobos'!$F$59)/'Cálculos Jobos'!$H$60)+(('Cálculos Jobos'!$L$59*(I144)*'Cálculos Jobos'!$P$59)/'Cálculos Jobos'!$R$60)</f>
        <v>1.7849799198000001E-2</v>
      </c>
      <c r="J150" s="544">
        <f>(('Cálculos Jobos'!$B$59*(J142)*'Cálculos Jobos'!$F$59)/'Cálculos Jobos'!$H$60)+(('Cálculos Jobos'!$L$59*(J144)*'Cálculos Jobos'!$P$59)/'Cálculos Jobos'!$R$60)</f>
        <v>7.6320426797999996E-2</v>
      </c>
      <c r="K150" s="544">
        <f>(('Cálculos Jobos'!$B$59*(K142)*'Cálculos Jobos'!$F$59)/'Cálculos Jobos'!$H$60)+(('Cálculos Jobos'!$L$59*(K144)*'Cálculos Jobos'!$P$59)/'Cálculos Jobos'!$R$60)</f>
        <v>8.0244863621999993E-2</v>
      </c>
      <c r="L150" s="544">
        <f>(('Cálculos Jobos'!$B$59*(L142)*'Cálculos Jobos'!$F$59)/'Cálculos Jobos'!$H$60)+(('Cálculos Jobos'!$L$59*(L144)*'Cálculos Jobos'!$P$59)/'Cálculos Jobos'!$R$60)</f>
        <v>6.3533013390000004E-2</v>
      </c>
      <c r="M150" s="544">
        <f>(('Cálculos Jobos'!$B$59*(M142)*'Cálculos Jobos'!$F$59)/'Cálculos Jobos'!$H$60)+(('Cálculos Jobos'!$L$59*(M144)*'Cálculos Jobos'!$P$59)/'Cálculos Jobos'!$R$60)</f>
        <v>1.1090770614E-2</v>
      </c>
      <c r="N150" s="544">
        <f>(('Cálculos Jobos'!$B$59*(N142)*'Cálculos Jobos'!$F$59)/'Cálculos Jobos'!$H$60)+(('Cálculos Jobos'!$L$59*(N144)*'Cálculos Jobos'!$P$59)/'Cálculos Jobos'!$R$60)</f>
        <v>1.9475672832E-2</v>
      </c>
      <c r="O150" s="562">
        <f t="shared" si="22"/>
        <v>0.52586774440200013</v>
      </c>
    </row>
    <row r="151" spans="1:15" ht="21.75" customHeight="1" x14ac:dyDescent="0.2">
      <c r="A151" s="543" t="s">
        <v>23</v>
      </c>
      <c r="B151" s="543" t="s">
        <v>94</v>
      </c>
      <c r="C151" s="549">
        <f>(('Cálculos Jobos'!$B$69*(C142)*'Cálculos Jobos'!$F$69)/'Cálculos Jobos'!$H$70)+(('Cálculos Jobos'!$L$69*(C144)*'Cálculos Jobos'!$P$69)/'Cálculos Jobos'!$R$70)</f>
        <v>0</v>
      </c>
      <c r="D151" s="549">
        <f>(('Cálculos Jobos'!$B$69*(D142)*'Cálculos Jobos'!$F$69)/'Cálculos Jobos'!$H$70)+(('Cálculos Jobos'!$L$69*(D144)*'Cálculos Jobos'!$P$69)/'Cálculos Jobos'!$R$70)</f>
        <v>1.4122626336000003E-4</v>
      </c>
      <c r="E151" s="549">
        <f>(('Cálculos Jobos'!$B$69*(E142)*'Cálculos Jobos'!$F$69)/'Cálculos Jobos'!$H$70)+(('Cálculos Jobos'!$L$69*(E144)*'Cálculos Jobos'!$P$69)/'Cálculos Jobos'!$R$70)</f>
        <v>1.2193306020000001E-4</v>
      </c>
      <c r="F151" s="549">
        <f>(('Cálculos Jobos'!$B$69*(F142)*'Cálculos Jobos'!$F$69)/'Cálculos Jobos'!$H$70)+(('Cálculos Jobos'!$L$69*(F144)*'Cálculos Jobos'!$P$69)/'Cálculos Jobos'!$R$70)</f>
        <v>2.5262642664000001E-4</v>
      </c>
      <c r="G151" s="549">
        <f>(('Cálculos Jobos'!$B$69*(G142)*'Cálculos Jobos'!$F$69)/'Cálculos Jobos'!$H$70)+(('Cálculos Jobos'!$L$69*(G144)*'Cálculos Jobos'!$P$69)/'Cálculos Jobos'!$R$70)</f>
        <v>3.9724450920000003E-4</v>
      </c>
      <c r="H151" s="549">
        <f>(('Cálculos Jobos'!$B$69*(H142)*'Cálculos Jobos'!$F$69)/'Cálculos Jobos'!$H$70)+(('Cálculos Jobos'!$L$69*(H144)*'Cálculos Jobos'!$P$69)/'Cálculos Jobos'!$R$70)</f>
        <v>1.7877118644000006E-4</v>
      </c>
      <c r="I151" s="549">
        <f>(('Cálculos Jobos'!$B$69*(I142)*'Cálculos Jobos'!$F$69)/'Cálculos Jobos'!$H$70)+(('Cálculos Jobos'!$L$69*(I144)*'Cálculos Jobos'!$P$69)/'Cálculos Jobos'!$R$70)</f>
        <v>7.5726420840000014E-5</v>
      </c>
      <c r="J151" s="549">
        <f>(('Cálculos Jobos'!$B$69*(J142)*'Cálculos Jobos'!$F$69)/'Cálculos Jobos'!$H$70)+(('Cálculos Jobos'!$L$69*(J144)*'Cálculos Jobos'!$P$69)/'Cálculos Jobos'!$R$70)</f>
        <v>3.2378362884E-4</v>
      </c>
      <c r="K151" s="549">
        <f>(('Cálculos Jobos'!$B$69*(K142)*'Cálculos Jobos'!$F$69)/'Cálculos Jobos'!$H$70)+(('Cálculos Jobos'!$L$69*(K144)*'Cálculos Jobos'!$P$69)/'Cálculos Jobos'!$R$70)</f>
        <v>3.4043275475999999E-4</v>
      </c>
      <c r="L151" s="549">
        <f>(('Cálculos Jobos'!$B$69*(L142)*'Cálculos Jobos'!$F$69)/'Cálculos Jobos'!$H$70)+(('Cálculos Jobos'!$L$69*(L144)*'Cálculos Jobos'!$P$69)/'Cálculos Jobos'!$R$70)</f>
        <v>2.6953399620000001E-4</v>
      </c>
      <c r="M151" s="549">
        <f>(('Cálculos Jobos'!$B$69*(M142)*'Cálculos Jobos'!$F$69)/'Cálculos Jobos'!$H$70)+(('Cálculos Jobos'!$L$69*(M144)*'Cálculos Jobos'!$P$69)/'Cálculos Jobos'!$R$70)</f>
        <v>4.7051754120000001E-5</v>
      </c>
      <c r="N151" s="549">
        <f>(('Cálculos Jobos'!$B$69*(N142)*'Cálculos Jobos'!$F$69)/'Cálculos Jobos'!$H$70)+(('Cálculos Jobos'!$L$69*(N144)*'Cálculos Jobos'!$P$69)/'Cálculos Jobos'!$R$70)</f>
        <v>8.2624066559999998E-5</v>
      </c>
      <c r="O151" s="563">
        <f t="shared" si="22"/>
        <v>2.2309540671600005E-3</v>
      </c>
    </row>
    <row r="152" spans="1:15" ht="21.75" customHeight="1" x14ac:dyDescent="0.2">
      <c r="A152" s="543" t="s">
        <v>24</v>
      </c>
      <c r="B152" s="543" t="s">
        <v>94</v>
      </c>
      <c r="C152" s="544">
        <f>('Cálculos Jobos'!$B$79*((C142))/'Cálculos Jobos'!$F$80)+('Cálculos Jobos'!$L$79*((C144))/'Cálculos Jobos'!$P$80)</f>
        <v>0</v>
      </c>
      <c r="D152" s="544">
        <f>('Cálculos Jobos'!$B$79*((D142))/'Cálculos Jobos'!$F$80)+('Cálculos Jobos'!$L$79*((D144))/'Cálculos Jobos'!$P$80)</f>
        <v>1650.4482266782318</v>
      </c>
      <c r="E152" s="544">
        <f>('Cálculos Jobos'!$B$79*((E142))/'Cálculos Jobos'!$F$80)+('Cálculos Jobos'!$L$79*((E144))/'Cálculos Jobos'!$P$80)</f>
        <v>1424.977183369557</v>
      </c>
      <c r="F152" s="544">
        <f>('Cálculos Jobos'!$B$79*((F142))/'Cálculos Jobos'!$F$80)+('Cálculos Jobos'!$L$79*((F144))/'Cálculos Jobos'!$P$80)</f>
        <v>2952.3321508351946</v>
      </c>
      <c r="G152" s="544">
        <f>('Cálculos Jobos'!$B$79*((G142))/'Cálculos Jobos'!$F$80)+('Cálculos Jobos'!$L$79*((G144))/'Cálculos Jobos'!$P$80)</f>
        <v>4642.4190527192077</v>
      </c>
      <c r="H152" s="544">
        <f>('Cálculos Jobos'!$B$79*((H142))/'Cálculos Jobos'!$F$80)+('Cálculos Jobos'!$L$79*((H144))/'Cálculos Jobos'!$P$80)</f>
        <v>2089.2189641026098</v>
      </c>
      <c r="I152" s="544">
        <f>('Cálculos Jobos'!$B$79*((I142))/'Cálculos Jobos'!$F$80)+('Cálculos Jobos'!$L$79*((I144))/'Cálculos Jobos'!$P$80)</f>
        <v>884.98083865232923</v>
      </c>
      <c r="J152" s="544">
        <f>('Cálculos Jobos'!$B$79*((J142))/'Cálculos Jobos'!$F$80)+('Cálculos Jobos'!$L$79*((J144))/'Cálculos Jobos'!$P$80)</f>
        <v>3783.9145731995436</v>
      </c>
      <c r="K152" s="544">
        <f>('Cálculos Jobos'!$B$79*((K142))/'Cálculos Jobos'!$F$80)+('Cálculos Jobos'!$L$79*((K144))/'Cálculos Jobos'!$P$80)</f>
        <v>3978.4854674273479</v>
      </c>
      <c r="L152" s="544">
        <f>('Cálculos Jobos'!$B$79*((L142))/'Cálculos Jobos'!$F$80)+('Cálculos Jobos'!$L$79*((L144))/'Cálculos Jobos'!$P$80)</f>
        <v>3149.9233603866928</v>
      </c>
      <c r="M152" s="544">
        <f>('Cálculos Jobos'!$B$79*((M142))/'Cálculos Jobos'!$F$80)+('Cálculos Jobos'!$L$79*((M144))/'Cálculos Jobos'!$P$80)</f>
        <v>549.87282324039097</v>
      </c>
      <c r="N152" s="544">
        <f>('Cálculos Jobos'!$B$79*((N142))/'Cálculos Jobos'!$F$80)+('Cálculos Jobos'!$L$79*((N144))/'Cálculos Jobos'!$P$80)</f>
        <v>965.590541663512</v>
      </c>
      <c r="O152" s="562">
        <f t="shared" si="22"/>
        <v>26072.163182274617</v>
      </c>
    </row>
    <row r="153" spans="1:15" ht="21.75" customHeight="1" x14ac:dyDescent="0.2">
      <c r="A153" s="626" t="s">
        <v>45</v>
      </c>
      <c r="B153" s="626"/>
      <c r="C153" s="555"/>
      <c r="D153" s="555"/>
      <c r="E153" s="555"/>
      <c r="F153" s="555"/>
      <c r="G153" s="555"/>
      <c r="H153" s="555"/>
      <c r="I153" s="555"/>
      <c r="J153" s="626"/>
      <c r="K153" s="626"/>
      <c r="L153" s="555"/>
      <c r="M153" s="555"/>
      <c r="N153" s="555"/>
      <c r="O153" s="555"/>
    </row>
    <row r="154" spans="1:15" ht="21.75" hidden="1" customHeight="1" x14ac:dyDescent="0.2">
      <c r="A154" s="543" t="s">
        <v>406</v>
      </c>
      <c r="B154" s="543" t="s">
        <v>92</v>
      </c>
      <c r="C154" s="556">
        <f>Turbinas!$B$24*42</f>
        <v>1295738.6399999999</v>
      </c>
      <c r="D154" s="556">
        <f>Turbinas!$B$25*42</f>
        <v>1100727.5999999999</v>
      </c>
      <c r="E154" s="556">
        <f>Turbinas!$B$26*42</f>
        <v>994515.06</v>
      </c>
      <c r="F154" s="556">
        <f>Turbinas!$B$27*42</f>
        <v>1408183.56</v>
      </c>
      <c r="G154" s="556">
        <f>Turbinas!$B$28*42</f>
        <v>1642058.04</v>
      </c>
      <c r="H154" s="556">
        <f>Turbinas!$B$29*42</f>
        <v>1171572.78</v>
      </c>
      <c r="I154" s="556">
        <f>Turbinas!$B$30*42</f>
        <v>1060571.4000000001</v>
      </c>
      <c r="J154" s="556">
        <f>Turbinas!$B$31*42</f>
        <v>1464181.32</v>
      </c>
      <c r="K154" s="556">
        <f>Turbinas!$B$32*42</f>
        <v>1399430.76</v>
      </c>
      <c r="L154" s="556">
        <f>Turbinas!$B$33*42</f>
        <v>1424444.2799999998</v>
      </c>
      <c r="M154" s="556">
        <f>Turbinas!$B$34*42</f>
        <v>1039612.1399999999</v>
      </c>
      <c r="N154" s="556">
        <f>Turbinas!$B$35*42</f>
        <v>1353114.84</v>
      </c>
      <c r="O154" s="564">
        <f>SUM(C154:N154)</f>
        <v>15354150.42</v>
      </c>
    </row>
    <row r="155" spans="1:15" ht="21.75" hidden="1" customHeight="1" x14ac:dyDescent="0.2">
      <c r="A155" s="543" t="s">
        <v>407</v>
      </c>
      <c r="B155" s="543" t="s">
        <v>371</v>
      </c>
      <c r="C155" s="560">
        <f>Turbinas!$Y$6</f>
        <v>0.01</v>
      </c>
      <c r="D155" s="560">
        <f>Turbinas!$Y$7</f>
        <v>0.01</v>
      </c>
      <c r="E155" s="560">
        <f>Turbinas!$Y$8</f>
        <v>0.01</v>
      </c>
      <c r="F155" s="560">
        <f>Turbinas!$Y$9</f>
        <v>0.01</v>
      </c>
      <c r="G155" s="560">
        <f>Turbinas!$Y$10</f>
        <v>0.01</v>
      </c>
      <c r="H155" s="560">
        <f>Turbinas!$Y$11</f>
        <v>0.01</v>
      </c>
      <c r="I155" s="560">
        <f>Turbinas!$Y$12</f>
        <v>0.01</v>
      </c>
      <c r="J155" s="560">
        <f>Turbinas!$Y$13</f>
        <v>0.01</v>
      </c>
      <c r="K155" s="560">
        <f>Turbinas!$Y$14</f>
        <v>0.01</v>
      </c>
      <c r="L155" s="560">
        <f>Turbinas!$Y$15</f>
        <v>0.01</v>
      </c>
      <c r="M155" s="560">
        <f>Turbinas!$Y$16</f>
        <v>0.01</v>
      </c>
      <c r="N155" s="560">
        <f>Turbinas!$Y$17</f>
        <v>0.01</v>
      </c>
      <c r="O155" s="565">
        <f>IF(O154=0,0,SUMPRODUCT(C155:N155,C154:N154)/O154)</f>
        <v>0.01</v>
      </c>
    </row>
    <row r="156" spans="1:15" ht="21.75" hidden="1" customHeight="1" x14ac:dyDescent="0.2">
      <c r="A156" s="543" t="s">
        <v>408</v>
      </c>
      <c r="B156" s="543" t="s">
        <v>92</v>
      </c>
      <c r="C156" s="556">
        <f>Turbinas!$C$24*42</f>
        <v>1031868.6</v>
      </c>
      <c r="D156" s="556">
        <f>Turbinas!$C$25*42</f>
        <v>966896.28</v>
      </c>
      <c r="E156" s="556">
        <f>Turbinas!$C$26*42</f>
        <v>849140.46000000008</v>
      </c>
      <c r="F156" s="556">
        <f>Turbinas!$C$27*42</f>
        <v>1239252.8400000001</v>
      </c>
      <c r="G156" s="556">
        <f>Turbinas!$C$28*42</f>
        <v>1438715.04</v>
      </c>
      <c r="H156" s="556">
        <f>Turbinas!$C$29*42</f>
        <v>1077426.8400000001</v>
      </c>
      <c r="I156" s="556">
        <f>Turbinas!$C$30*42</f>
        <v>893184.18</v>
      </c>
      <c r="J156" s="556">
        <f>Turbinas!$C$31*42</f>
        <v>1385385.96</v>
      </c>
      <c r="K156" s="556">
        <f>Turbinas!$C$32*42</f>
        <v>1207060.26</v>
      </c>
      <c r="L156" s="556">
        <f>Turbinas!$C$33*42</f>
        <v>1365783.72</v>
      </c>
      <c r="M156" s="556">
        <f>Turbinas!$C$34*42</f>
        <v>829159.8</v>
      </c>
      <c r="N156" s="556">
        <f>Turbinas!$C$35*42</f>
        <v>999048.53999999992</v>
      </c>
      <c r="O156" s="564">
        <f>SUM(C156:N156)</f>
        <v>13282922.52</v>
      </c>
    </row>
    <row r="157" spans="1:15" ht="21.75" hidden="1" customHeight="1" x14ac:dyDescent="0.2">
      <c r="A157" s="543" t="s">
        <v>409</v>
      </c>
      <c r="B157" s="543" t="s">
        <v>371</v>
      </c>
      <c r="C157" s="560">
        <f>Turbinas!$Z$6</f>
        <v>0.01</v>
      </c>
      <c r="D157" s="560">
        <f>Turbinas!$Z$7</f>
        <v>0.01</v>
      </c>
      <c r="E157" s="560">
        <f>Turbinas!$Z$8</f>
        <v>0.01</v>
      </c>
      <c r="F157" s="560">
        <f>Turbinas!$Z$9</f>
        <v>0.01</v>
      </c>
      <c r="G157" s="560">
        <f>Turbinas!$Z$10</f>
        <v>0.01</v>
      </c>
      <c r="H157" s="560">
        <f>Turbinas!$Z$11</f>
        <v>0.01</v>
      </c>
      <c r="I157" s="560">
        <f>Turbinas!$Z$12</f>
        <v>0.01</v>
      </c>
      <c r="J157" s="560">
        <f>Turbinas!$Z$13</f>
        <v>0.01</v>
      </c>
      <c r="K157" s="560">
        <f>Turbinas!$Z$14</f>
        <v>0.01</v>
      </c>
      <c r="L157" s="560">
        <f>Turbinas!$Z$15</f>
        <v>0.01</v>
      </c>
      <c r="M157" s="560">
        <f>Turbinas!$Z$16</f>
        <v>0.01</v>
      </c>
      <c r="N157" s="560">
        <f>Turbinas!$Z$17</f>
        <v>0.01</v>
      </c>
      <c r="O157" s="565">
        <f>IF(O156=0,0,SUMPRODUCT(C157:N157,C156:N156)/O156)</f>
        <v>9.9999999999999985E-3</v>
      </c>
    </row>
    <row r="158" spans="1:15" ht="21.75" hidden="1" customHeight="1" x14ac:dyDescent="0.2">
      <c r="A158" s="543" t="s">
        <v>410</v>
      </c>
      <c r="B158" s="543" t="s">
        <v>92</v>
      </c>
      <c r="C158" s="556">
        <f>Turbinas!$D$24*42</f>
        <v>940636.62</v>
      </c>
      <c r="D158" s="556">
        <f>Turbinas!$D$25*42</f>
        <v>836390.1</v>
      </c>
      <c r="E158" s="556">
        <f>Turbinas!$D$26*42</f>
        <v>703220.28</v>
      </c>
      <c r="F158" s="556">
        <f>Turbinas!$D$27*42</f>
        <v>805817.88</v>
      </c>
      <c r="G158" s="556">
        <f>Turbinas!$D$28*42</f>
        <v>641168.22</v>
      </c>
      <c r="H158" s="556">
        <f>Turbinas!$D$29*42</f>
        <v>380081.1</v>
      </c>
      <c r="I158" s="556">
        <f>Turbinas!$D$30*42</f>
        <v>329861.28000000003</v>
      </c>
      <c r="J158" s="556">
        <f>Turbinas!$D$31*42</f>
        <v>560303.52</v>
      </c>
      <c r="K158" s="556">
        <f>Turbinas!$D$32*42</f>
        <v>603786.54</v>
      </c>
      <c r="L158" s="556">
        <f>Turbinas!$D$33*42</f>
        <v>442050.84</v>
      </c>
      <c r="M158" s="556">
        <f>Turbinas!$D$34*42</f>
        <v>356282.22</v>
      </c>
      <c r="N158" s="556">
        <f>Turbinas!$D$35*42</f>
        <v>446781.72</v>
      </c>
      <c r="O158" s="564">
        <f>SUM(C158:N158)</f>
        <v>7046380.3199999994</v>
      </c>
    </row>
    <row r="159" spans="1:15" ht="21.75" hidden="1" customHeight="1" x14ac:dyDescent="0.2">
      <c r="A159" s="543" t="s">
        <v>411</v>
      </c>
      <c r="B159" s="543" t="s">
        <v>371</v>
      </c>
      <c r="C159" s="560">
        <f>Turbinas!$AA$6</f>
        <v>0.01</v>
      </c>
      <c r="D159" s="560">
        <f>Turbinas!$AA$7</f>
        <v>0.01</v>
      </c>
      <c r="E159" s="560">
        <f>Turbinas!$AA$8</f>
        <v>0.01</v>
      </c>
      <c r="F159" s="560">
        <f>Turbinas!$AA$9</f>
        <v>0.01</v>
      </c>
      <c r="G159" s="560">
        <f>Turbinas!$AA$10</f>
        <v>0.01</v>
      </c>
      <c r="H159" s="560">
        <f>Turbinas!$AA$11</f>
        <v>0.01</v>
      </c>
      <c r="I159" s="560">
        <f>Turbinas!$AA$12</f>
        <v>0.01</v>
      </c>
      <c r="J159" s="560">
        <f>Turbinas!$AA$13</f>
        <v>0.01</v>
      </c>
      <c r="K159" s="560">
        <f>Turbinas!$AA$14</f>
        <v>0.01</v>
      </c>
      <c r="L159" s="560">
        <f>Turbinas!$AA$15</f>
        <v>0.01</v>
      </c>
      <c r="M159" s="560">
        <f>Turbinas!$AA$16</f>
        <v>0.01</v>
      </c>
      <c r="N159" s="560">
        <f>Turbinas!$AA$17</f>
        <v>0.01</v>
      </c>
      <c r="O159" s="565">
        <f>IF(O158=0,0,SUMPRODUCT(C159:N159,C158:N158)/O158)</f>
        <v>1.0000000000000002E-2</v>
      </c>
    </row>
    <row r="160" spans="1:15" ht="21.75" hidden="1" customHeight="1" x14ac:dyDescent="0.2">
      <c r="A160" s="543" t="s">
        <v>412</v>
      </c>
      <c r="B160" s="543" t="s">
        <v>92</v>
      </c>
      <c r="C160" s="556">
        <f>Turbinas!$E$24*42</f>
        <v>1279530</v>
      </c>
      <c r="D160" s="556">
        <f>Turbinas!$E$25*42</f>
        <v>1055814.48</v>
      </c>
      <c r="E160" s="556">
        <f>Turbinas!$E$26*42</f>
        <v>945026.03999999992</v>
      </c>
      <c r="F160" s="556">
        <f>Turbinas!$E$27*42</f>
        <v>1224389.46</v>
      </c>
      <c r="G160" s="556">
        <f>Turbinas!$E$28*42</f>
        <v>1587946.5</v>
      </c>
      <c r="H160" s="556">
        <f>Turbinas!$E$29*42</f>
        <v>1100008.98</v>
      </c>
      <c r="I160" s="556">
        <f>Turbinas!$E$30*42</f>
        <v>483186.9</v>
      </c>
      <c r="J160" s="556">
        <f>Turbinas!$E$31*42</f>
        <v>590712.78</v>
      </c>
      <c r="K160" s="556">
        <f>Turbinas!$E$32*42</f>
        <v>598827.6</v>
      </c>
      <c r="L160" s="556">
        <f>Turbinas!$E$33*42</f>
        <v>592543.56000000006</v>
      </c>
      <c r="M160" s="556">
        <f>Turbinas!$E$34*42</f>
        <v>330638.28000000003</v>
      </c>
      <c r="N160" s="556">
        <f>Turbinas!$E$35*42</f>
        <v>523752.6</v>
      </c>
      <c r="O160" s="564">
        <f>SUM(C160:N160)</f>
        <v>10312377.180000002</v>
      </c>
    </row>
    <row r="161" spans="1:15" ht="21.75" hidden="1" customHeight="1" x14ac:dyDescent="0.2">
      <c r="A161" s="543" t="s">
        <v>413</v>
      </c>
      <c r="B161" s="543" t="s">
        <v>371</v>
      </c>
      <c r="C161" s="560">
        <f>Turbinas!$AB$6</f>
        <v>0.01</v>
      </c>
      <c r="D161" s="560">
        <f>Turbinas!$AB$7</f>
        <v>0.01</v>
      </c>
      <c r="E161" s="560">
        <f>Turbinas!$AB$8</f>
        <v>0.01</v>
      </c>
      <c r="F161" s="560">
        <f>Turbinas!$AB$9</f>
        <v>0.01</v>
      </c>
      <c r="G161" s="560">
        <f>Turbinas!$AB$10</f>
        <v>0.01</v>
      </c>
      <c r="H161" s="560">
        <f>Turbinas!$AB$11</f>
        <v>0.01</v>
      </c>
      <c r="I161" s="560">
        <f>Turbinas!$AB$12</f>
        <v>0.01</v>
      </c>
      <c r="J161" s="560">
        <f>Turbinas!$AB$13</f>
        <v>0.01</v>
      </c>
      <c r="K161" s="560">
        <f>Turbinas!$AB$14</f>
        <v>0.01</v>
      </c>
      <c r="L161" s="560">
        <f>Turbinas!$AB$15</f>
        <v>0.01</v>
      </c>
      <c r="M161" s="560">
        <f>Turbinas!$AB$16</f>
        <v>0.01</v>
      </c>
      <c r="N161" s="560">
        <f>Turbinas!$AB$17</f>
        <v>0.01</v>
      </c>
      <c r="O161" s="565">
        <f>IF(O160=0,0,SUMPRODUCT(C161:N161,C160:N160)/O160)</f>
        <v>9.9999999999999985E-3</v>
      </c>
    </row>
    <row r="162" spans="1:15" ht="21.75" customHeight="1" x14ac:dyDescent="0.2">
      <c r="A162" s="543" t="s">
        <v>17</v>
      </c>
      <c r="B162" s="543" t="s">
        <v>94</v>
      </c>
      <c r="C162" s="544">
        <f>(('Cálculos Mayagüez'!$B$18*(C154)*'Cálculos Mayagüez'!$F$18)/'Cálculos Mayagüez'!$H$19)+(('Cálculos Mayagüez'!$L$18*(C156)*'Cálculos Mayagüez'!$P$18)/'Cálculos Mayagüez'!$R$19)+(('Cálculos Mayagüez'!$V$18*(C158)*'Cálculos Mayagüez'!$Z$18)/'Cálculos Mayagüez'!$AB$19)+(('Cálculos Mayagüez'!$AF$18*(C160)*'Cálculos Mayagüez'!$AJ$18)/'Cálculos Mayagüez'!$AL$19)</f>
        <v>3.7655567560800005</v>
      </c>
      <c r="D162" s="544">
        <f>(('Cálculos Mayagüez'!$B$18*(D154)*'Cálculos Mayagüez'!$F$18)/'Cálculos Mayagüez'!$H$19)+(('Cálculos Mayagüez'!$L$18*(D156)*'Cálculos Mayagüez'!$P$18)/'Cálculos Mayagüez'!$R$19)+(('Cálculos Mayagüez'!$V$18*(D158)*'Cálculos Mayagüez'!$Z$18)/'Cálculos Mayagüez'!$AB$19)+(('Cálculos Mayagüez'!$AF$18*(D160)*'Cálculos Mayagüez'!$AJ$18)/'Cálculos Mayagüez'!$AL$19)</f>
        <v>3.2787379648800004</v>
      </c>
      <c r="E162" s="544">
        <f>(('Cálculos Mayagüez'!$B$18*(E154)*'Cálculos Mayagüez'!$F$18)/'Cálculos Mayagüez'!$H$19)+(('Cálculos Mayagüez'!$L$18*(E156)*'Cálculos Mayagüez'!$P$18)/'Cálculos Mayagüez'!$R$19)+(('Cálculos Mayagüez'!$V$18*(E158)*'Cálculos Mayagüez'!$Z$18)/'Cálculos Mayagüez'!$AB$19)+(('Cálculos Mayagüez'!$AF$18*(E160)*'Cálculos Mayagüez'!$AJ$18)/'Cálculos Mayagüez'!$AL$19)</f>
        <v>2.8912947235200006</v>
      </c>
      <c r="F162" s="544">
        <f>(('Cálculos Mayagüez'!$B$18*(F154)*'Cálculos Mayagüez'!$F$18)/'Cálculos Mayagüez'!$H$19)+(('Cálculos Mayagüez'!$L$18*(F156)*'Cálculos Mayagüez'!$P$18)/'Cálculos Mayagüez'!$R$19)+(('Cálculos Mayagüez'!$V$18*(F158)*'Cálculos Mayagüez'!$Z$18)/'Cálculos Mayagüez'!$AB$19)+(('Cálculos Mayagüez'!$AF$18*(F160)*'Cálculos Mayagüez'!$AJ$18)/'Cálculos Mayagüez'!$AL$19)</f>
        <v>3.8730890167200007</v>
      </c>
      <c r="G162" s="544">
        <f>(('Cálculos Mayagüez'!$B$18*(G154)*'Cálculos Mayagüez'!$F$18)/'Cálculos Mayagüez'!$H$19)+(('Cálculos Mayagüez'!$L$18*(G156)*'Cálculos Mayagüez'!$P$18)/'Cálculos Mayagüez'!$R$19)+(('Cálculos Mayagüez'!$V$18*(G158)*'Cálculos Mayagüez'!$Z$18)/'Cálculos Mayagüez'!$AB$19)+(('Cálculos Mayagüez'!$AF$18*(G160)*'Cálculos Mayagüez'!$AJ$18)/'Cálculos Mayagüez'!$AL$19)</f>
        <v>4.3965870984000013</v>
      </c>
      <c r="H162" s="544">
        <f>(('Cálculos Mayagüez'!$B$18*(H154)*'Cálculos Mayagüez'!$F$18)/'Cálculos Mayagüez'!$H$19)+(('Cálculos Mayagüez'!$L$18*(H156)*'Cálculos Mayagüez'!$P$18)/'Cálculos Mayagüez'!$R$19)+(('Cálculos Mayagüez'!$V$18*(H158)*'Cálculos Mayagüez'!$Z$18)/'Cálculos Mayagüez'!$AB$19)+(('Cálculos Mayagüez'!$AF$18*(H160)*'Cálculos Mayagüez'!$AJ$18)/'Cálculos Mayagüez'!$AL$19)</f>
        <v>3.0876862716000004</v>
      </c>
      <c r="I162" s="544">
        <f>(('Cálculos Mayagüez'!$B$18*(I154)*'Cálculos Mayagüez'!$F$18)/'Cálculos Mayagüez'!$H$19)+(('Cálculos Mayagüez'!$L$18*(I156)*'Cálculos Mayagüez'!$P$18)/'Cálculos Mayagüez'!$R$19)+(('Cálculos Mayagüez'!$V$18*(I158)*'Cálculos Mayagüez'!$Z$18)/'Cálculos Mayagüez'!$AB$19)+(('Cálculos Mayagüez'!$AF$18*(I160)*'Cálculos Mayagüez'!$AJ$18)/'Cálculos Mayagüez'!$AL$19)</f>
        <v>2.2909135132800005</v>
      </c>
      <c r="J162" s="544">
        <f>(('Cálculos Mayagüez'!$B$18*(J154)*'Cálculos Mayagüez'!$F$18)/'Cálculos Mayagüez'!$H$19)+(('Cálculos Mayagüez'!$L$18*(J156)*'Cálculos Mayagüez'!$P$18)/'Cálculos Mayagüez'!$R$19)+(('Cálculos Mayagüez'!$V$18*(J158)*'Cálculos Mayagüez'!$Z$18)/'Cálculos Mayagüez'!$AB$19)+(('Cálculos Mayagüez'!$AF$18*(J160)*'Cálculos Mayagüez'!$AJ$18)/'Cálculos Mayagüez'!$AL$19)</f>
        <v>3.3124832042400003</v>
      </c>
      <c r="K162" s="544">
        <f>(('Cálculos Mayagüez'!$B$18*(K154)*'Cálculos Mayagüez'!$F$18)/'Cálculos Mayagüez'!$H$19)+(('Cálculos Mayagüez'!$L$18*(K156)*'Cálculos Mayagüez'!$P$18)/'Cálculos Mayagüez'!$R$19)+(('Cálculos Mayagüez'!$V$18*(K158)*'Cálculos Mayagüez'!$Z$18)/'Cálculos Mayagüez'!$AB$19)+(('Cálculos Mayagüez'!$AF$18*(K160)*'Cálculos Mayagüez'!$AJ$18)/'Cálculos Mayagüez'!$AL$19)</f>
        <v>3.1539390724800005</v>
      </c>
      <c r="L162" s="544">
        <f>(('Cálculos Mayagüez'!$B$18*(L154)*'Cálculos Mayagüez'!$F$18)/'Cálculos Mayagüez'!$H$19)+(('Cálculos Mayagüez'!$L$18*(L156)*'Cálculos Mayagüez'!$P$18)/'Cálculos Mayagüez'!$R$19)+(('Cálculos Mayagüez'!$V$18*(L158)*'Cálculos Mayagüez'!$Z$18)/'Cálculos Mayagüez'!$AB$19)+(('Cálculos Mayagüez'!$AF$18*(L160)*'Cálculos Mayagüez'!$AJ$18)/'Cálculos Mayagüez'!$AL$19)</f>
        <v>3.1669529472</v>
      </c>
      <c r="M162" s="544">
        <f>(('Cálculos Mayagüez'!$B$18*(M154)*'Cálculos Mayagüez'!$F$18)/'Cálculos Mayagüez'!$H$19)+(('Cálculos Mayagüez'!$L$18*(M156)*'Cálculos Mayagüez'!$P$18)/'Cálculos Mayagüez'!$R$19)+(('Cálculos Mayagüez'!$V$18*(M158)*'Cálculos Mayagüez'!$Z$18)/'Cálculos Mayagüez'!$AB$19)+(('Cálculos Mayagüez'!$AF$18*(M160)*'Cálculos Mayagüez'!$AJ$18)/'Cálculos Mayagüez'!$AL$19)</f>
        <v>2.1161133403200001</v>
      </c>
      <c r="N162" s="544">
        <f>(('Cálculos Mayagüez'!$B$18*(N154)*'Cálculos Mayagüez'!$F$18)/'Cálculos Mayagüez'!$H$19)+(('Cálculos Mayagüez'!$L$18*(N156)*'Cálculos Mayagüez'!$P$18)/'Cálculos Mayagüez'!$R$19)+(('Cálculos Mayagüez'!$V$18*(N158)*'Cálculos Mayagüez'!$Z$18)/'Cálculos Mayagüez'!$AB$19)+(('Cálculos Mayagüez'!$AF$18*(N160)*'Cálculos Mayagüez'!$AJ$18)/'Cálculos Mayagüez'!$AL$19)</f>
        <v>2.7511936956000005</v>
      </c>
      <c r="O162" s="562">
        <f t="shared" ref="O162:O168" si="23">SUM(C162:N162)</f>
        <v>38.084547604320001</v>
      </c>
    </row>
    <row r="163" spans="1:15" ht="21.75" customHeight="1" x14ac:dyDescent="0.2">
      <c r="A163" s="543" t="s">
        <v>365</v>
      </c>
      <c r="B163" s="543" t="s">
        <v>94</v>
      </c>
      <c r="C163" s="544">
        <f>(((1.01*C155)*(C154)*'Cálculos Mayagüez'!$F$26)/'Cálculos Mayagüez'!$H$27)+(((1.01*C157)*(C156)*'Cálculos Mayagüez'!$P$26)/'Cálculos Mayagüez'!$R$27)+(((1.01*C159)*(C158)*'Cálculos Mayagüez'!$Z$26)/'Cálculos Mayagüez'!$AB$27)+(((1.01*C161)*(C160)*'Cálculos Mayagüez'!$AJ$26)/'Cálculos Mayagüez'!$AL$27)</f>
        <v>3.1693436030339996</v>
      </c>
      <c r="D163" s="544">
        <f>(((1.01*D155)*(D154)*'Cálculos Mayagüez'!$F$26)/'Cálculos Mayagüez'!$H$27)+(((1.01*D157)*(D156)*'Cálculos Mayagüez'!$P$26)/'Cálculos Mayagüez'!$R$27)+(((1.01*D159)*(D158)*'Cálculos Mayagüez'!$Z$26)/'Cálculos Mayagüez'!$AB$27)+(((1.01*D161)*(D160)*'Cálculos Mayagüez'!$AJ$26)/'Cálculos Mayagüez'!$AL$27)</f>
        <v>2.7596044537740001</v>
      </c>
      <c r="E163" s="544">
        <f>(((1.01*E155)*(E154)*'Cálculos Mayagüez'!$F$26)/'Cálculos Mayagüez'!$H$27)+(((1.01*E157)*(E156)*'Cálculos Mayagüez'!$P$26)/'Cálculos Mayagüez'!$R$27)+(((1.01*E159)*(E158)*'Cálculos Mayagüez'!$Z$26)/'Cálculos Mayagüez'!$AB$27)+(((1.01*E161)*(E160)*'Cálculos Mayagüez'!$AJ$26)/'Cálculos Mayagüez'!$AL$27)</f>
        <v>2.4335063922960001</v>
      </c>
      <c r="F163" s="544">
        <f>(((1.01*F155)*(F154)*'Cálculos Mayagüez'!$F$26)/'Cálculos Mayagüez'!$H$27)+(((1.01*F157)*(F156)*'Cálculos Mayagüez'!$P$26)/'Cálculos Mayagüez'!$R$27)+(((1.01*F159)*(F158)*'Cálculos Mayagüez'!$Z$26)/'Cálculos Mayagüez'!$AB$27)+(((1.01*F161)*(F160)*'Cálculos Mayagüez'!$AJ$26)/'Cálculos Mayagüez'!$AL$27)</f>
        <v>3.2598499224060005</v>
      </c>
      <c r="G163" s="544">
        <f>(((1.01*G155)*(G154)*'Cálculos Mayagüez'!$F$26)/'Cálculos Mayagüez'!$H$27)+(((1.01*G157)*(G156)*'Cálculos Mayagüez'!$P$26)/'Cálculos Mayagüez'!$R$27)+(((1.01*G159)*(G158)*'Cálculos Mayagüez'!$Z$26)/'Cálculos Mayagüez'!$AB$27)+(((1.01*G161)*(G160)*'Cálculos Mayagüez'!$AJ$26)/'Cálculos Mayagüez'!$AL$27)</f>
        <v>3.7004608078199999</v>
      </c>
      <c r="H163" s="544">
        <f>(((1.01*H155)*(H154)*'Cálculos Mayagüez'!$F$26)/'Cálculos Mayagüez'!$H$27)+(((1.01*H157)*(H156)*'Cálculos Mayagüez'!$P$26)/'Cálculos Mayagüez'!$R$27)+(((1.01*H159)*(H158)*'Cálculos Mayagüez'!$Z$26)/'Cálculos Mayagüez'!$AB$27)+(((1.01*H161)*(H160)*'Cálculos Mayagüez'!$AJ$26)/'Cálculos Mayagüez'!$AL$27)</f>
        <v>2.5988026119300001</v>
      </c>
      <c r="I163" s="544">
        <f>(((1.01*I155)*(I154)*'Cálculos Mayagüez'!$F$26)/'Cálculos Mayagüez'!$H$27)+(((1.01*I157)*(I156)*'Cálculos Mayagüez'!$P$26)/'Cálculos Mayagüez'!$R$27)+(((1.01*I159)*(I158)*'Cálculos Mayagüez'!$Z$26)/'Cálculos Mayagüez'!$AB$27)+(((1.01*I161)*(I160)*'Cálculos Mayagüez'!$AJ$26)/'Cálculos Mayagüez'!$AL$27)</f>
        <v>1.9281855403440002</v>
      </c>
      <c r="J163" s="544">
        <f>(((1.01*J155)*(J154)*'Cálculos Mayagüez'!$F$26)/'Cálculos Mayagüez'!$H$27)+(((1.01*J157)*(J156)*'Cálculos Mayagüez'!$P$26)/'Cálculos Mayagüez'!$R$27)+(((1.01*J159)*(J158)*'Cálculos Mayagüez'!$Z$26)/'Cálculos Mayagüez'!$AB$27)+(((1.01*J161)*(J160)*'Cálculos Mayagüez'!$AJ$26)/'Cálculos Mayagüez'!$AL$27)</f>
        <v>2.7880066969019999</v>
      </c>
      <c r="K163" s="544">
        <f>(((1.01*K155)*(K154)*'Cálculos Mayagüez'!$F$26)/'Cálculos Mayagüez'!$H$27)+(((1.01*K157)*(K156)*'Cálculos Mayagüez'!$P$26)/'Cálculos Mayagüez'!$R$27)+(((1.01*K159)*(K158)*'Cálculos Mayagüez'!$Z$26)/'Cálculos Mayagüez'!$AB$27)+(((1.01*K161)*(K160)*'Cálculos Mayagüez'!$AJ$26)/'Cálculos Mayagüez'!$AL$27)</f>
        <v>2.6545653860040002</v>
      </c>
      <c r="L163" s="544">
        <f>(((1.01*L155)*(L154)*'Cálculos Mayagüez'!$F$26)/'Cálculos Mayagüez'!$H$27)+(((1.01*L157)*(L156)*'Cálculos Mayagüez'!$P$26)/'Cálculos Mayagüez'!$R$27)+(((1.01*L159)*(L158)*'Cálculos Mayagüez'!$Z$26)/'Cálculos Mayagüez'!$AB$27)+(((1.01*L161)*(L160)*'Cálculos Mayagüez'!$AJ$26)/'Cálculos Mayagüez'!$AL$27)</f>
        <v>2.6655187305599997</v>
      </c>
      <c r="M163" s="544">
        <f>(((1.01*M155)*(M154)*'Cálculos Mayagüez'!$F$26)/'Cálculos Mayagüez'!$H$27)+(((1.01*M157)*(M156)*'Cálculos Mayagüez'!$P$26)/'Cálculos Mayagüez'!$R$27)+(((1.01*M159)*(M158)*'Cálculos Mayagüez'!$Z$26)/'Cálculos Mayagüez'!$AB$27)+(((1.01*M161)*(M160)*'Cálculos Mayagüez'!$AJ$26)/'Cálculos Mayagüez'!$AL$27)</f>
        <v>1.7810620614360002</v>
      </c>
      <c r="N163" s="544">
        <f>(((1.01*N155)*(N154)*'Cálculos Mayagüez'!$F$26)/'Cálculos Mayagüez'!$H$27)+(((1.01*N157)*(N156)*'Cálculos Mayagüez'!$P$26)/'Cálculos Mayagüez'!$R$27)+(((1.01*N159)*(N158)*'Cálculos Mayagüez'!$Z$26)/'Cálculos Mayagüez'!$AB$27)+(((1.01*N161)*(N160)*'Cálculos Mayagüez'!$AJ$26)/'Cálculos Mayagüez'!$AL$27)</f>
        <v>2.31558802713</v>
      </c>
      <c r="O163" s="562">
        <f t="shared" si="23"/>
        <v>32.054494233635999</v>
      </c>
    </row>
    <row r="164" spans="1:15" ht="21.75" customHeight="1" x14ac:dyDescent="0.2">
      <c r="A164" s="543" t="s">
        <v>20</v>
      </c>
      <c r="B164" s="543" t="s">
        <v>94</v>
      </c>
      <c r="C164" s="544">
        <f>(('Cálculos Mayagüez'!$B$34*(C154)*'Cálculos Mayagüez'!$F$34)/'Cálculos Mayagüez'!$H$35)+(('Cálculos Mayagüez'!$L$34*(C156)*'Cálculos Mayagüez'!$P$34)/'Cálculos Mayagüez'!$R$35)+(('Cálculos Mayagüez'!$V$34*(C158)*'Cálculos Mayagüez'!$Z$34)/'Cálculos Mayagüez'!$AB$35)+(('Cálculos Mayagüez'!$AF$34*(C160)*'Cálculos Mayagüez'!$AJ$34)/'Cálculos Mayagüez'!$AL$35)</f>
        <v>90.259678902463008</v>
      </c>
      <c r="D164" s="544">
        <f>(('Cálculos Mayagüez'!$B$34*(D154)*'Cálculos Mayagüez'!$F$34)/'Cálculos Mayagüez'!$H$35)+(('Cálculos Mayagüez'!$L$34*(D156)*'Cálculos Mayagüez'!$P$34)/'Cálculos Mayagüez'!$R$35)+(('Cálculos Mayagüez'!$V$34*(D158)*'Cálculos Mayagüez'!$Z$34)/'Cálculos Mayagüez'!$AB$35)+(('Cálculos Mayagüez'!$AF$34*(D160)*'Cálculos Mayagüez'!$AJ$34)/'Cálculos Mayagüez'!$AL$35)</f>
        <v>78.590725113239159</v>
      </c>
      <c r="E164" s="544">
        <f>(('Cálculos Mayagüez'!$B$34*(E154)*'Cálculos Mayagüez'!$F$34)/'Cálculos Mayagüez'!$H$35)+(('Cálculos Mayagüez'!$L$34*(E156)*'Cálculos Mayagüez'!$P$34)/'Cálculos Mayagüez'!$R$35)+(('Cálculos Mayagüez'!$V$34*(E158)*'Cálculos Mayagüez'!$Z$34)/'Cálculos Mayagüez'!$AB$35)+(('Cálculos Mayagüez'!$AF$34*(E160)*'Cálculos Mayagüez'!$AJ$34)/'Cálculos Mayagüez'!$AL$35)</f>
        <v>69.30378434369203</v>
      </c>
      <c r="F164" s="544">
        <f>(('Cálculos Mayagüez'!$B$34*(F154)*'Cálculos Mayagüez'!$F$34)/'Cálculos Mayagüez'!$H$35)+(('Cálculos Mayagüez'!$L$34*(F156)*'Cálculos Mayagüez'!$P$34)/'Cálculos Mayagüez'!$R$35)+(('Cálculos Mayagüez'!$V$34*(F158)*'Cálculos Mayagüez'!$Z$34)/'Cálculos Mayagüez'!$AB$35)+(('Cálculos Mayagüez'!$AF$34*(F160)*'Cálculos Mayagüez'!$AJ$34)/'Cálculos Mayagüez'!$AL$35)</f>
        <v>92.837206727890432</v>
      </c>
      <c r="G164" s="544">
        <f>(('Cálculos Mayagüez'!$B$34*(G154)*'Cálculos Mayagüez'!$F$34)/'Cálculos Mayagüez'!$H$35)+(('Cálculos Mayagüez'!$L$34*(G156)*'Cálculos Mayagüez'!$P$34)/'Cálculos Mayagüez'!$R$35)+(('Cálculos Mayagüez'!$V$34*(G158)*'Cálculos Mayagüez'!$Z$34)/'Cálculos Mayagüez'!$AB$35)+(('Cálculos Mayagüez'!$AF$34*(G160)*'Cálculos Mayagüez'!$AJ$34)/'Cálculos Mayagüez'!$AL$35)</f>
        <v>105.38535613028608</v>
      </c>
      <c r="H164" s="544">
        <f>(('Cálculos Mayagüez'!$B$34*(H154)*'Cálculos Mayagüez'!$F$34)/'Cálculos Mayagüez'!$H$35)+(('Cálculos Mayagüez'!$L$34*(H156)*'Cálculos Mayagüez'!$P$34)/'Cálculos Mayagüez'!$R$35)+(('Cálculos Mayagüez'!$V$34*(H158)*'Cálculos Mayagüez'!$Z$34)/'Cálculos Mayagüez'!$AB$35)+(('Cálculos Mayagüez'!$AF$34*(H160)*'Cálculos Mayagüez'!$AJ$34)/'Cálculos Mayagüez'!$AL$35)</f>
        <v>74.011252380188083</v>
      </c>
      <c r="I164" s="544">
        <f>(('Cálculos Mayagüez'!$B$34*(I154)*'Cálculos Mayagüez'!$F$34)/'Cálculos Mayagüez'!$H$35)+(('Cálculos Mayagüez'!$L$34*(I156)*'Cálculos Mayagüez'!$P$34)/'Cálculos Mayagüez'!$R$35)+(('Cálculos Mayagüez'!$V$34*(I158)*'Cálculos Mayagüez'!$Z$34)/'Cálculos Mayagüez'!$AB$35)+(('Cálculos Mayagüez'!$AF$34*(I160)*'Cálculos Mayagüez'!$AJ$34)/'Cálculos Mayagüez'!$AL$35)</f>
        <v>54.912760979660355</v>
      </c>
      <c r="J164" s="544">
        <f>(('Cálculos Mayagüez'!$B$34*(J154)*'Cálculos Mayagüez'!$F$34)/'Cálculos Mayagüez'!$H$35)+(('Cálculos Mayagüez'!$L$34*(J156)*'Cálculos Mayagüez'!$P$34)/'Cálculos Mayagüez'!$R$35)+(('Cálculos Mayagüez'!$V$34*(J158)*'Cálculos Mayagüez'!$Z$34)/'Cálculos Mayagüez'!$AB$35)+(('Cálculos Mayagüez'!$AF$34*(J160)*'Cálculos Mayagüez'!$AJ$34)/'Cálculos Mayagüez'!$AL$35)</f>
        <v>79.399592079379673</v>
      </c>
      <c r="K164" s="544">
        <f>(('Cálculos Mayagüez'!$B$34*(K154)*'Cálculos Mayagüez'!$F$34)/'Cálculos Mayagüez'!$H$35)+(('Cálculos Mayagüez'!$L$34*(K156)*'Cálculos Mayagüez'!$P$34)/'Cálculos Mayagüez'!$R$35)+(('Cálculos Mayagüez'!$V$34*(K158)*'Cálculos Mayagüez'!$Z$34)/'Cálculos Mayagüez'!$AB$35)+(('Cálculos Mayagüez'!$AF$34*(K160)*'Cálculos Mayagüez'!$AJ$34)/'Cálculos Mayagüez'!$AL$35)</f>
        <v>75.599319410159723</v>
      </c>
      <c r="L164" s="544">
        <f>(('Cálculos Mayagüez'!$B$34*(L154)*'Cálculos Mayagüez'!$F$34)/'Cálculos Mayagüez'!$H$35)+(('Cálculos Mayagüez'!$L$34*(L156)*'Cálculos Mayagüez'!$P$34)/'Cálculos Mayagüez'!$R$35)+(('Cálculos Mayagüez'!$V$34*(L158)*'Cálculos Mayagüez'!$Z$34)/'Cálculos Mayagüez'!$AB$35)+(('Cálculos Mayagüez'!$AF$34*(L160)*'Cálculos Mayagüez'!$AJ$34)/'Cálculos Mayagüez'!$AL$35)</f>
        <v>75.911259510812172</v>
      </c>
      <c r="M164" s="544">
        <f>(('Cálculos Mayagüez'!$B$34*(M154)*'Cálculos Mayagüez'!$F$34)/'Cálculos Mayagüez'!$H$35)+(('Cálculos Mayagüez'!$L$34*(M156)*'Cálculos Mayagüez'!$P$34)/'Cálculos Mayagüez'!$R$35)+(('Cálculos Mayagüez'!$V$34*(M158)*'Cálculos Mayagüez'!$Z$34)/'Cálculos Mayagüez'!$AB$35)+(('Cálculos Mayagüez'!$AF$34*(M160)*'Cálculos Mayagüez'!$AJ$34)/'Cálculos Mayagüez'!$AL$35)</f>
        <v>50.722834096208167</v>
      </c>
      <c r="N164" s="544">
        <f>(('Cálculos Mayagüez'!$B$34*(N154)*'Cálculos Mayagüez'!$F$34)/'Cálculos Mayagüez'!$H$35)+(('Cálculos Mayagüez'!$L$34*(N156)*'Cálculos Mayagüez'!$P$34)/'Cálculos Mayagüez'!$R$35)+(('Cálculos Mayagüez'!$V$34*(N158)*'Cálculos Mayagüez'!$Z$34)/'Cálculos Mayagüez'!$AB$35)+(('Cálculos Mayagüez'!$AF$34*(N160)*'Cálculos Mayagüez'!$AJ$34)/'Cálculos Mayagüez'!$AL$35)</f>
        <v>65.945589364013003</v>
      </c>
      <c r="O164" s="562">
        <f t="shared" si="23"/>
        <v>912.879359037992</v>
      </c>
    </row>
    <row r="165" spans="1:15" ht="21.75" customHeight="1" x14ac:dyDescent="0.2">
      <c r="A165" s="543" t="s">
        <v>22</v>
      </c>
      <c r="B165" s="543" t="s">
        <v>94</v>
      </c>
      <c r="C165" s="544">
        <f>(('Cálculos Mayagüez'!$B$42*(C154)*'Cálculos Mayagüez'!$F$42)/'Cálculos Mayagüez'!$H$43)+(('Cálculos Mayagüez'!$L$42*(C156)*'Cálculos Mayagüez'!$P$42)/'Cálculos Mayagüez'!$R$43)+(('Cálculos Mayagüez'!$V$42*(C158)*'Cálculos Mayagüez'!$Z$42)/'Cálculos Mayagüez'!$AB$43)+(('Cálculos Mayagüez'!$AF$42*(C160)*'Cálculos Mayagüez'!$AJ$42)/'Cálculos Mayagüez'!$AL$43)</f>
        <v>0.12865652249940002</v>
      </c>
      <c r="D165" s="544">
        <f>(('Cálculos Mayagüez'!$B$42*(D154)*'Cálculos Mayagüez'!$F$42)/'Cálculos Mayagüez'!$H$43)+(('Cálculos Mayagüez'!$L$42*(D156)*'Cálculos Mayagüez'!$P$42)/'Cálculos Mayagüez'!$R$43)+(('Cálculos Mayagüez'!$V$42*(D158)*'Cálculos Mayagüez'!$Z$42)/'Cálculos Mayagüez'!$AB$43)+(('Cálculos Mayagüez'!$AF$42*(D160)*'Cálculos Mayagüez'!$AJ$42)/'Cálculos Mayagüez'!$AL$43)</f>
        <v>0.1120235471334</v>
      </c>
      <c r="E165" s="544">
        <f>(('Cálculos Mayagüez'!$B$42*(E154)*'Cálculos Mayagüez'!$F$42)/'Cálculos Mayagüez'!$H$43)+(('Cálculos Mayagüez'!$L$42*(E156)*'Cálculos Mayagüez'!$P$42)/'Cálculos Mayagüez'!$R$43)+(('Cálculos Mayagüez'!$V$42*(E158)*'Cálculos Mayagüez'!$Z$42)/'Cálculos Mayagüez'!$AB$43)+(('Cálculos Mayagüez'!$AF$42*(E160)*'Cálculos Mayagüez'!$AJ$42)/'Cálculos Mayagüez'!$AL$43)</f>
        <v>9.8785903053600008E-2</v>
      </c>
      <c r="F165" s="544">
        <f>(('Cálculos Mayagüez'!$B$42*(F154)*'Cálculos Mayagüez'!$F$42)/'Cálculos Mayagüez'!$H$43)+(('Cálculos Mayagüez'!$L$42*(F156)*'Cálculos Mayagüez'!$P$42)/'Cálculos Mayagüez'!$R$43)+(('Cálculos Mayagüez'!$V$42*(F158)*'Cálculos Mayagüez'!$Z$42)/'Cálculos Mayagüez'!$AB$43)+(('Cálculos Mayagüez'!$AF$42*(F160)*'Cálculos Mayagüez'!$AJ$42)/'Cálculos Mayagüez'!$AL$43)</f>
        <v>0.13233054140460002</v>
      </c>
      <c r="G165" s="544">
        <f>(('Cálculos Mayagüez'!$B$42*(G154)*'Cálculos Mayagüez'!$F$42)/'Cálculos Mayagüez'!$H$43)+(('Cálculos Mayagüez'!$L$42*(G156)*'Cálculos Mayagüez'!$P$42)/'Cálculos Mayagüez'!$R$43)+(('Cálculos Mayagüez'!$V$42*(G158)*'Cálculos Mayagüez'!$Z$42)/'Cálculos Mayagüez'!$AB$43)+(('Cálculos Mayagüez'!$AF$42*(G160)*'Cálculos Mayagüez'!$AJ$42)/'Cálculos Mayagüez'!$AL$43)</f>
        <v>0.15021672586200002</v>
      </c>
      <c r="H165" s="544">
        <f>(('Cálculos Mayagüez'!$B$42*(H154)*'Cálculos Mayagüez'!$F$42)/'Cálculos Mayagüez'!$H$43)+(('Cálculos Mayagüez'!$L$42*(H156)*'Cálculos Mayagüez'!$P$42)/'Cálculos Mayagüez'!$R$43)+(('Cálculos Mayagüez'!$V$42*(H158)*'Cálculos Mayagüez'!$Z$42)/'Cálculos Mayagüez'!$AB$43)+(('Cálculos Mayagüez'!$AF$42*(H160)*'Cálculos Mayagüez'!$AJ$42)/'Cálculos Mayagüez'!$AL$43)</f>
        <v>0.105495947613</v>
      </c>
      <c r="I165" s="544">
        <f>(('Cálculos Mayagüez'!$B$42*(I154)*'Cálculos Mayagüez'!$F$42)/'Cálculos Mayagüez'!$H$43)+(('Cálculos Mayagüez'!$L$42*(I156)*'Cálculos Mayagüez'!$P$42)/'Cálculos Mayagüez'!$R$43)+(('Cálculos Mayagüez'!$V$42*(I158)*'Cálculos Mayagüez'!$Z$42)/'Cálculos Mayagüez'!$AB$43)+(('Cálculos Mayagüez'!$AF$42*(I160)*'Cálculos Mayagüez'!$AJ$42)/'Cálculos Mayagüez'!$AL$43)</f>
        <v>7.8272878370400006E-2</v>
      </c>
      <c r="J165" s="544">
        <f>(('Cálculos Mayagüez'!$B$42*(J154)*'Cálculos Mayagüez'!$F$42)/'Cálculos Mayagüez'!$H$43)+(('Cálculos Mayagüez'!$L$42*(J156)*'Cálculos Mayagüez'!$P$42)/'Cálculos Mayagüez'!$R$43)+(('Cálculos Mayagüez'!$V$42*(J158)*'Cálculos Mayagüez'!$Z$42)/'Cálculos Mayagüez'!$AB$43)+(('Cálculos Mayagüez'!$AF$42*(J160)*'Cálculos Mayagüez'!$AJ$42)/'Cálculos Mayagüez'!$AL$43)</f>
        <v>0.11317650947820002</v>
      </c>
      <c r="K165" s="544">
        <f>(('Cálculos Mayagüez'!$B$42*(K154)*'Cálculos Mayagüez'!$F$42)/'Cálculos Mayagüez'!$H$43)+(('Cálculos Mayagüez'!$L$42*(K156)*'Cálculos Mayagüez'!$P$42)/'Cálculos Mayagüez'!$R$43)+(('Cálculos Mayagüez'!$V$42*(K158)*'Cálculos Mayagüez'!$Z$42)/'Cálculos Mayagüez'!$AB$43)+(('Cálculos Mayagüez'!$AF$42*(K160)*'Cálculos Mayagüez'!$AJ$42)/'Cálculos Mayagüez'!$AL$43)</f>
        <v>0.10775958497640001</v>
      </c>
      <c r="L165" s="544">
        <f>(('Cálculos Mayagüez'!$B$42*(L154)*'Cálculos Mayagüez'!$F$42)/'Cálculos Mayagüez'!$H$43)+(('Cálculos Mayagüez'!$L$42*(L156)*'Cálculos Mayagüez'!$P$42)/'Cálculos Mayagüez'!$R$43)+(('Cálculos Mayagüez'!$V$42*(L158)*'Cálculos Mayagüez'!$Z$42)/'Cálculos Mayagüez'!$AB$43)+(('Cálculos Mayagüez'!$AF$42*(L160)*'Cálculos Mayagüez'!$AJ$42)/'Cálculos Mayagüez'!$AL$43)</f>
        <v>0.10820422569600001</v>
      </c>
      <c r="M165" s="544">
        <f>(('Cálculos Mayagüez'!$B$42*(M154)*'Cálculos Mayagüez'!$F$42)/'Cálculos Mayagüez'!$H$43)+(('Cálculos Mayagüez'!$L$42*(M156)*'Cálculos Mayagüez'!$P$42)/'Cálculos Mayagüez'!$R$43)+(('Cálculos Mayagüez'!$V$42*(M158)*'Cálculos Mayagüez'!$Z$42)/'Cálculos Mayagüez'!$AB$43)+(('Cálculos Mayagüez'!$AF$42*(M160)*'Cálculos Mayagüez'!$AJ$42)/'Cálculos Mayagüez'!$AL$43)</f>
        <v>7.2300539127599997E-2</v>
      </c>
      <c r="N165" s="544">
        <f>(('Cálculos Mayagüez'!$B$42*(N154)*'Cálculos Mayagüez'!$F$42)/'Cálculos Mayagüez'!$H$43)+(('Cálculos Mayagüez'!$L$42*(N156)*'Cálculos Mayagüez'!$P$42)/'Cálculos Mayagüez'!$R$43)+(('Cálculos Mayagüez'!$V$42*(N158)*'Cálculos Mayagüez'!$Z$42)/'Cálculos Mayagüez'!$AB$43)+(('Cálculos Mayagüez'!$AF$42*(N160)*'Cálculos Mayagüez'!$AJ$42)/'Cálculos Mayagüez'!$AL$43)</f>
        <v>9.3999117933000004E-2</v>
      </c>
      <c r="O165" s="562">
        <f t="shared" si="23"/>
        <v>1.3012220431476</v>
      </c>
    </row>
    <row r="166" spans="1:15" ht="21.75" customHeight="1" x14ac:dyDescent="0.2">
      <c r="A166" s="543" t="s">
        <v>21</v>
      </c>
      <c r="B166" s="543" t="s">
        <v>94</v>
      </c>
      <c r="C166" s="544">
        <f>(('Cálculos Mayagüez'!$B$55*(C154)*'Cálculos Mayagüez'!$F$55)/'Cálculos Mayagüez'!$H$56)+(('Cálculos Mayagüez'!$L$55*(C156)*'Cálculos Mayagüez'!$P$55)/'Cálculos Mayagüez'!$R$56)+(('Cálculos Mayagüez'!$V$55*(C158)*'Cálculos Mayagüez'!$Z$55)/'Cálculos Mayagüez'!$AB$56)+(('Cálculos Mayagüez'!$AF$55*(C160)*'Cálculos Mayagüez'!$AJ$55)/'Cálculos Mayagüez'!$AL$56)</f>
        <v>1.0355281079220002</v>
      </c>
      <c r="D166" s="544">
        <f>(('Cálculos Mayagüez'!$B$55*(D154)*'Cálculos Mayagüez'!$F$55)/'Cálculos Mayagüez'!$H$56)+(('Cálculos Mayagüez'!$L$55*(D156)*'Cálculos Mayagüez'!$P$55)/'Cálculos Mayagüez'!$R$56)+(('Cálculos Mayagüez'!$V$55*(D158)*'Cálculos Mayagüez'!$Z$55)/'Cálculos Mayagüez'!$AB$56)+(('Cálculos Mayagüez'!$AF$55*(D160)*'Cálculos Mayagüez'!$AJ$55)/'Cálculos Mayagüez'!$AL$56)</f>
        <v>0.90165294034200005</v>
      </c>
      <c r="E166" s="544">
        <f>(('Cálculos Mayagüez'!$B$55*(E154)*'Cálculos Mayagüez'!$F$55)/'Cálculos Mayagüez'!$H$56)+(('Cálculos Mayagüez'!$L$55*(E156)*'Cálculos Mayagüez'!$P$55)/'Cálculos Mayagüez'!$R$56)+(('Cálculos Mayagüez'!$V$55*(E158)*'Cálculos Mayagüez'!$Z$55)/'Cálculos Mayagüez'!$AB$56)+(('Cálculos Mayagüez'!$AF$55*(E160)*'Cálculos Mayagüez'!$AJ$55)/'Cálculos Mayagüez'!$AL$56)</f>
        <v>0.79510604896800019</v>
      </c>
      <c r="F166" s="544">
        <f>(('Cálculos Mayagüez'!$B$55*(F154)*'Cálculos Mayagüez'!$F$55)/'Cálculos Mayagüez'!$H$56)+(('Cálculos Mayagüez'!$L$55*(F156)*'Cálculos Mayagüez'!$P$55)/'Cálculos Mayagüez'!$R$56)+(('Cálculos Mayagüez'!$V$55*(F158)*'Cálculos Mayagüez'!$Z$55)/'Cálculos Mayagüez'!$AB$56)+(('Cálculos Mayagüez'!$AF$55*(F160)*'Cálculos Mayagüez'!$AJ$55)/'Cálculos Mayagüez'!$AL$56)</f>
        <v>1.065099479598</v>
      </c>
      <c r="G166" s="544">
        <f>(('Cálculos Mayagüez'!$B$55*(G154)*'Cálculos Mayagüez'!$F$55)/'Cálculos Mayagüez'!$H$56)+(('Cálculos Mayagüez'!$L$55*(G156)*'Cálculos Mayagüez'!$P$55)/'Cálculos Mayagüez'!$R$56)+(('Cálculos Mayagüez'!$V$55*(G158)*'Cálculos Mayagüez'!$Z$55)/'Cálculos Mayagüez'!$AB$56)+(('Cálculos Mayagüez'!$AF$55*(G160)*'Cálculos Mayagüez'!$AJ$55)/'Cálculos Mayagüez'!$AL$56)</f>
        <v>1.2090614520600003</v>
      </c>
      <c r="H166" s="544">
        <f>(('Cálculos Mayagüez'!$B$55*(H154)*'Cálculos Mayagüez'!$F$55)/'Cálculos Mayagüez'!$H$56)+(('Cálculos Mayagüez'!$L$55*(H156)*'Cálculos Mayagüez'!$P$55)/'Cálculos Mayagüez'!$R$56)+(('Cálculos Mayagüez'!$V$55*(H158)*'Cálculos Mayagüez'!$Z$55)/'Cálculos Mayagüez'!$AB$56)+(('Cálculos Mayagüez'!$AF$55*(H160)*'Cálculos Mayagüez'!$AJ$55)/'Cálculos Mayagüez'!$AL$56)</f>
        <v>0.84911372469000013</v>
      </c>
      <c r="I166" s="544">
        <f>(('Cálculos Mayagüez'!$B$55*(I154)*'Cálculos Mayagüez'!$F$55)/'Cálculos Mayagüez'!$H$56)+(('Cálculos Mayagüez'!$L$55*(I156)*'Cálculos Mayagüez'!$P$55)/'Cálculos Mayagüez'!$R$56)+(('Cálculos Mayagüez'!$V$55*(I158)*'Cálculos Mayagüez'!$Z$55)/'Cálculos Mayagüez'!$AB$56)+(('Cálculos Mayagüez'!$AF$55*(I160)*'Cálculos Mayagüez'!$AJ$55)/'Cálculos Mayagüez'!$AL$56)</f>
        <v>0.63000121615200011</v>
      </c>
      <c r="J166" s="544">
        <f>(('Cálculos Mayagüez'!$B$55*(J154)*'Cálculos Mayagüez'!$F$55)/'Cálculos Mayagüez'!$H$56)+(('Cálculos Mayagüez'!$L$55*(J156)*'Cálculos Mayagüez'!$P$55)/'Cálculos Mayagüez'!$R$56)+(('Cálculos Mayagüez'!$V$55*(J158)*'Cálculos Mayagüez'!$Z$55)/'Cálculos Mayagüez'!$AB$56)+(('Cálculos Mayagüez'!$AF$55*(J160)*'Cálculos Mayagüez'!$AJ$55)/'Cálculos Mayagüez'!$AL$56)</f>
        <v>0.91093288116600002</v>
      </c>
      <c r="K166" s="544">
        <f>(('Cálculos Mayagüez'!$B$55*(K154)*'Cálculos Mayagüez'!$F$55)/'Cálculos Mayagüez'!$H$56)+(('Cálculos Mayagüez'!$L$55*(K156)*'Cálculos Mayagüez'!$P$55)/'Cálculos Mayagüez'!$R$56)+(('Cálculos Mayagüez'!$V$55*(K158)*'Cálculos Mayagüez'!$Z$55)/'Cálculos Mayagüez'!$AB$56)+(('Cálculos Mayagüez'!$AF$55*(K160)*'Cálculos Mayagüez'!$AJ$55)/'Cálculos Mayagüez'!$AL$56)</f>
        <v>0.86733324493200004</v>
      </c>
      <c r="L166" s="544">
        <f>(('Cálculos Mayagüez'!$B$55*(L154)*'Cálculos Mayagüez'!$F$55)/'Cálculos Mayagüez'!$H$56)+(('Cálculos Mayagüez'!$L$55*(L156)*'Cálculos Mayagüez'!$P$55)/'Cálculos Mayagüez'!$R$56)+(('Cálculos Mayagüez'!$V$55*(L158)*'Cálculos Mayagüez'!$Z$55)/'Cálculos Mayagüez'!$AB$56)+(('Cálculos Mayagüez'!$AF$55*(L160)*'Cálculos Mayagüez'!$AJ$55)/'Cálculos Mayagüez'!$AL$56)</f>
        <v>0.87091206048000003</v>
      </c>
      <c r="M166" s="544">
        <f>(('Cálculos Mayagüez'!$B$55*(M154)*'Cálculos Mayagüez'!$F$55)/'Cálculos Mayagüez'!$H$56)+(('Cálculos Mayagüez'!$L$55*(M156)*'Cálculos Mayagüez'!$P$55)/'Cálculos Mayagüez'!$R$56)+(('Cálculos Mayagüez'!$V$55*(M158)*'Cálculos Mayagüez'!$Z$55)/'Cálculos Mayagüez'!$AB$56)+(('Cálculos Mayagüez'!$AF$55*(M160)*'Cálculos Mayagüez'!$AJ$55)/'Cálculos Mayagüez'!$AL$56)</f>
        <v>0.58193116858799998</v>
      </c>
      <c r="N166" s="544">
        <f>(('Cálculos Mayagüez'!$B$55*(N154)*'Cálculos Mayagüez'!$F$55)/'Cálculos Mayagüez'!$H$56)+(('Cálculos Mayagüez'!$L$55*(N156)*'Cálculos Mayagüez'!$P$55)/'Cálculos Mayagüez'!$R$56)+(('Cálculos Mayagüez'!$V$55*(N158)*'Cálculos Mayagüez'!$Z$55)/'Cálculos Mayagüez'!$AB$56)+(('Cálculos Mayagüez'!$AF$55*(N160)*'Cálculos Mayagüez'!$AJ$55)/'Cálculos Mayagüez'!$AL$56)</f>
        <v>0.75657826629000002</v>
      </c>
      <c r="O166" s="562">
        <f t="shared" si="23"/>
        <v>10.473250591188002</v>
      </c>
    </row>
    <row r="167" spans="1:15" ht="21.75" customHeight="1" x14ac:dyDescent="0.2">
      <c r="A167" s="543" t="s">
        <v>23</v>
      </c>
      <c r="B167" s="543" t="s">
        <v>94</v>
      </c>
      <c r="C167" s="549">
        <f>(('Cálculos Mayagüez'!$B$63*(C154)*'Cálculos Mayagüez'!$F$63)/'Cálculos Mayagüez'!$H$64)+(('Cálculos Mayagüez'!$L$63*(C156)*'Cálculos Mayagüez'!$P$63)/'Cálculos Mayagüez'!$R$64)+(('Cálculos Mayagüez'!$V$63*(C158)*'Cálculos Mayagüez'!$Z$63)/'Cálculos Mayagüez'!$AB$64)+(('Cálculos Mayagüez'!$AF$63*(C160)*'Cálculos Mayagüez'!$AJ$63)/'Cálculos Mayagüez'!$AL$64)</f>
        <v>4.39314954876E-3</v>
      </c>
      <c r="D167" s="549">
        <f>(('Cálculos Mayagüez'!$B$63*(D154)*'Cálculos Mayagüez'!$F$63)/'Cálculos Mayagüez'!$H$64)+(('Cálculos Mayagüez'!$L$63*(D156)*'Cálculos Mayagüez'!$P$63)/'Cálculos Mayagüez'!$R$64)+(('Cálculos Mayagüez'!$V$63*(D158)*'Cálculos Mayagüez'!$Z$63)/'Cálculos Mayagüez'!$AB$64)+(('Cálculos Mayagüez'!$AF$63*(D160)*'Cálculos Mayagüez'!$AJ$63)/'Cálculos Mayagüez'!$AL$64)</f>
        <v>3.82519429236E-3</v>
      </c>
      <c r="E167" s="549">
        <f>(('Cálculos Mayagüez'!$B$63*(E154)*'Cálculos Mayagüez'!$F$63)/'Cálculos Mayagüez'!$H$64)+(('Cálculos Mayagüez'!$L$63*(E156)*'Cálculos Mayagüez'!$P$63)/'Cálculos Mayagüez'!$R$64)+(('Cálculos Mayagüez'!$V$63*(E158)*'Cálculos Mayagüez'!$Z$63)/'Cálculos Mayagüez'!$AB$64)+(('Cálculos Mayagüez'!$AF$63*(E160)*'Cálculos Mayagüez'!$AJ$63)/'Cálculos Mayagüez'!$AL$64)</f>
        <v>3.3731771774400004E-3</v>
      </c>
      <c r="F167" s="549">
        <f>(('Cálculos Mayagüez'!$B$63*(F154)*'Cálculos Mayagüez'!$F$63)/'Cálculos Mayagüez'!$H$64)+(('Cálculos Mayagüez'!$L$63*(F156)*'Cálculos Mayagüez'!$P$63)/'Cálculos Mayagüez'!$R$64)+(('Cálculos Mayagüez'!$V$63*(F158)*'Cálculos Mayagüez'!$Z$63)/'Cálculos Mayagüez'!$AB$64)+(('Cálculos Mayagüez'!$AF$63*(F160)*'Cálculos Mayagüez'!$AJ$63)/'Cálculos Mayagüez'!$AL$64)</f>
        <v>4.5186038528400004E-3</v>
      </c>
      <c r="G167" s="549">
        <f>(('Cálculos Mayagüez'!$B$63*(G154)*'Cálculos Mayagüez'!$F$63)/'Cálculos Mayagüez'!$H$64)+(('Cálculos Mayagüez'!$L$63*(G156)*'Cálculos Mayagüez'!$P$63)/'Cálculos Mayagüez'!$R$64)+(('Cálculos Mayagüez'!$V$63*(G158)*'Cálculos Mayagüez'!$Z$63)/'Cálculos Mayagüez'!$AB$64)+(('Cálculos Mayagüez'!$AF$63*(G160)*'Cálculos Mayagüez'!$AJ$63)/'Cálculos Mayagüez'!$AL$64)</f>
        <v>5.1293516147999998E-3</v>
      </c>
      <c r="H167" s="549">
        <f>(('Cálculos Mayagüez'!$B$63*(H154)*'Cálculos Mayagüez'!$F$63)/'Cálculos Mayagüez'!$H$64)+(('Cálculos Mayagüez'!$L$63*(H156)*'Cálculos Mayagüez'!$P$63)/'Cálculos Mayagüez'!$R$64)+(('Cálculos Mayagüez'!$V$63*(H158)*'Cálculos Mayagüez'!$Z$63)/'Cálculos Mayagüez'!$AB$64)+(('Cálculos Mayagüez'!$AF$63*(H160)*'Cálculos Mayagüez'!$AJ$63)/'Cálculos Mayagüez'!$AL$64)</f>
        <v>3.6023006501999999E-3</v>
      </c>
      <c r="I167" s="549">
        <f>(('Cálculos Mayagüez'!$B$63*(I154)*'Cálculos Mayagüez'!$F$63)/'Cálculos Mayagüez'!$H$64)+(('Cálculos Mayagüez'!$L$63*(I156)*'Cálculos Mayagüez'!$P$63)/'Cálculos Mayagüez'!$R$64)+(('Cálculos Mayagüez'!$V$63*(I158)*'Cálculos Mayagüez'!$Z$63)/'Cálculos Mayagüez'!$AB$64)+(('Cálculos Mayagüez'!$AF$63*(I160)*'Cálculos Mayagüez'!$AJ$63)/'Cálculos Mayagüez'!$AL$64)</f>
        <v>2.6727324321600006E-3</v>
      </c>
      <c r="J167" s="549">
        <f>(('Cálculos Mayagüez'!$B$63*(J154)*'Cálculos Mayagüez'!$F$63)/'Cálculos Mayagüez'!$H$64)+(('Cálculos Mayagüez'!$L$63*(J156)*'Cálculos Mayagüez'!$P$63)/'Cálculos Mayagüez'!$R$64)+(('Cálculos Mayagüez'!$V$63*(J158)*'Cálculos Mayagüez'!$Z$63)/'Cálculos Mayagüez'!$AB$64)+(('Cálculos Mayagüez'!$AF$63*(J160)*'Cálculos Mayagüez'!$AJ$63)/'Cálculos Mayagüez'!$AL$64)</f>
        <v>3.8645637382800002E-3</v>
      </c>
      <c r="K167" s="549">
        <f>(('Cálculos Mayagüez'!$B$63*(K154)*'Cálculos Mayagüez'!$F$63)/'Cálculos Mayagüez'!$H$64)+(('Cálculos Mayagüez'!$L$63*(K156)*'Cálculos Mayagüez'!$P$63)/'Cálculos Mayagüez'!$R$64)+(('Cálculos Mayagüez'!$V$63*(K158)*'Cálculos Mayagüez'!$Z$63)/'Cálculos Mayagüez'!$AB$64)+(('Cálculos Mayagüez'!$AF$63*(K160)*'Cálculos Mayagüez'!$AJ$63)/'Cálculos Mayagüez'!$AL$64)</f>
        <v>3.6795955845600006E-3</v>
      </c>
      <c r="L167" s="549">
        <f>(('Cálculos Mayagüez'!$B$63*(L154)*'Cálculos Mayagüez'!$F$63)/'Cálculos Mayagüez'!$H$64)+(('Cálculos Mayagüez'!$L$63*(L156)*'Cálculos Mayagüez'!$P$63)/'Cálculos Mayagüez'!$R$64)+(('Cálculos Mayagüez'!$V$63*(L158)*'Cálculos Mayagüez'!$Z$63)/'Cálculos Mayagüez'!$AB$64)+(('Cálculos Mayagüez'!$AF$63*(L160)*'Cálculos Mayagüez'!$AJ$63)/'Cálculos Mayagüez'!$AL$64)</f>
        <v>3.6947784384E-3</v>
      </c>
      <c r="M167" s="549">
        <f>(('Cálculos Mayagüez'!$B$63*(M154)*'Cálculos Mayagüez'!$F$63)/'Cálculos Mayagüez'!$H$64)+(('Cálculos Mayagüez'!$L$63*(M156)*'Cálculos Mayagüez'!$P$63)/'Cálculos Mayagüez'!$R$64)+(('Cálculos Mayagüez'!$V$63*(M158)*'Cálculos Mayagüez'!$Z$63)/'Cálculos Mayagüez'!$AB$64)+(('Cálculos Mayagüez'!$AF$63*(M160)*'Cálculos Mayagüez'!$AJ$63)/'Cálculos Mayagüez'!$AL$64)</f>
        <v>2.4687988970400004E-3</v>
      </c>
      <c r="N167" s="549">
        <f>(('Cálculos Mayagüez'!$B$63*(N154)*'Cálculos Mayagüez'!$F$63)/'Cálculos Mayagüez'!$H$64)+(('Cálculos Mayagüez'!$L$63*(N156)*'Cálculos Mayagüez'!$P$63)/'Cálculos Mayagüez'!$R$64)+(('Cálculos Mayagüez'!$V$63*(N158)*'Cálculos Mayagüez'!$Z$63)/'Cálculos Mayagüez'!$AB$64)+(('Cálculos Mayagüez'!$AF$63*(N160)*'Cálculos Mayagüez'!$AJ$63)/'Cálculos Mayagüez'!$AL$64)</f>
        <v>3.2097259782000002E-3</v>
      </c>
      <c r="O167" s="563">
        <f t="shared" si="23"/>
        <v>4.4431972205039999E-2</v>
      </c>
    </row>
    <row r="168" spans="1:15" ht="21.75" customHeight="1" x14ac:dyDescent="0.2">
      <c r="A168" s="543" t="s">
        <v>24</v>
      </c>
      <c r="B168" s="543" t="s">
        <v>94</v>
      </c>
      <c r="C168" s="544">
        <f>('Cálculos Mayagüez'!$B$72*((C154))/'Cálculos Mayagüez'!$F$73)+('Cálculos Mayagüez'!$L$72*((C156))/'Cálculos Mayagüez'!$P$73)+('Cálculos Mayagüez'!$V$72*((C158))/'Cálculos Mayagüez'!$Z$73)+('Cálculos Mayagüez'!$AF$72*((C160))/'Cálculos Mayagüez'!$AJ$73)</f>
        <v>51340.775502928496</v>
      </c>
      <c r="D168" s="544">
        <f>('Cálculos Mayagüez'!$B$72*((D154))/'Cálculos Mayagüez'!$F$73)+('Cálculos Mayagüez'!$L$72*((D156))/'Cálculos Mayagüez'!$P$73)+('Cálculos Mayagüez'!$V$72*((D158))/'Cálculos Mayagüez'!$Z$73)+('Cálculos Mayagüez'!$AF$72*((D160))/'Cálculos Mayagüez'!$AJ$73)</f>
        <v>44703.336237340322</v>
      </c>
      <c r="E168" s="544">
        <f>('Cálculos Mayagüez'!$B$72*((E154))/'Cálculos Mayagüez'!$F$73)+('Cálculos Mayagüez'!$L$72*((E156))/'Cálculos Mayagüez'!$P$73)+('Cálculos Mayagüez'!$V$72*((E158))/'Cálculos Mayagüez'!$Z$73)+('Cálculos Mayagüez'!$AF$72*((E160))/'Cálculos Mayagüez'!$AJ$73)</f>
        <v>39420.81421913598</v>
      </c>
      <c r="F168" s="544">
        <f>('Cálculos Mayagüez'!$B$72*((F154))/'Cálculos Mayagüez'!$F$73)+('Cálculos Mayagüez'!$L$72*((F156))/'Cálculos Mayagüez'!$P$73)+('Cálculos Mayagüez'!$V$72*((F158))/'Cálculos Mayagüez'!$Z$73)+('Cálculos Mayagüez'!$AF$72*((F160))/'Cálculos Mayagüez'!$AJ$73)</f>
        <v>52806.903889899841</v>
      </c>
      <c r="G168" s="544">
        <f>('Cálculos Mayagüez'!$B$72*((G154))/'Cálculos Mayagüez'!$F$73)+('Cálculos Mayagüez'!$L$72*((G156))/'Cálculos Mayagüez'!$P$73)+('Cálculos Mayagüez'!$V$72*((G158))/'Cálculos Mayagüez'!$Z$73)+('Cálculos Mayagüez'!$AF$72*((G160))/'Cálculos Mayagüez'!$AJ$73)</f>
        <v>59944.440044241528</v>
      </c>
      <c r="H168" s="544">
        <f>('Cálculos Mayagüez'!$B$72*((H154))/'Cálculos Mayagüez'!$F$73)+('Cálculos Mayagüez'!$L$72*((H156))/'Cálculos Mayagüez'!$P$73)+('Cálculos Mayagüez'!$V$72*((H158))/'Cálculos Mayagüez'!$Z$73)+('Cálculos Mayagüez'!$AF$72*((H160))/'Cálculos Mayagüez'!$AJ$73)</f>
        <v>42098.4778513114</v>
      </c>
      <c r="I168" s="544">
        <f>('Cálculos Mayagüez'!$B$72*((I154))/'Cálculos Mayagüez'!$F$73)+('Cálculos Mayagüez'!$L$72*((I156))/'Cálculos Mayagüez'!$P$73)+('Cálculos Mayagüez'!$V$72*((I158))/'Cálculos Mayagüez'!$Z$73)+('Cálculos Mayagüez'!$AF$72*((I160))/'Cálculos Mayagüez'!$AJ$73)</f>
        <v>31235.029505802748</v>
      </c>
      <c r="J168" s="544">
        <f>('Cálculos Mayagüez'!$B$72*((J154))/'Cálculos Mayagüez'!$F$73)+('Cálculos Mayagüez'!$L$72*((J156))/'Cálculos Mayagüez'!$P$73)+('Cálculos Mayagüez'!$V$72*((J158))/'Cálculos Mayagüez'!$Z$73)+('Cálculos Mayagüez'!$AF$72*((J160))/'Cálculos Mayagüez'!$AJ$73)</f>
        <v>45163.42935782695</v>
      </c>
      <c r="K168" s="544">
        <f>('Cálculos Mayagüez'!$B$72*((K154))/'Cálculos Mayagüez'!$F$73)+('Cálculos Mayagüez'!$L$72*((K156))/'Cálculos Mayagüez'!$P$73)+('Cálculos Mayagüez'!$V$72*((K158))/'Cálculos Mayagüez'!$Z$73)+('Cálculos Mayagüez'!$AF$72*((K160))/'Cálculos Mayagüez'!$AJ$73)</f>
        <v>43001.789206512243</v>
      </c>
      <c r="L168" s="544">
        <f>('Cálculos Mayagüez'!$B$72*((L154))/'Cálculos Mayagüez'!$F$73)+('Cálculos Mayagüez'!$L$72*((L156))/'Cálculos Mayagüez'!$P$73)+('Cálculos Mayagüez'!$V$72*((L158))/'Cálculos Mayagüez'!$Z$73)+('Cálculos Mayagüez'!$AF$72*((L160))/'Cálculos Mayagüez'!$AJ$73)</f>
        <v>43179.224434209704</v>
      </c>
      <c r="M168" s="544">
        <f>('Cálculos Mayagüez'!$B$72*((M154))/'Cálculos Mayagüez'!$F$73)+('Cálculos Mayagüez'!$L$72*((M156))/'Cálculos Mayagüez'!$P$73)+('Cálculos Mayagüez'!$V$72*((M158))/'Cálculos Mayagüez'!$Z$73)+('Cálculos Mayagüez'!$AF$72*((M160))/'Cálculos Mayagüez'!$AJ$73)</f>
        <v>28851.74941758682</v>
      </c>
      <c r="N168" s="544">
        <f>('Cálculos Mayagüez'!$B$72*((N154))/'Cálculos Mayagüez'!$F$73)+('Cálculos Mayagüez'!$L$72*((N156))/'Cálculos Mayagüez'!$P$73)+('Cálculos Mayagüez'!$V$72*((N158))/'Cálculos Mayagüez'!$Z$73)+('Cálculos Mayagüez'!$AF$72*((N160))/'Cálculos Mayagüez'!$AJ$73)</f>
        <v>37510.633099025035</v>
      </c>
      <c r="O168" s="562">
        <f t="shared" si="23"/>
        <v>519256.60276582104</v>
      </c>
    </row>
    <row r="169" spans="1:15" ht="21.75" customHeight="1" x14ac:dyDescent="0.2">
      <c r="A169" s="571"/>
      <c r="B169" s="571"/>
      <c r="C169" s="571"/>
      <c r="D169" s="571"/>
      <c r="E169" s="571"/>
      <c r="F169" s="571"/>
      <c r="G169" s="571"/>
      <c r="H169" s="571"/>
      <c r="I169" s="571"/>
      <c r="J169" s="571"/>
      <c r="K169" s="571"/>
      <c r="L169" s="571"/>
      <c r="M169" s="571"/>
      <c r="N169" s="571"/>
      <c r="O169" s="571"/>
    </row>
    <row r="170" spans="1:15" ht="21.75" customHeight="1" x14ac:dyDescent="0.2">
      <c r="A170" s="571"/>
      <c r="B170" s="571"/>
      <c r="C170" s="571"/>
      <c r="D170" s="571"/>
      <c r="E170" s="571"/>
      <c r="F170" s="571"/>
      <c r="G170" s="571"/>
      <c r="H170" s="571"/>
      <c r="I170" s="571"/>
      <c r="J170" s="571"/>
      <c r="K170" s="571"/>
      <c r="L170" s="571"/>
      <c r="M170" s="571"/>
      <c r="N170" s="571"/>
      <c r="O170" s="571"/>
    </row>
    <row r="171" spans="1:15" ht="18" customHeight="1" x14ac:dyDescent="0.2"/>
    <row r="172" spans="1:15" ht="18" customHeight="1" x14ac:dyDescent="0.2"/>
    <row r="1048567" ht="12.75" customHeight="1" x14ac:dyDescent="0.2"/>
    <row r="1048568" ht="12.75" customHeight="1" x14ac:dyDescent="0.2"/>
  </sheetData>
  <mergeCells count="23">
    <mergeCell ref="A1:O1"/>
    <mergeCell ref="A13:O13"/>
    <mergeCell ref="A14:B14"/>
    <mergeCell ref="J14:K14"/>
    <mergeCell ref="A31:B31"/>
    <mergeCell ref="J31:K31"/>
    <mergeCell ref="A41:B41"/>
    <mergeCell ref="A61:B61"/>
    <mergeCell ref="J61:K61"/>
    <mergeCell ref="A73:B73"/>
    <mergeCell ref="J73:K73"/>
    <mergeCell ref="A89:B89"/>
    <mergeCell ref="J89:K89"/>
    <mergeCell ref="A105:B105"/>
    <mergeCell ref="J105:K105"/>
    <mergeCell ref="A117:B117"/>
    <mergeCell ref="J117:K117"/>
    <mergeCell ref="A129:B129"/>
    <mergeCell ref="J129:K129"/>
    <mergeCell ref="A141:B141"/>
    <mergeCell ref="J141:K141"/>
    <mergeCell ref="A153:B153"/>
    <mergeCell ref="J153:K15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233E5B"/>
  </sheetPr>
  <dimension ref="A1:O1048560"/>
  <sheetViews>
    <sheetView showGridLines="0" zoomScaleNormal="100" workbookViewId="0">
      <pane xSplit="2" ySplit="2" topLeftCell="C3" activePane="bottomRight" state="frozen"/>
      <selection pane="topRight"/>
      <selection pane="bottomLeft"/>
      <selection pane="bottomRight" sqref="A1:O1"/>
    </sheetView>
  </sheetViews>
  <sheetFormatPr defaultColWidth="8.7109375" defaultRowHeight="19.5" x14ac:dyDescent="0.55000000000000004"/>
  <cols>
    <col min="1" max="1" width="37" style="572" customWidth="1"/>
    <col min="2" max="15" width="15" style="572" customWidth="1"/>
    <col min="16" max="16379" width="8.7109375" style="572"/>
    <col min="16380" max="16384" width="11.5703125" style="572" customWidth="1"/>
  </cols>
  <sheetData>
    <row r="1" spans="1:15" ht="30" customHeight="1" x14ac:dyDescent="0.55000000000000004">
      <c r="A1" s="629" t="s">
        <v>414</v>
      </c>
      <c r="B1" s="629"/>
      <c r="C1" s="629"/>
      <c r="D1" s="629"/>
      <c r="E1" s="629"/>
      <c r="F1" s="629"/>
      <c r="G1" s="629"/>
      <c r="H1" s="629"/>
      <c r="I1" s="629"/>
      <c r="J1" s="629"/>
      <c r="K1" s="629"/>
      <c r="L1" s="629"/>
      <c r="M1" s="629"/>
      <c r="N1" s="629"/>
      <c r="O1" s="629"/>
    </row>
    <row r="2" spans="1:15" ht="37.5" customHeight="1" x14ac:dyDescent="0.55000000000000004">
      <c r="A2" s="573" t="s">
        <v>363</v>
      </c>
      <c r="B2" s="573" t="s">
        <v>364</v>
      </c>
      <c r="C2" s="573" t="s">
        <v>415</v>
      </c>
      <c r="D2" s="573" t="s">
        <v>416</v>
      </c>
      <c r="E2" s="573" t="s">
        <v>417</v>
      </c>
      <c r="F2" s="573" t="s">
        <v>418</v>
      </c>
      <c r="G2" s="573" t="s">
        <v>5</v>
      </c>
      <c r="H2" s="573" t="s">
        <v>419</v>
      </c>
      <c r="I2" s="573" t="s">
        <v>420</v>
      </c>
      <c r="J2" s="573" t="s">
        <v>421</v>
      </c>
      <c r="K2" s="573" t="s">
        <v>422</v>
      </c>
      <c r="L2" s="573" t="s">
        <v>423</v>
      </c>
      <c r="M2" s="573" t="s">
        <v>424</v>
      </c>
      <c r="N2" s="573" t="s">
        <v>425</v>
      </c>
      <c r="O2" s="573" t="s">
        <v>26</v>
      </c>
    </row>
    <row r="3" spans="1:15" ht="21.75" customHeight="1" x14ac:dyDescent="0.55000000000000004">
      <c r="A3" s="574" t="s">
        <v>17</v>
      </c>
      <c r="B3" s="574" t="s">
        <v>54</v>
      </c>
      <c r="C3" s="549">
        <f t="shared" ref="C3:O3" si="0">IF(AND(ISNUMBER(C34),ISNUMBER(C16)),IF(C16=0,"n.a.",C34*$C$57/C16),"n.d.")</f>
        <v>2.138910687425118E-2</v>
      </c>
      <c r="D3" s="549">
        <f t="shared" si="0"/>
        <v>2.7507671564600249E-2</v>
      </c>
      <c r="E3" s="549">
        <f t="shared" si="0"/>
        <v>2.3322131849524964E-2</v>
      </c>
      <c r="F3" s="549">
        <f t="shared" si="0"/>
        <v>2.0737330235028942E-2</v>
      </c>
      <c r="G3" s="549">
        <f t="shared" si="0"/>
        <v>2.8998611636079374E-2</v>
      </c>
      <c r="H3" s="549">
        <f t="shared" si="0"/>
        <v>2.7881070555725678E-2</v>
      </c>
      <c r="I3" s="549">
        <f t="shared" si="0"/>
        <v>2.7730040084085292E-2</v>
      </c>
      <c r="J3" s="549">
        <f t="shared" si="0"/>
        <v>2.3348577112051544E-2</v>
      </c>
      <c r="K3" s="549">
        <f t="shared" si="0"/>
        <v>2.0966751077323743E-2</v>
      </c>
      <c r="L3" s="549">
        <f t="shared" si="0"/>
        <v>1.9193214587170292E-2</v>
      </c>
      <c r="M3" s="549">
        <f t="shared" si="0"/>
        <v>1.8109054635032512E-2</v>
      </c>
      <c r="N3" s="549">
        <f t="shared" si="0"/>
        <v>1.1949146155402358E-2</v>
      </c>
      <c r="O3" s="549">
        <f t="shared" si="0"/>
        <v>2.3126657694147089E-2</v>
      </c>
    </row>
    <row r="4" spans="1:15" ht="21.75" customHeight="1" x14ac:dyDescent="0.55000000000000004">
      <c r="A4" s="574" t="s">
        <v>18</v>
      </c>
      <c r="B4" s="574" t="s">
        <v>54</v>
      </c>
      <c r="C4" s="549">
        <f t="shared" ref="C4:O4" si="1">IF(AND(ISNUMBER(C35),ISNUMBER(C17)),IF(C17=0,"n.a.",C35*$C$57/C17),"n.d.")</f>
        <v>2.1390155692191635E-2</v>
      </c>
      <c r="D4" s="549">
        <f t="shared" si="1"/>
        <v>2.0940179707099955E-2</v>
      </c>
      <c r="E4" s="549">
        <f t="shared" si="1"/>
        <v>1.4997583876096128E-2</v>
      </c>
      <c r="F4" s="549">
        <f t="shared" si="1"/>
        <v>2.066656726905633E-2</v>
      </c>
      <c r="G4" s="549">
        <f t="shared" si="1"/>
        <v>3.1039468024340783E-2</v>
      </c>
      <c r="H4" s="549">
        <f t="shared" si="1"/>
        <v>2.5361949458285855E-2</v>
      </c>
      <c r="I4" s="549">
        <f t="shared" si="1"/>
        <v>2.8226189773114519E-2</v>
      </c>
      <c r="J4" s="549">
        <f t="shared" si="1"/>
        <v>3.0223614258013599E-2</v>
      </c>
      <c r="K4" s="549">
        <f t="shared" si="1"/>
        <v>3.18257539231976E-2</v>
      </c>
      <c r="L4" s="549">
        <f t="shared" si="1"/>
        <v>2.8083122267231114E-2</v>
      </c>
      <c r="M4" s="549">
        <f t="shared" si="1"/>
        <v>2.0209753218106655E-2</v>
      </c>
      <c r="N4" s="549">
        <f t="shared" si="1"/>
        <v>2.5475663879731911E-2</v>
      </c>
      <c r="O4" s="549">
        <f t="shared" si="1"/>
        <v>2.5996004274719101E-2</v>
      </c>
    </row>
    <row r="5" spans="1:15" ht="21.75" customHeight="1" x14ac:dyDescent="0.55000000000000004">
      <c r="A5" s="574" t="s">
        <v>40</v>
      </c>
      <c r="B5" s="574" t="s">
        <v>54</v>
      </c>
      <c r="C5" s="549">
        <f t="shared" ref="C5:O5" si="2">IF(AND(ISNUMBER(C36),ISNUMBER(C18)),IF(C18=0,"n.a.",C36*$C$57/C18),"n.d.")</f>
        <v>6.7904232208255613E-3</v>
      </c>
      <c r="D5" s="549">
        <f t="shared" si="2"/>
        <v>6.6420366935112177E-3</v>
      </c>
      <c r="E5" s="549">
        <f t="shared" si="2"/>
        <v>8.4484968618086988E-3</v>
      </c>
      <c r="F5" s="549">
        <f t="shared" si="2"/>
        <v>8.3699274258242605E-3</v>
      </c>
      <c r="G5" s="549">
        <f t="shared" si="2"/>
        <v>2.1354786948111035E-2</v>
      </c>
      <c r="H5" s="549">
        <f t="shared" si="2"/>
        <v>1.8662210648278176E-2</v>
      </c>
      <c r="I5" s="549">
        <f t="shared" si="2"/>
        <v>2.1414646436283966E-2</v>
      </c>
      <c r="J5" s="549">
        <f t="shared" si="2"/>
        <v>1.7255847164755658E-2</v>
      </c>
      <c r="K5" s="549">
        <f t="shared" si="2"/>
        <v>1.9295411401812283E-2</v>
      </c>
      <c r="L5" s="549">
        <f t="shared" si="2"/>
        <v>1.6045693209018799E-2</v>
      </c>
      <c r="M5" s="549">
        <f t="shared" si="2"/>
        <v>1.0383854943910963E-2</v>
      </c>
      <c r="N5" s="549">
        <f t="shared" si="2"/>
        <v>1.4845500261048991E-2</v>
      </c>
      <c r="O5" s="549">
        <f t="shared" si="2"/>
        <v>1.5540213243785682E-2</v>
      </c>
    </row>
    <row r="6" spans="1:15" ht="21.75" customHeight="1" x14ac:dyDescent="0.55000000000000004">
      <c r="A6" s="543" t="s">
        <v>365</v>
      </c>
      <c r="B6" s="543" t="s">
        <v>54</v>
      </c>
      <c r="C6" s="549">
        <f t="shared" ref="C6:O6" si="3">IF(AND(ISNUMBER(C37),ISNUMBER(C15)),IF(C15=0,"n.a.",C37*$C$57/C15),"n.d.")</f>
        <v>0.20205251891325837</v>
      </c>
      <c r="D6" s="549">
        <f t="shared" si="3"/>
        <v>0.24958678329916897</v>
      </c>
      <c r="E6" s="549">
        <f t="shared" si="3"/>
        <v>0.18719987835105872</v>
      </c>
      <c r="F6" s="549">
        <f t="shared" si="3"/>
        <v>0.17497656534426256</v>
      </c>
      <c r="G6" s="549">
        <f t="shared" si="3"/>
        <v>0.30202462507248995</v>
      </c>
      <c r="H6" s="549">
        <f t="shared" si="3"/>
        <v>0.30112271402614871</v>
      </c>
      <c r="I6" s="549">
        <f t="shared" si="3"/>
        <v>0.32415420466042588</v>
      </c>
      <c r="J6" s="549">
        <f t="shared" si="3"/>
        <v>0.26839743468796284</v>
      </c>
      <c r="K6" s="549">
        <f t="shared" si="3"/>
        <v>0.27814159691814117</v>
      </c>
      <c r="L6" s="549">
        <f t="shared" si="3"/>
        <v>0.21554404962668855</v>
      </c>
      <c r="M6" s="549">
        <f t="shared" si="3"/>
        <v>0.1959802330652641</v>
      </c>
      <c r="N6" s="549">
        <f t="shared" si="3"/>
        <v>0.16222493171882413</v>
      </c>
      <c r="O6" s="549">
        <f t="shared" si="3"/>
        <v>0.2473998192374938</v>
      </c>
    </row>
    <row r="7" spans="1:15" ht="21.75" customHeight="1" x14ac:dyDescent="0.55000000000000004">
      <c r="A7" s="543" t="s">
        <v>20</v>
      </c>
      <c r="B7" s="543" t="s">
        <v>54</v>
      </c>
      <c r="C7" s="549">
        <f t="shared" ref="C7:O7" si="4">IF(AND(ISNUMBER(C38),ISNUMBER(C15)),IF(C15=0,"n.a.",C38*$C$57/C15),"n.d.")</f>
        <v>0.28880318038923819</v>
      </c>
      <c r="D7" s="549">
        <f t="shared" si="4"/>
        <v>0.29901669406415249</v>
      </c>
      <c r="E7" s="549">
        <f t="shared" si="4"/>
        <v>0.29661772495790101</v>
      </c>
      <c r="F7" s="549">
        <f t="shared" si="4"/>
        <v>0.35010096966610388</v>
      </c>
      <c r="G7" s="549">
        <f t="shared" si="4"/>
        <v>0.35718796929039148</v>
      </c>
      <c r="H7" s="549">
        <f t="shared" si="4"/>
        <v>0.32760043260262511</v>
      </c>
      <c r="I7" s="549">
        <f t="shared" si="4"/>
        <v>0.31095172161357942</v>
      </c>
      <c r="J7" s="549">
        <f t="shared" si="4"/>
        <v>0.35019939748402767</v>
      </c>
      <c r="K7" s="549">
        <f t="shared" si="4"/>
        <v>0.36028902957959802</v>
      </c>
      <c r="L7" s="549">
        <f t="shared" si="4"/>
        <v>0.37618509452715171</v>
      </c>
      <c r="M7" s="549">
        <f t="shared" si="4"/>
        <v>0.34011099145721008</v>
      </c>
      <c r="N7" s="549">
        <f t="shared" si="4"/>
        <v>0.3580857943943469</v>
      </c>
      <c r="O7" s="549">
        <f t="shared" si="4"/>
        <v>0.33833928317862294</v>
      </c>
    </row>
    <row r="8" spans="1:15" ht="21.75" customHeight="1" x14ac:dyDescent="0.55000000000000004">
      <c r="A8" s="543" t="s">
        <v>22</v>
      </c>
      <c r="B8" s="543" t="s">
        <v>54</v>
      </c>
      <c r="C8" s="549">
        <f t="shared" ref="C8:O8" si="5">IF(AND(ISNUMBER(C39),ISNUMBER(C15)),IF(C15=0,"n.a.",C39*$C$57/C15),"n.d.")</f>
        <v>3.3944452553355312E-3</v>
      </c>
      <c r="D8" s="549">
        <f t="shared" si="5"/>
        <v>3.7876089549493063E-3</v>
      </c>
      <c r="E8" s="549">
        <f t="shared" si="5"/>
        <v>3.2340412806569634E-3</v>
      </c>
      <c r="F8" s="549">
        <f t="shared" si="5"/>
        <v>3.277108401823717E-3</v>
      </c>
      <c r="G8" s="549">
        <f t="shared" si="5"/>
        <v>3.4689929091177188E-3</v>
      </c>
      <c r="H8" s="549">
        <f t="shared" si="5"/>
        <v>3.1175291449236538E-3</v>
      </c>
      <c r="I8" s="549">
        <f t="shared" si="5"/>
        <v>3.1255501472676698E-3</v>
      </c>
      <c r="J8" s="549">
        <f t="shared" si="5"/>
        <v>3.4631237691647222E-3</v>
      </c>
      <c r="K8" s="549">
        <f t="shared" si="5"/>
        <v>3.1202476392184621E-3</v>
      </c>
      <c r="L8" s="549">
        <f t="shared" si="5"/>
        <v>3.0885428364185821E-3</v>
      </c>
      <c r="M8" s="549">
        <f t="shared" si="5"/>
        <v>2.6562872968570513E-3</v>
      </c>
      <c r="N8" s="549">
        <f t="shared" si="5"/>
        <v>2.4219546856766722E-3</v>
      </c>
      <c r="O8" s="549">
        <f t="shared" si="5"/>
        <v>3.1741569484551035E-3</v>
      </c>
    </row>
    <row r="9" spans="1:15" ht="21.75" customHeight="1" x14ac:dyDescent="0.55000000000000004">
      <c r="A9" s="543" t="s">
        <v>21</v>
      </c>
      <c r="B9" s="543" t="s">
        <v>54</v>
      </c>
      <c r="C9" s="549">
        <f t="shared" ref="C9:O9" si="6">IF(AND(ISNUMBER(C40),ISNUMBER(C15)),IF(C15=0,"n.a.",C40*$C$57/C15),"n.d.")</f>
        <v>2.2568495060926917E-2</v>
      </c>
      <c r="D9" s="549">
        <f t="shared" si="6"/>
        <v>2.4227564656970919E-2</v>
      </c>
      <c r="E9" s="549">
        <f t="shared" si="6"/>
        <v>2.1512459084121631E-2</v>
      </c>
      <c r="F9" s="549">
        <f t="shared" si="6"/>
        <v>1.7472877433013918E-2</v>
      </c>
      <c r="G9" s="549">
        <f t="shared" si="6"/>
        <v>1.7593847593038271E-2</v>
      </c>
      <c r="H9" s="549">
        <f t="shared" si="6"/>
        <v>1.8684242636791238E-2</v>
      </c>
      <c r="I9" s="549">
        <f t="shared" si="6"/>
        <v>1.8446197944016533E-2</v>
      </c>
      <c r="J9" s="549">
        <f t="shared" si="6"/>
        <v>1.7927308538298249E-2</v>
      </c>
      <c r="K9" s="549">
        <f t="shared" si="6"/>
        <v>1.5572811717123594E-2</v>
      </c>
      <c r="L9" s="549">
        <f t="shared" si="6"/>
        <v>1.4836458352125017E-2</v>
      </c>
      <c r="M9" s="549">
        <f t="shared" si="6"/>
        <v>1.760200836564621E-2</v>
      </c>
      <c r="N9" s="549">
        <f t="shared" si="6"/>
        <v>1.2221821992297875E-2</v>
      </c>
      <c r="O9" s="549">
        <f t="shared" si="6"/>
        <v>1.7877172818104057E-2</v>
      </c>
    </row>
    <row r="10" spans="1:15" ht="21.75" customHeight="1" x14ac:dyDescent="0.55000000000000004">
      <c r="A10" s="574" t="s">
        <v>42</v>
      </c>
      <c r="B10" s="574" t="s">
        <v>54</v>
      </c>
      <c r="C10" s="549">
        <f t="shared" ref="C10:O10" si="7">IF(AND(ISNUMBER(C41),ISNUMBER(C19)),IF(C19=0,"n.a.",C41*$C$57/C19),"n.d.")</f>
        <v>1.413502239792626E-2</v>
      </c>
      <c r="D10" s="549">
        <f t="shared" si="7"/>
        <v>1.1777765234353081E-2</v>
      </c>
      <c r="E10" s="549">
        <f t="shared" si="7"/>
        <v>5.1101562166075368E-3</v>
      </c>
      <c r="F10" s="549">
        <f t="shared" si="7"/>
        <v>7.1527799979548288E-3</v>
      </c>
      <c r="G10" s="549">
        <f t="shared" si="7"/>
        <v>1.5691559060531404E-2</v>
      </c>
      <c r="H10" s="549">
        <f t="shared" si="7"/>
        <v>1.2706473559340566E-2</v>
      </c>
      <c r="I10" s="549">
        <f t="shared" si="7"/>
        <v>1.4651295135580262E-2</v>
      </c>
      <c r="J10" s="549">
        <f t="shared" si="7"/>
        <v>1.4220662806814523E-2</v>
      </c>
      <c r="K10" s="549">
        <f t="shared" si="7"/>
        <v>1.5907140635741113E-2</v>
      </c>
      <c r="L10" s="549">
        <f t="shared" si="7"/>
        <v>1.0201292400475123E-2</v>
      </c>
      <c r="M10" s="549">
        <f t="shared" si="7"/>
        <v>6.0835391743678619E-3</v>
      </c>
      <c r="N10" s="549">
        <f t="shared" si="7"/>
        <v>6.5069891000932379E-3</v>
      </c>
      <c r="O10" s="549">
        <f t="shared" si="7"/>
        <v>1.1569670940841848E-2</v>
      </c>
    </row>
    <row r="11" spans="1:15" ht="21.75" customHeight="1" x14ac:dyDescent="0.55000000000000004">
      <c r="A11" s="543" t="s">
        <v>23</v>
      </c>
      <c r="B11" s="543" t="s">
        <v>54</v>
      </c>
      <c r="C11" s="575">
        <f t="shared" ref="C11:O11" si="8">IF(AND(ISNUMBER(C42),ISNUMBER(C15)),IF(C15=0,"n.a.",C42*$C$57/C15),"n.d.")</f>
        <v>7.9686413070384818E-6</v>
      </c>
      <c r="D11" s="575">
        <f t="shared" si="8"/>
        <v>8.5186671982009561E-6</v>
      </c>
      <c r="E11" s="575">
        <f t="shared" si="8"/>
        <v>6.7814657782283799E-6</v>
      </c>
      <c r="F11" s="575">
        <f t="shared" si="8"/>
        <v>7.9254638416181632E-6</v>
      </c>
      <c r="G11" s="575">
        <f t="shared" si="8"/>
        <v>8.9294593788443958E-6</v>
      </c>
      <c r="H11" s="575">
        <f t="shared" si="8"/>
        <v>7.1418654389553214E-6</v>
      </c>
      <c r="I11" s="575">
        <f t="shared" si="8"/>
        <v>6.7591699379093849E-6</v>
      </c>
      <c r="J11" s="575">
        <f t="shared" si="8"/>
        <v>8.1736778273518553E-6</v>
      </c>
      <c r="K11" s="575">
        <f t="shared" si="8"/>
        <v>7.9037026491153142E-6</v>
      </c>
      <c r="L11" s="575">
        <f t="shared" si="8"/>
        <v>7.7919794746916718E-6</v>
      </c>
      <c r="M11" s="575">
        <f t="shared" si="8"/>
        <v>5.5314361684710011E-6</v>
      </c>
      <c r="N11" s="575">
        <f t="shared" si="8"/>
        <v>5.9959977574656649E-6</v>
      </c>
      <c r="O11" s="575">
        <f t="shared" si="8"/>
        <v>7.4773717108937348E-6</v>
      </c>
    </row>
    <row r="12" spans="1:15" ht="21.75" customHeight="1" x14ac:dyDescent="0.55000000000000004">
      <c r="A12" s="543" t="s">
        <v>426</v>
      </c>
      <c r="B12" s="543" t="s">
        <v>54</v>
      </c>
      <c r="C12" s="569">
        <f t="shared" ref="C12:O12" si="9">IF(AND(ISNUMBER(C43),ISNUMBER(C15)),IF(C15=0,"n.a.",C43*$C$57/C15),"n.d.")</f>
        <v>148.56393623569357</v>
      </c>
      <c r="D12" s="569">
        <f t="shared" si="9"/>
        <v>151.94187672721932</v>
      </c>
      <c r="E12" s="569">
        <f t="shared" si="9"/>
        <v>145.298327700659</v>
      </c>
      <c r="F12" s="569">
        <f t="shared" si="9"/>
        <v>146.41502524880926</v>
      </c>
      <c r="G12" s="569">
        <f t="shared" si="9"/>
        <v>158.6322529287317</v>
      </c>
      <c r="H12" s="569">
        <f t="shared" si="9"/>
        <v>153.92634247379601</v>
      </c>
      <c r="I12" s="569">
        <f t="shared" si="9"/>
        <v>155.40112585476442</v>
      </c>
      <c r="J12" s="569">
        <f t="shared" si="9"/>
        <v>153.55035073755514</v>
      </c>
      <c r="K12" s="569">
        <f t="shared" si="9"/>
        <v>154.16013045374712</v>
      </c>
      <c r="L12" s="569">
        <f t="shared" si="9"/>
        <v>150.25137406067776</v>
      </c>
      <c r="M12" s="569">
        <f t="shared" si="9"/>
        <v>141.49718037915406</v>
      </c>
      <c r="N12" s="569">
        <f t="shared" si="9"/>
        <v>143.5786608190987</v>
      </c>
      <c r="O12" s="569">
        <f t="shared" si="9"/>
        <v>150.99683954173392</v>
      </c>
    </row>
    <row r="13" spans="1:15" ht="31.5" hidden="1" customHeight="1" x14ac:dyDescent="0.55000000000000004">
      <c r="A13" s="626" t="s">
        <v>427</v>
      </c>
      <c r="B13" s="626"/>
      <c r="C13" s="576"/>
      <c r="D13" s="576"/>
      <c r="E13" s="576"/>
      <c r="F13" s="576"/>
      <c r="G13" s="576"/>
      <c r="H13" s="576"/>
      <c r="I13" s="576"/>
      <c r="J13" s="576"/>
      <c r="K13" s="576"/>
      <c r="L13" s="576"/>
      <c r="M13" s="576"/>
      <c r="N13" s="576"/>
      <c r="O13" s="577"/>
    </row>
    <row r="14" spans="1:15" ht="37.5" hidden="1" customHeight="1" x14ac:dyDescent="0.55000000000000004">
      <c r="A14" s="573" t="s">
        <v>363</v>
      </c>
      <c r="B14" s="573" t="s">
        <v>364</v>
      </c>
      <c r="C14" s="573" t="s">
        <v>415</v>
      </c>
      <c r="D14" s="573" t="s">
        <v>416</v>
      </c>
      <c r="E14" s="573" t="s">
        <v>417</v>
      </c>
      <c r="F14" s="573" t="s">
        <v>418</v>
      </c>
      <c r="G14" s="573" t="s">
        <v>5</v>
      </c>
      <c r="H14" s="573" t="s">
        <v>419</v>
      </c>
      <c r="I14" s="573" t="s">
        <v>420</v>
      </c>
      <c r="J14" s="573" t="s">
        <v>421</v>
      </c>
      <c r="K14" s="573" t="s">
        <v>422</v>
      </c>
      <c r="L14" s="573" t="s">
        <v>423</v>
      </c>
      <c r="M14" s="573" t="s">
        <v>424</v>
      </c>
      <c r="N14" s="573" t="s">
        <v>425</v>
      </c>
      <c r="O14" s="573" t="s">
        <v>26</v>
      </c>
    </row>
    <row r="15" spans="1:15" ht="21.75" hidden="1" customHeight="1" x14ac:dyDescent="0.55000000000000004">
      <c r="A15" s="543" t="s">
        <v>428</v>
      </c>
      <c r="B15" s="543" t="s">
        <v>131</v>
      </c>
      <c r="C15" s="578">
        <f t="shared" ref="C15:N15" si="10">IF(COUNT(C110,C111,C112,C113,C114,C115,C116,C117,C118,C119,C120,C121,C122,C123,C124,C125,C126,C127,C128,C129,C130,C131)=22,SUM(C110,C111,C112,C113,C114,C115,C116,C117,C118,C119,C120,C121,C122,C123,C124,C125,C126,C127,C128,C129,C130,C131),"n.d.")</f>
        <v>5989451.2228582017</v>
      </c>
      <c r="D15" s="578">
        <f t="shared" si="10"/>
        <v>6308359.6880154004</v>
      </c>
      <c r="E15" s="578">
        <f t="shared" si="10"/>
        <v>6700825.2368789995</v>
      </c>
      <c r="F15" s="578">
        <f t="shared" si="10"/>
        <v>7474022.9107456012</v>
      </c>
      <c r="G15" s="578">
        <f t="shared" si="10"/>
        <v>10851045.970400002</v>
      </c>
      <c r="H15" s="578">
        <f t="shared" si="10"/>
        <v>11498510.441511799</v>
      </c>
      <c r="I15" s="578">
        <f t="shared" si="10"/>
        <v>10930421.531800002</v>
      </c>
      <c r="J15" s="578">
        <f t="shared" si="10"/>
        <v>11582120.823764</v>
      </c>
      <c r="K15" s="578">
        <f t="shared" si="10"/>
        <v>11201089.551674802</v>
      </c>
      <c r="L15" s="578">
        <f t="shared" si="10"/>
        <v>10882846.047745202</v>
      </c>
      <c r="M15" s="578">
        <f t="shared" si="10"/>
        <v>9119731.803761201</v>
      </c>
      <c r="N15" s="578">
        <f t="shared" si="10"/>
        <v>7265753.7184509989</v>
      </c>
      <c r="O15" s="578">
        <f>IF(COUNT(C15:N15)=12,SUM(C15:N15),"n.d.")</f>
        <v>109804178.94760619</v>
      </c>
    </row>
    <row r="16" spans="1:15" ht="21.75" hidden="1" customHeight="1" x14ac:dyDescent="0.55000000000000004">
      <c r="A16" s="543" t="s">
        <v>429</v>
      </c>
      <c r="B16" s="543" t="s">
        <v>131</v>
      </c>
      <c r="C16" s="578">
        <f t="shared" ref="C16:N16" si="11">IF(COUNT(C110,C111,C112,C113,C114,C115,C116,C117,C118,C119,C120,C121,C127,C128,C129,C130,C131)=17,SUM(C110,C111,C112,C113,C114,C115,C116,C117,C118,C119,C120,C121,C127,C128,C129,C130,C131),"n.d.")</f>
        <v>5595923.017778201</v>
      </c>
      <c r="D16" s="578">
        <f t="shared" si="11"/>
        <v>5861135.3434554003</v>
      </c>
      <c r="E16" s="578">
        <f t="shared" si="11"/>
        <v>6247644.2324430002</v>
      </c>
      <c r="F16" s="578">
        <f t="shared" si="11"/>
        <v>6776762.7224656008</v>
      </c>
      <c r="G16" s="578">
        <f t="shared" si="11"/>
        <v>9870077.7314000018</v>
      </c>
      <c r="H16" s="578">
        <f t="shared" si="11"/>
        <v>10964451.838071799</v>
      </c>
      <c r="I16" s="578">
        <f t="shared" si="11"/>
        <v>10390504.152640002</v>
      </c>
      <c r="J16" s="578">
        <f t="shared" si="11"/>
        <v>9641965.076684</v>
      </c>
      <c r="K16" s="578">
        <f t="shared" si="11"/>
        <v>9194684.7261148021</v>
      </c>
      <c r="L16" s="578">
        <f t="shared" si="11"/>
        <v>8925522.7709052004</v>
      </c>
      <c r="M16" s="578">
        <f t="shared" si="11"/>
        <v>7981738.6780012008</v>
      </c>
      <c r="N16" s="578">
        <f t="shared" si="11"/>
        <v>5906891.2694109995</v>
      </c>
      <c r="O16" s="578">
        <f>IF(COUNT(C16:N16)=12,SUM(C16:N16),"n.d.")</f>
        <v>97357301.55937019</v>
      </c>
    </row>
    <row r="17" spans="1:15" ht="21.75" hidden="1" customHeight="1" x14ac:dyDescent="0.55000000000000004">
      <c r="A17" s="543" t="s">
        <v>430</v>
      </c>
      <c r="B17" s="543" t="s">
        <v>131</v>
      </c>
      <c r="C17" s="578">
        <f t="shared" ref="C17:N17" si="12">IF(COUNT(C110,C111,C112,C113,C115,C116,C117,C118,C119,C122,C123,C124,C125,C126)=14,SUM(C110,C111,C112,C113,C115,C116,C117,C118,C119,C122,C123,C124,C125,C126),"n.d.")</f>
        <v>3629498.7414982007</v>
      </c>
      <c r="D17" s="578">
        <f t="shared" si="12"/>
        <v>2987839.1454953998</v>
      </c>
      <c r="E17" s="578">
        <f t="shared" si="12"/>
        <v>3790329.3761189999</v>
      </c>
      <c r="F17" s="578">
        <f t="shared" si="12"/>
        <v>4258448.6154256007</v>
      </c>
      <c r="G17" s="578">
        <f t="shared" si="12"/>
        <v>5535571.19276</v>
      </c>
      <c r="H17" s="578">
        <f t="shared" si="12"/>
        <v>6593639.2508317996</v>
      </c>
      <c r="I17" s="578">
        <f t="shared" si="12"/>
        <v>7081500.5492800009</v>
      </c>
      <c r="J17" s="578">
        <f t="shared" si="12"/>
        <v>7894221.167324</v>
      </c>
      <c r="K17" s="578">
        <f t="shared" si="12"/>
        <v>8437444.6567947995</v>
      </c>
      <c r="L17" s="578">
        <f t="shared" si="12"/>
        <v>7674677.4984251997</v>
      </c>
      <c r="M17" s="578">
        <f t="shared" si="12"/>
        <v>6701771.9149611993</v>
      </c>
      <c r="N17" s="578">
        <f t="shared" si="12"/>
        <v>6009148.8858909998</v>
      </c>
      <c r="O17" s="578">
        <f>IF(COUNT(C17:N17)=12,SUM(C17:N17),"n.d.")</f>
        <v>70594090.9948062</v>
      </c>
    </row>
    <row r="18" spans="1:15" ht="21.75" hidden="1" customHeight="1" x14ac:dyDescent="0.55000000000000004">
      <c r="A18" s="543" t="s">
        <v>431</v>
      </c>
      <c r="B18" s="543" t="s">
        <v>131</v>
      </c>
      <c r="C18" s="578">
        <f t="shared" ref="C18:N18" si="13">IF(COUNT(C110,C111,C112,C113,C116,C117,C118,C119,C124,C125)=10,SUM(C110,C111,C112,C113,C116,C117,C118,C119,C124,C125),"n.d.")</f>
        <v>2134065.7784182001</v>
      </c>
      <c r="D18" s="578">
        <f t="shared" si="13"/>
        <v>1821702.2709353999</v>
      </c>
      <c r="E18" s="578">
        <f t="shared" si="13"/>
        <v>2982616.9366830001</v>
      </c>
      <c r="F18" s="578">
        <f t="shared" si="13"/>
        <v>3057157.7761456002</v>
      </c>
      <c r="G18" s="578">
        <f t="shared" si="13"/>
        <v>4099693.9667599997</v>
      </c>
      <c r="H18" s="578">
        <f t="shared" si="13"/>
        <v>5577012.4793917993</v>
      </c>
      <c r="I18" s="578">
        <f t="shared" si="13"/>
        <v>5908942.5131199993</v>
      </c>
      <c r="J18" s="578">
        <f t="shared" si="13"/>
        <v>4936772.8452440007</v>
      </c>
      <c r="K18" s="578">
        <f t="shared" si="13"/>
        <v>5402809.3042348009</v>
      </c>
      <c r="L18" s="578">
        <f t="shared" si="13"/>
        <v>5276313.0045852</v>
      </c>
      <c r="M18" s="578">
        <f t="shared" si="13"/>
        <v>5081011.2022011997</v>
      </c>
      <c r="N18" s="578">
        <f t="shared" si="13"/>
        <v>4652173.9787710002</v>
      </c>
      <c r="O18" s="578">
        <f>IF(COUNT(C18:N18)=12,SUM(C18:N18),"n.d.")</f>
        <v>50930272.056490205</v>
      </c>
    </row>
    <row r="19" spans="1:15" ht="21.75" hidden="1" customHeight="1" x14ac:dyDescent="0.55000000000000004">
      <c r="A19" s="543" t="s">
        <v>432</v>
      </c>
      <c r="B19" s="543" t="s">
        <v>131</v>
      </c>
      <c r="C19" s="578">
        <f t="shared" ref="C19:N19" si="14">IF(COUNT(C110,C111,C112,C113,C115,C116,C117,C118,C119,C124,C125)=11,SUM(C110,C111,C112,C113,C115,C116,C117,C118,C119,C124,C125),"n.d.")</f>
        <v>3240000.4124182006</v>
      </c>
      <c r="D19" s="578">
        <f t="shared" si="14"/>
        <v>2540614.8009353997</v>
      </c>
      <c r="E19" s="578">
        <f t="shared" si="14"/>
        <v>3344383.1596830003</v>
      </c>
      <c r="F19" s="578">
        <f t="shared" si="14"/>
        <v>3593755.0471456004</v>
      </c>
      <c r="G19" s="578">
        <f t="shared" si="14"/>
        <v>4644510.0917600002</v>
      </c>
      <c r="H19" s="578">
        <f t="shared" si="14"/>
        <v>6128422.4993917989</v>
      </c>
      <c r="I19" s="578">
        <f t="shared" si="14"/>
        <v>6557881.3841200005</v>
      </c>
      <c r="J19" s="578">
        <f t="shared" si="14"/>
        <v>6116921.290244</v>
      </c>
      <c r="K19" s="578">
        <f t="shared" si="14"/>
        <v>6565316.8672348</v>
      </c>
      <c r="L19" s="578">
        <f t="shared" si="14"/>
        <v>5861188.3095852006</v>
      </c>
      <c r="M19" s="578">
        <f t="shared" si="14"/>
        <v>5614878.8092011996</v>
      </c>
      <c r="N19" s="578">
        <f t="shared" si="14"/>
        <v>4652173.9787710002</v>
      </c>
      <c r="O19" s="578">
        <f>IF(COUNT(C19:N19)=12,SUM(C19:N19),"n.d.")</f>
        <v>58860046.650490195</v>
      </c>
    </row>
    <row r="20" spans="1:15" ht="21.75" hidden="1" customHeight="1" x14ac:dyDescent="0.55000000000000004">
      <c r="A20" s="579" t="s">
        <v>433</v>
      </c>
      <c r="B20" s="579"/>
      <c r="C20" s="580"/>
      <c r="D20" s="580"/>
      <c r="E20" s="580"/>
      <c r="F20" s="580"/>
      <c r="G20" s="580"/>
      <c r="H20" s="580"/>
      <c r="I20" s="580"/>
      <c r="J20" s="580"/>
      <c r="K20" s="580"/>
      <c r="L20" s="580"/>
      <c r="M20" s="580"/>
      <c r="N20" s="580"/>
      <c r="O20" s="577"/>
    </row>
    <row r="21" spans="1:15" ht="37.5" hidden="1" customHeight="1" x14ac:dyDescent="0.55000000000000004">
      <c r="A21" s="573" t="s">
        <v>363</v>
      </c>
      <c r="B21" s="573" t="s">
        <v>364</v>
      </c>
      <c r="C21" s="573" t="s">
        <v>415</v>
      </c>
      <c r="D21" s="573" t="s">
        <v>416</v>
      </c>
      <c r="E21" s="573" t="s">
        <v>417</v>
      </c>
      <c r="F21" s="573" t="s">
        <v>418</v>
      </c>
      <c r="G21" s="573" t="s">
        <v>5</v>
      </c>
      <c r="H21" s="573" t="s">
        <v>419</v>
      </c>
      <c r="I21" s="573" t="s">
        <v>420</v>
      </c>
      <c r="J21" s="573" t="s">
        <v>421</v>
      </c>
      <c r="K21" s="573" t="s">
        <v>422</v>
      </c>
      <c r="L21" s="573" t="s">
        <v>423</v>
      </c>
      <c r="M21" s="573" t="s">
        <v>424</v>
      </c>
      <c r="N21" s="573" t="s">
        <v>425</v>
      </c>
      <c r="O21" s="573" t="s">
        <v>26</v>
      </c>
    </row>
    <row r="22" spans="1:15" ht="21.75" hidden="1" customHeight="1" x14ac:dyDescent="0.55000000000000004">
      <c r="A22" s="543" t="s">
        <v>17</v>
      </c>
      <c r="B22" s="543" t="s">
        <v>434</v>
      </c>
      <c r="C22" s="581">
        <f>IF(ISNUMBER('Mensual 2024'!C3),'Mensual 2024'!C3,"n.d.")</f>
        <v>59.845897743670058</v>
      </c>
      <c r="D22" s="581">
        <f>IF(ISNUMBER('Mensual 2024'!D3),'Mensual 2024'!D3,"n.d.")</f>
        <v>80.613093011720821</v>
      </c>
      <c r="E22" s="581">
        <f>IF(ISNUMBER('Mensual 2024'!E3),'Mensual 2024'!E3,"n.d.")</f>
        <v>72.854191268979918</v>
      </c>
      <c r="F22" s="581">
        <f>IF(ISNUMBER('Mensual 2024'!F3),'Mensual 2024'!F3,"n.d.")</f>
        <v>70.265983250101471</v>
      </c>
      <c r="G22" s="581">
        <f>IF(ISNUMBER('Mensual 2024'!G3),'Mensual 2024'!G3,"n.d.")</f>
        <v>143.109275475392</v>
      </c>
      <c r="H22" s="581">
        <f>IF(ISNUMBER('Mensual 2024'!H3),'Mensual 2024'!H3,"n.d.")</f>
        <v>152.85032765106794</v>
      </c>
      <c r="I22" s="581">
        <f>IF(ISNUMBER('Mensual 2024'!I3),'Mensual 2024'!I3,"n.d.")</f>
        <v>144.06454832328097</v>
      </c>
      <c r="J22" s="581">
        <f>IF(ISNUMBER('Mensual 2024'!J3),'Mensual 2024'!J3,"n.d.")</f>
        <v>112.56308255233219</v>
      </c>
      <c r="K22" s="581">
        <f>IF(ISNUMBER('Mensual 2024'!K3),'Mensual 2024'!K3,"n.d.")</f>
        <v>96.391332943459844</v>
      </c>
      <c r="L22" s="581">
        <f>IF(ISNUMBER('Mensual 2024'!L3),'Mensual 2024'!L3,"n.d.")</f>
        <v>85.65473692232915</v>
      </c>
      <c r="M22" s="581">
        <f>IF(ISNUMBER('Mensual 2024'!M3),'Mensual 2024'!M3,"n.d.")</f>
        <v>72.270870901237956</v>
      </c>
      <c r="N22" s="581">
        <f>IF(ISNUMBER('Mensual 2024'!N3),'Mensual 2024'!N3,"n.d.")</f>
        <v>35.291153551131103</v>
      </c>
      <c r="O22" s="581">
        <f t="shared" ref="O22:O31" si="15">IF(COUNT(C22:N22)=12,SUM(C22:N22),"n.d.")</f>
        <v>1125.7744935947035</v>
      </c>
    </row>
    <row r="23" spans="1:15" ht="21.75" hidden="1" customHeight="1" x14ac:dyDescent="0.55000000000000004">
      <c r="A23" s="543" t="s">
        <v>18</v>
      </c>
      <c r="B23" s="543" t="s">
        <v>434</v>
      </c>
      <c r="C23" s="581">
        <f>IF(ISNUMBER('Mensual 2024'!C4),'Mensual 2024'!C4,"n.d.")</f>
        <v>38.817771582630058</v>
      </c>
      <c r="D23" s="581">
        <f>IF(ISNUMBER('Mensual 2024'!D4),'Mensual 2024'!D4,"n.d.")</f>
        <v>31.28294432129082</v>
      </c>
      <c r="E23" s="581">
        <f>IF(ISNUMBER('Mensual 2024'!E4),'Mensual 2024'!E4,"n.d.")</f>
        <v>28.422891368187905</v>
      </c>
      <c r="F23" s="581">
        <f>IF(ISNUMBER('Mensual 2024'!F4),'Mensual 2024'!F4,"n.d.")</f>
        <v>44.003757386256481</v>
      </c>
      <c r="G23" s="581">
        <f>IF(ISNUMBER('Mensual 2024'!G4),'Mensual 2024'!G4,"n.d.")</f>
        <v>85.910592517067997</v>
      </c>
      <c r="H23" s="581">
        <f>IF(ISNUMBER('Mensual 2024'!H4),'Mensual 2024'!H4,"n.d.")</f>
        <v>83.613772712882962</v>
      </c>
      <c r="I23" s="581">
        <f>IF(ISNUMBER('Mensual 2024'!I4),'Mensual 2024'!I4,"n.d.")</f>
        <v>99.941889191196012</v>
      </c>
      <c r="J23" s="581">
        <f>IF(ISNUMBER('Mensual 2024'!J4),'Mensual 2024'!J4,"n.d.")</f>
        <v>119.2959477143232</v>
      </c>
      <c r="K23" s="581">
        <f>IF(ISNUMBER('Mensual 2024'!K4),'Mensual 2024'!K4,"n.d.")</f>
        <v>134.26401869387485</v>
      </c>
      <c r="L23" s="581">
        <f>IF(ISNUMBER('Mensual 2024'!L4),'Mensual 2024'!L4,"n.d.")</f>
        <v>107.76445327492115</v>
      </c>
      <c r="M23" s="581">
        <f>IF(ISNUMBER('Mensual 2024'!M4),'Mensual 2024'!M4,"n.d.")</f>
        <v>67.720578262701949</v>
      </c>
      <c r="N23" s="581">
        <f>IF(ISNUMBER('Mensual 2024'!N4),'Mensual 2024'!N4,"n.d.")</f>
        <v>76.543528610112304</v>
      </c>
      <c r="O23" s="581">
        <f t="shared" si="15"/>
        <v>917.58214563544561</v>
      </c>
    </row>
    <row r="24" spans="1:15" ht="21.75" hidden="1" customHeight="1" x14ac:dyDescent="0.55000000000000004">
      <c r="A24" s="543" t="s">
        <v>40</v>
      </c>
      <c r="B24" s="543" t="s">
        <v>434</v>
      </c>
      <c r="C24" s="581">
        <f>IF(ISNUMBER('Mensual 2024'!C5),'Mensual 2024'!C5,"n.d.")</f>
        <v>7.2456049082700611</v>
      </c>
      <c r="D24" s="581">
        <f>IF(ISNUMBER('Mensual 2024'!D5),'Mensual 2024'!D5,"n.d.")</f>
        <v>6.0499066641028207</v>
      </c>
      <c r="E24" s="581">
        <f>IF(ISNUMBER('Mensual 2024'!E5),'Mensual 2024'!E5,"n.d.")</f>
        <v>12.599314914771901</v>
      </c>
      <c r="F24" s="581">
        <f>IF(ISNUMBER('Mensual 2024'!F5),'Mensual 2024'!F5,"n.d.")</f>
        <v>12.794094357816482</v>
      </c>
      <c r="G24" s="581">
        <f>IF(ISNUMBER('Mensual 2024'!G5),'Mensual 2024'!G5,"n.d.")</f>
        <v>43.774045606308</v>
      </c>
      <c r="H24" s="581">
        <f>IF(ISNUMBER('Mensual 2024'!H5),'Mensual 2024'!H5,"n.d.")</f>
        <v>52.039690839242951</v>
      </c>
      <c r="I24" s="581">
        <f>IF(ISNUMBER('Mensual 2024'!I5),'Mensual 2024'!I5,"n.d.")</f>
        <v>63.268957365396012</v>
      </c>
      <c r="J24" s="581">
        <f>IF(ISNUMBER('Mensual 2024'!J5),'Mensual 2024'!J5,"n.d.")</f>
        <v>42.594098852323206</v>
      </c>
      <c r="K24" s="581">
        <f>IF(ISNUMBER('Mensual 2024'!K5),'Mensual 2024'!K5,"n.d.")</f>
        <v>52.124714125374837</v>
      </c>
      <c r="L24" s="581">
        <f>IF(ISNUMBER('Mensual 2024'!L5),'Mensual 2024'!L5,"n.d.")</f>
        <v>42.331049873165163</v>
      </c>
      <c r="M24" s="581">
        <f>IF(ISNUMBER('Mensual 2024'!M5),'Mensual 2024'!M5,"n.d.")</f>
        <v>26.380241646021958</v>
      </c>
      <c r="N24" s="581">
        <f>IF(ISNUMBER('Mensual 2024'!N5),'Mensual 2024'!N5,"n.d.")</f>
        <v>34.531925008145102</v>
      </c>
      <c r="O24" s="581">
        <f t="shared" si="15"/>
        <v>395.73364416093847</v>
      </c>
    </row>
    <row r="25" spans="1:15" ht="21.75" hidden="1" customHeight="1" x14ac:dyDescent="0.55000000000000004">
      <c r="A25" s="543" t="s">
        <v>365</v>
      </c>
      <c r="B25" s="543" t="s">
        <v>434</v>
      </c>
      <c r="C25" s="581">
        <f>IF(ISNUMBER('Mensual 2024'!C6),'Mensual 2024'!C6,"n.d.")</f>
        <v>605.09185324329769</v>
      </c>
      <c r="D25" s="581">
        <f>IF(ISNUMBER('Mensual 2024'!D6),'Mensual 2024'!D6,"n.d.")</f>
        <v>787.24160121295643</v>
      </c>
      <c r="E25" s="581">
        <f>IF(ISNUMBER('Mensual 2024'!E6),'Mensual 2024'!E6,"n.d.")</f>
        <v>627.19683459772648</v>
      </c>
      <c r="F25" s="581">
        <f>IF(ISNUMBER('Mensual 2024'!F6),'Mensual 2024'!F6,"n.d.")</f>
        <v>653.88942911329661</v>
      </c>
      <c r="G25" s="581">
        <f>IF(ISNUMBER('Mensual 2024'!G6),'Mensual 2024'!G6,"n.d.")</f>
        <v>1638.6415454272067</v>
      </c>
      <c r="H25" s="581">
        <f>IF(ISNUMBER('Mensual 2024'!H6),'Mensual 2024'!H6,"n.d.")</f>
        <v>1731.2313357030212</v>
      </c>
      <c r="I25" s="581">
        <f>IF(ISNUMBER('Mensual 2024'!I6),'Mensual 2024'!I6,"n.d.")</f>
        <v>1771.571049121912</v>
      </c>
      <c r="J25" s="581">
        <f>IF(ISNUMBER('Mensual 2024'!J6),'Mensual 2024'!J6,"n.d.")</f>
        <v>1554.3057586721463</v>
      </c>
      <c r="K25" s="581">
        <f>IF(ISNUMBER('Mensual 2024'!K6),'Mensual 2024'!K6,"n.d.")</f>
        <v>1557.7444675629677</v>
      </c>
      <c r="L25" s="581">
        <f>IF(ISNUMBER('Mensual 2024'!L6),'Mensual 2024'!L6,"n.d.")</f>
        <v>1172.8663542974016</v>
      </c>
      <c r="M25" s="581">
        <f>IF(ISNUMBER('Mensual 2024'!M6),'Mensual 2024'!M6,"n.d.")</f>
        <v>893.64358219691076</v>
      </c>
      <c r="N25" s="581">
        <f>IF(ISNUMBER('Mensual 2024'!N6),'Mensual 2024'!N6,"n.d.")</f>
        <v>589.34320043075297</v>
      </c>
      <c r="O25" s="581">
        <f t="shared" si="15"/>
        <v>13582.767011579597</v>
      </c>
    </row>
    <row r="26" spans="1:15" ht="21.75" hidden="1" customHeight="1" x14ac:dyDescent="0.55000000000000004">
      <c r="A26" s="543" t="s">
        <v>20</v>
      </c>
      <c r="B26" s="543" t="s">
        <v>434</v>
      </c>
      <c r="C26" s="581">
        <f>IF(ISNUMBER('Mensual 2024'!C7),'Mensual 2024'!C7,"n.d.")</f>
        <v>864.88628097383025</v>
      </c>
      <c r="D26" s="581">
        <f>IF(ISNUMBER('Mensual 2024'!D7),'Mensual 2024'!D7,"n.d.")</f>
        <v>943.15242943896669</v>
      </c>
      <c r="E26" s="581">
        <f>IF(ISNUMBER('Mensual 2024'!E7),'Mensual 2024'!E7,"n.d.")</f>
        <v>993.79176855176843</v>
      </c>
      <c r="F26" s="581">
        <f>IF(ISNUMBER('Mensual 2024'!F7),'Mensual 2024'!F7,"n.d.")</f>
        <v>1308.3313341793555</v>
      </c>
      <c r="G26" s="581">
        <f>IF(ISNUMBER('Mensual 2024'!G7),'Mensual 2024'!G7,"n.d.")</f>
        <v>1937.9315374219311</v>
      </c>
      <c r="H26" s="581">
        <f>IF(ISNUMBER('Mensual 2024'!H7),'Mensual 2024'!H7,"n.d.")</f>
        <v>1883.4584974625336</v>
      </c>
      <c r="I26" s="581">
        <f>IF(ISNUMBER('Mensual 2024'!I7),'Mensual 2024'!I7,"n.d.")</f>
        <v>1699.4166966376742</v>
      </c>
      <c r="J26" s="581">
        <f>IF(ISNUMBER('Mensual 2024'!J7),'Mensual 2024'!J7,"n.d.")</f>
        <v>2028.0258670346816</v>
      </c>
      <c r="K26" s="581">
        <f>IF(ISNUMBER('Mensual 2024'!K7),'Mensual 2024'!K7,"n.d.")</f>
        <v>2017.8148424035446</v>
      </c>
      <c r="L26" s="581">
        <f>IF(ISNUMBER('Mensual 2024'!L7),'Mensual 2024'!L7,"n.d.")</f>
        <v>2046.9822345977341</v>
      </c>
      <c r="M26" s="581">
        <f>IF(ISNUMBER('Mensual 2024'!M7),'Mensual 2024'!M7,"n.d.")</f>
        <v>1550.8605128005363</v>
      </c>
      <c r="N26" s="581">
        <f>IF(ISNUMBER('Mensual 2024'!N7),'Mensual 2024'!N7,"n.d.")</f>
        <v>1300.8815960726031</v>
      </c>
      <c r="O26" s="581">
        <f t="shared" si="15"/>
        <v>18575.533597575159</v>
      </c>
    </row>
    <row r="27" spans="1:15" ht="21.75" hidden="1" customHeight="1" x14ac:dyDescent="0.55000000000000004">
      <c r="A27" s="543" t="s">
        <v>22</v>
      </c>
      <c r="B27" s="543" t="s">
        <v>434</v>
      </c>
      <c r="C27" s="581">
        <f>IF(ISNUMBER('Mensual 2024'!C8),'Mensual 2024'!C8,"n.d.")</f>
        <v>10.16543214274731</v>
      </c>
      <c r="D27" s="581">
        <f>IF(ISNUMBER('Mensual 2024'!D8),'Mensual 2024'!D8,"n.d.")</f>
        <v>11.946799822684172</v>
      </c>
      <c r="E27" s="581">
        <f>IF(ISNUMBER('Mensual 2024'!E8),'Mensual 2024'!E8,"n.d.")</f>
        <v>10.835372715267329</v>
      </c>
      <c r="F27" s="581">
        <f>IF(ISNUMBER('Mensual 2024'!F8),'Mensual 2024'!F8,"n.d.")</f>
        <v>12.246591638113681</v>
      </c>
      <c r="G27" s="581">
        <f>IF(ISNUMBER('Mensual 2024'!G8),'Mensual 2024'!G8,"n.d.")</f>
        <v>18.821100763914</v>
      </c>
      <c r="H27" s="581">
        <f>IF(ISNUMBER('Mensual 2024'!H8),'Mensual 2024'!H8,"n.d.")</f>
        <v>17.923470712310991</v>
      </c>
      <c r="I27" s="581">
        <f>IF(ISNUMBER('Mensual 2024'!I8),'Mensual 2024'!I8,"n.d.")</f>
        <v>17.081790314207602</v>
      </c>
      <c r="J27" s="581">
        <f>IF(ISNUMBER('Mensual 2024'!J8),'Mensual 2024'!J8,"n.d.")</f>
        <v>20.055158961057401</v>
      </c>
      <c r="K27" s="581">
        <f>IF(ISNUMBER('Mensual 2024'!K8),'Mensual 2024'!K8,"n.d.")</f>
        <v>17.47508661514394</v>
      </c>
      <c r="L27" s="581">
        <f>IF(ISNUMBER('Mensual 2024'!L8),'Mensual 2024'!L8,"n.d.")</f>
        <v>16.806068100304859</v>
      </c>
      <c r="M27" s="581">
        <f>IF(ISNUMBER('Mensual 2024'!M8),'Mensual 2024'!M8,"n.d.")</f>
        <v>12.11231387053706</v>
      </c>
      <c r="N27" s="581">
        <f>IF(ISNUMBER('Mensual 2024'!N8),'Mensual 2024'!N8,"n.d.")</f>
        <v>8.7986631316875492</v>
      </c>
      <c r="O27" s="581">
        <f t="shared" si="15"/>
        <v>174.26784878797591</v>
      </c>
    </row>
    <row r="28" spans="1:15" ht="21.75" hidden="1" customHeight="1" x14ac:dyDescent="0.55000000000000004">
      <c r="A28" s="543" t="s">
        <v>21</v>
      </c>
      <c r="B28" s="543" t="s">
        <v>434</v>
      </c>
      <c r="C28" s="581">
        <f>IF(ISNUMBER('Mensual 2024'!C9),'Mensual 2024'!C9,"n.d.")</f>
        <v>67.586450170369005</v>
      </c>
      <c r="D28" s="581">
        <f>IF(ISNUMBER('Mensual 2024'!D9),'Mensual 2024'!D9,"n.d.")</f>
        <v>76.418096110411</v>
      </c>
      <c r="E28" s="581">
        <f>IF(ISNUMBER('Mensual 2024'!E9),'Mensual 2024'!E9,"n.d.")</f>
        <v>72.075614369104557</v>
      </c>
      <c r="F28" s="581">
        <f>IF(ISNUMBER('Mensual 2024'!F9),'Mensual 2024'!F9,"n.d.")</f>
        <v>65.296343125497899</v>
      </c>
      <c r="G28" s="581">
        <f>IF(ISNUMBER('Mensual 2024'!G9),'Mensual 2024'!G9,"n.d.")</f>
        <v>95.455824514134846</v>
      </c>
      <c r="H28" s="581">
        <f>IF(ISNUMBER('Mensual 2024'!H9),'Mensual 2024'!H9,"n.d.")</f>
        <v>107.42047952544199</v>
      </c>
      <c r="I28" s="581">
        <f>IF(ISNUMBER('Mensual 2024'!I9),'Mensual 2024'!I9,"n.d.")</f>
        <v>100.81235959356162</v>
      </c>
      <c r="J28" s="581">
        <f>IF(ISNUMBER('Mensual 2024'!J9),'Mensual 2024'!J9,"n.d.")</f>
        <v>103.81812676773316</v>
      </c>
      <c r="K28" s="581">
        <f>IF(ISNUMBER('Mensual 2024'!K9),'Mensual 2024'!K9,"n.d.")</f>
        <v>87.216229307436009</v>
      </c>
      <c r="L28" s="581">
        <f>IF(ISNUMBER('Mensual 2024'!L9),'Mensual 2024'!L9,"n.d.")</f>
        <v>80.731446069980009</v>
      </c>
      <c r="M28" s="581">
        <f>IF(ISNUMBER('Mensual 2024'!M9),'Mensual 2024'!M9,"n.d.")</f>
        <v>80.262797751127238</v>
      </c>
      <c r="N28" s="581">
        <f>IF(ISNUMBER('Mensual 2024'!N9),'Mensual 2024'!N9,"n.d.")</f>
        <v>44.40037429339224</v>
      </c>
      <c r="O28" s="581">
        <f t="shared" si="15"/>
        <v>981.49414159818957</v>
      </c>
    </row>
    <row r="29" spans="1:15" ht="21.75" hidden="1" customHeight="1" x14ac:dyDescent="0.55000000000000004">
      <c r="A29" s="543" t="s">
        <v>42</v>
      </c>
      <c r="B29" s="543" t="s">
        <v>434</v>
      </c>
      <c r="C29" s="581">
        <f>IF(ISNUMBER('Mensual 2024'!C10),'Mensual 2024'!C10,"n.d.")</f>
        <v>22.898739199410794</v>
      </c>
      <c r="D29" s="581">
        <f>IF(ISNUMBER('Mensual 2024'!D10),'Mensual 2024'!D10,"n.d.")</f>
        <v>14.961382338169912</v>
      </c>
      <c r="E29" s="581">
        <f>IF(ISNUMBER('Mensual 2024'!E10),'Mensual 2024'!E10,"n.d.")</f>
        <v>8.5451601970858206</v>
      </c>
      <c r="F29" s="581">
        <f>IF(ISNUMBER('Mensual 2024'!F10),'Mensual 2024'!F10,"n.d.")</f>
        <v>12.852669609386131</v>
      </c>
      <c r="G29" s="581">
        <f>IF(ISNUMBER('Mensual 2024'!G10),'Mensual 2024'!G10,"n.d.")</f>
        <v>36.43980220604309</v>
      </c>
      <c r="H29" s="581">
        <f>IF(ISNUMBER('Mensual 2024'!H10),'Mensual 2024'!H10,"n.d.")</f>
        <v>38.935319224494862</v>
      </c>
      <c r="I29" s="581">
        <f>IF(ISNUMBER('Mensual 2024'!I10),'Mensual 2024'!I10,"n.d.")</f>
        <v>48.040727811434856</v>
      </c>
      <c r="J29" s="581">
        <f>IF(ISNUMBER('Mensual 2024'!J10),'Mensual 2024'!J10,"n.d.")</f>
        <v>43.493337542192378</v>
      </c>
      <c r="K29" s="581">
        <f>IF(ISNUMBER('Mensual 2024'!K10),'Mensual 2024'!K10,"n.d.")</f>
        <v>52.217709362653608</v>
      </c>
      <c r="L29" s="581">
        <f>IF(ISNUMBER('Mensual 2024'!L10),'Mensual 2024'!L10,"n.d.")</f>
        <v>29.895847880162567</v>
      </c>
      <c r="M29" s="581">
        <f>IF(ISNUMBER('Mensual 2024'!M10),'Mensual 2024'!M10,"n.d.")</f>
        <v>17.079167597551734</v>
      </c>
      <c r="N29" s="581">
        <f>IF(ISNUMBER('Mensual 2024'!N10),'Mensual 2024'!N10,"n.d.")</f>
        <v>15.135822685800143</v>
      </c>
      <c r="O29" s="581">
        <f t="shared" si="15"/>
        <v>340.49568565438597</v>
      </c>
    </row>
    <row r="30" spans="1:15" ht="21.75" hidden="1" customHeight="1" x14ac:dyDescent="0.55000000000000004">
      <c r="A30" s="543" t="s">
        <v>23</v>
      </c>
      <c r="B30" s="543" t="s">
        <v>434</v>
      </c>
      <c r="C30" s="581">
        <f>IF(ISNUMBER('Mensual 2024'!C11),'Mensual 2024'!C11,"n.d.")</f>
        <v>2.3863894210480005E-2</v>
      </c>
      <c r="D30" s="581">
        <f>IF(ISNUMBER('Mensual 2024'!D11),'Mensual 2024'!D11,"n.d.")</f>
        <v>2.6869408374375004E-2</v>
      </c>
      <c r="E30" s="581">
        <f>IF(ISNUMBER('Mensual 2024'!E11),'Mensual 2024'!E11,"n.d.")</f>
        <v>2.2720708514892007E-2</v>
      </c>
      <c r="F30" s="581">
        <f>IF(ISNUMBER('Mensual 2024'!F11),'Mensual 2024'!F11,"n.d.")</f>
        <v>2.9617549165269999E-2</v>
      </c>
      <c r="G30" s="581">
        <f>IF(ISNUMBER('Mensual 2024'!G11),'Mensual 2024'!G11,"n.d.")</f>
        <v>4.8446987105329999E-2</v>
      </c>
      <c r="H30" s="581">
        <f>IF(ISNUMBER('Mensual 2024'!H11),'Mensual 2024'!H11,"n.d.")</f>
        <v>4.1060407160850007E-2</v>
      </c>
      <c r="I30" s="581">
        <f>IF(ISNUMBER('Mensual 2024'!I11),'Mensual 2024'!I11,"n.d.")</f>
        <v>3.6940288313210008E-2</v>
      </c>
      <c r="J30" s="581">
        <f>IF(ISNUMBER('Mensual 2024'!J11),'Mensual 2024'!J11,"n.d.")</f>
        <v>4.7334262085455006E-2</v>
      </c>
      <c r="K30" s="581">
        <f>IF(ISNUMBER('Mensual 2024'!K11),'Mensual 2024'!K11,"n.d.")</f>
        <v>4.4265040581274999E-2</v>
      </c>
      <c r="L30" s="581">
        <f>IF(ISNUMBER('Mensual 2024'!L11),'Mensual 2024'!L11,"n.d.")</f>
        <v>4.2399456515129996E-2</v>
      </c>
      <c r="M30" s="581">
        <f>IF(ISNUMBER('Mensual 2024'!M11),'Mensual 2024'!M11,"n.d.")</f>
        <v>2.5222607173039997E-2</v>
      </c>
      <c r="N30" s="581">
        <f>IF(ISNUMBER('Mensual 2024'!N11),'Mensual 2024'!N11,"n.d.")</f>
        <v>2.1782721501065E-2</v>
      </c>
      <c r="O30" s="581">
        <f t="shared" si="15"/>
        <v>0.41052333070037195</v>
      </c>
    </row>
    <row r="31" spans="1:15" ht="21.75" hidden="1" customHeight="1" x14ac:dyDescent="0.55000000000000004">
      <c r="A31" s="543" t="s">
        <v>426</v>
      </c>
      <c r="B31" s="543" t="s">
        <v>434</v>
      </c>
      <c r="C31" s="578">
        <f>IF(ISNUMBER('Mensual 2024'!C12),'Mensual 2024'!C12,"n.d.")</f>
        <v>444908.22477975138</v>
      </c>
      <c r="D31" s="578">
        <f>IF(ISNUMBER('Mensual 2024'!D12),'Mensual 2024'!D12,"n.d.")</f>
        <v>479252.00503369782</v>
      </c>
      <c r="E31" s="578">
        <f>IF(ISNUMBER('Mensual 2024'!E12),'Mensual 2024'!E12,"n.d.")</f>
        <v>486809.35056644544</v>
      </c>
      <c r="F31" s="578">
        <f>IF(ISNUMBER('Mensual 2024'!F12),'Mensual 2024'!F12,"n.d.")</f>
        <v>547154.62659349805</v>
      </c>
      <c r="G31" s="578">
        <f>IF(ISNUMBER('Mensual 2024'!G12),'Mensual 2024'!G12,"n.d.")</f>
        <v>860662.93445889407</v>
      </c>
      <c r="H31" s="578">
        <f>IF(ISNUMBER('Mensual 2024'!H12),'Mensual 2024'!H12,"n.d.")</f>
        <v>884961.82807933225</v>
      </c>
      <c r="I31" s="578">
        <f>IF(ISNUMBER('Mensual 2024'!I12),'Mensual 2024'!I12,"n.d.")</f>
        <v>849299.90605443949</v>
      </c>
      <c r="J31" s="578">
        <f>IF(ISNUMBER('Mensual 2024'!J12),'Mensual 2024'!J12,"n.d.")</f>
        <v>889219.35738685168</v>
      </c>
      <c r="K31" s="578">
        <f>IF(ISNUMBER('Mensual 2024'!K12),'Mensual 2024'!K12,"n.d.")</f>
        <v>863380.71325514559</v>
      </c>
      <c r="L31" s="578">
        <f>IF(ISNUMBER('Mensual 2024'!L12),'Mensual 2024'!L12,"n.d.")</f>
        <v>817581.28618226643</v>
      </c>
      <c r="M31" s="578">
        <f>IF(ISNUMBER('Mensual 2024'!M12),'Mensual 2024'!M12,"n.d.")</f>
        <v>645208.16802315332</v>
      </c>
      <c r="N31" s="578">
        <f>IF(ISNUMBER('Mensual 2024'!N12),'Mensual 2024'!N12,"n.d.")</f>
        <v>521603.59436829056</v>
      </c>
      <c r="O31" s="578">
        <f t="shared" si="15"/>
        <v>8290041.9947817652</v>
      </c>
    </row>
    <row r="32" spans="1:15" ht="31.5" hidden="1" customHeight="1" x14ac:dyDescent="0.55000000000000004">
      <c r="A32" s="626" t="s">
        <v>435</v>
      </c>
      <c r="B32" s="626"/>
      <c r="C32" s="576"/>
      <c r="D32" s="576"/>
      <c r="E32" s="576"/>
      <c r="F32" s="576"/>
      <c r="G32" s="576"/>
      <c r="H32" s="576"/>
      <c r="I32" s="576"/>
      <c r="J32" s="576"/>
      <c r="K32" s="576"/>
      <c r="L32" s="576"/>
      <c r="M32" s="576"/>
      <c r="N32" s="576"/>
      <c r="O32" s="577"/>
    </row>
    <row r="33" spans="1:15" ht="37.5" hidden="1" customHeight="1" x14ac:dyDescent="0.55000000000000004">
      <c r="A33" s="573" t="s">
        <v>363</v>
      </c>
      <c r="B33" s="573" t="s">
        <v>364</v>
      </c>
      <c r="C33" s="573" t="s">
        <v>415</v>
      </c>
      <c r="D33" s="573" t="s">
        <v>416</v>
      </c>
      <c r="E33" s="573" t="s">
        <v>417</v>
      </c>
      <c r="F33" s="573" t="s">
        <v>418</v>
      </c>
      <c r="G33" s="573" t="s">
        <v>5</v>
      </c>
      <c r="H33" s="573" t="s">
        <v>419</v>
      </c>
      <c r="I33" s="573" t="s">
        <v>420</v>
      </c>
      <c r="J33" s="573" t="s">
        <v>421</v>
      </c>
      <c r="K33" s="573" t="s">
        <v>422</v>
      </c>
      <c r="L33" s="573" t="s">
        <v>423</v>
      </c>
      <c r="M33" s="573" t="s">
        <v>424</v>
      </c>
      <c r="N33" s="573" t="s">
        <v>425</v>
      </c>
      <c r="O33" s="573" t="s">
        <v>26</v>
      </c>
    </row>
    <row r="34" spans="1:15" ht="21.75" hidden="1" customHeight="1" x14ac:dyDescent="0.55000000000000004">
      <c r="A34" s="543" t="s">
        <v>17</v>
      </c>
      <c r="B34" s="543" t="s">
        <v>434</v>
      </c>
      <c r="C34" s="581">
        <f t="shared" ref="C34:N34" si="16">IF(ISNUMBER(C22),C22,"n.d.")</f>
        <v>59.845897743670058</v>
      </c>
      <c r="D34" s="581">
        <f t="shared" si="16"/>
        <v>80.613093011720821</v>
      </c>
      <c r="E34" s="581">
        <f t="shared" si="16"/>
        <v>72.854191268979918</v>
      </c>
      <c r="F34" s="581">
        <f t="shared" si="16"/>
        <v>70.265983250101471</v>
      </c>
      <c r="G34" s="581">
        <f t="shared" si="16"/>
        <v>143.109275475392</v>
      </c>
      <c r="H34" s="581">
        <f t="shared" si="16"/>
        <v>152.85032765106794</v>
      </c>
      <c r="I34" s="581">
        <f t="shared" si="16"/>
        <v>144.06454832328097</v>
      </c>
      <c r="J34" s="581">
        <f t="shared" si="16"/>
        <v>112.56308255233219</v>
      </c>
      <c r="K34" s="581">
        <f t="shared" si="16"/>
        <v>96.391332943459844</v>
      </c>
      <c r="L34" s="581">
        <f t="shared" si="16"/>
        <v>85.65473692232915</v>
      </c>
      <c r="M34" s="581">
        <f t="shared" si="16"/>
        <v>72.270870901237956</v>
      </c>
      <c r="N34" s="581">
        <f t="shared" si="16"/>
        <v>35.291153551131103</v>
      </c>
      <c r="O34" s="581">
        <f t="shared" ref="O34:O43" si="17">IF(COUNT(C34:N34)=12,SUM(C34:N34),"n.d.")</f>
        <v>1125.7744935947035</v>
      </c>
    </row>
    <row r="35" spans="1:15" ht="21.75" hidden="1" customHeight="1" x14ac:dyDescent="0.55000000000000004">
      <c r="A35" s="543" t="s">
        <v>18</v>
      </c>
      <c r="B35" s="543" t="s">
        <v>434</v>
      </c>
      <c r="C35" s="581">
        <f t="shared" ref="C35:N35" si="18">IF(ISNUMBER(C23),C23,"n.d.")</f>
        <v>38.817771582630058</v>
      </c>
      <c r="D35" s="581">
        <f t="shared" si="18"/>
        <v>31.28294432129082</v>
      </c>
      <c r="E35" s="581">
        <f t="shared" si="18"/>
        <v>28.422891368187905</v>
      </c>
      <c r="F35" s="581">
        <f t="shared" si="18"/>
        <v>44.003757386256481</v>
      </c>
      <c r="G35" s="581">
        <f t="shared" si="18"/>
        <v>85.910592517067997</v>
      </c>
      <c r="H35" s="581">
        <f t="shared" si="18"/>
        <v>83.613772712882962</v>
      </c>
      <c r="I35" s="581">
        <f t="shared" si="18"/>
        <v>99.941889191196012</v>
      </c>
      <c r="J35" s="581">
        <f t="shared" si="18"/>
        <v>119.2959477143232</v>
      </c>
      <c r="K35" s="581">
        <f t="shared" si="18"/>
        <v>134.26401869387485</v>
      </c>
      <c r="L35" s="581">
        <f t="shared" si="18"/>
        <v>107.76445327492115</v>
      </c>
      <c r="M35" s="581">
        <f t="shared" si="18"/>
        <v>67.720578262701949</v>
      </c>
      <c r="N35" s="581">
        <f t="shared" si="18"/>
        <v>76.543528610112304</v>
      </c>
      <c r="O35" s="581">
        <f t="shared" si="17"/>
        <v>917.58214563544561</v>
      </c>
    </row>
    <row r="36" spans="1:15" ht="21.75" hidden="1" customHeight="1" x14ac:dyDescent="0.55000000000000004">
      <c r="A36" s="543" t="s">
        <v>40</v>
      </c>
      <c r="B36" s="543" t="s">
        <v>434</v>
      </c>
      <c r="C36" s="581">
        <f t="shared" ref="C36:N36" si="19">IF(ISNUMBER(C24),C24,"n.d.")</f>
        <v>7.2456049082700611</v>
      </c>
      <c r="D36" s="581">
        <f t="shared" si="19"/>
        <v>6.0499066641028207</v>
      </c>
      <c r="E36" s="581">
        <f t="shared" si="19"/>
        <v>12.599314914771901</v>
      </c>
      <c r="F36" s="581">
        <f t="shared" si="19"/>
        <v>12.794094357816482</v>
      </c>
      <c r="G36" s="581">
        <f t="shared" si="19"/>
        <v>43.774045606308</v>
      </c>
      <c r="H36" s="581">
        <f t="shared" si="19"/>
        <v>52.039690839242951</v>
      </c>
      <c r="I36" s="581">
        <f t="shared" si="19"/>
        <v>63.268957365396012</v>
      </c>
      <c r="J36" s="581">
        <f t="shared" si="19"/>
        <v>42.594098852323206</v>
      </c>
      <c r="K36" s="581">
        <f t="shared" si="19"/>
        <v>52.124714125374837</v>
      </c>
      <c r="L36" s="581">
        <f t="shared" si="19"/>
        <v>42.331049873165163</v>
      </c>
      <c r="M36" s="581">
        <f t="shared" si="19"/>
        <v>26.380241646021958</v>
      </c>
      <c r="N36" s="581">
        <f t="shared" si="19"/>
        <v>34.531925008145102</v>
      </c>
      <c r="O36" s="581">
        <f t="shared" si="17"/>
        <v>395.73364416093847</v>
      </c>
    </row>
    <row r="37" spans="1:15" ht="21.75" hidden="1" customHeight="1" x14ac:dyDescent="0.55000000000000004">
      <c r="A37" s="543" t="s">
        <v>365</v>
      </c>
      <c r="B37" s="543" t="s">
        <v>434</v>
      </c>
      <c r="C37" s="581">
        <f t="shared" ref="C37:N37" si="20">IF(ISNUMBER(C25),C25,"n.d.")</f>
        <v>605.09185324329769</v>
      </c>
      <c r="D37" s="581">
        <f t="shared" si="20"/>
        <v>787.24160121295643</v>
      </c>
      <c r="E37" s="581">
        <f t="shared" si="20"/>
        <v>627.19683459772648</v>
      </c>
      <c r="F37" s="581">
        <f t="shared" si="20"/>
        <v>653.88942911329661</v>
      </c>
      <c r="G37" s="581">
        <f t="shared" si="20"/>
        <v>1638.6415454272067</v>
      </c>
      <c r="H37" s="581">
        <f t="shared" si="20"/>
        <v>1731.2313357030212</v>
      </c>
      <c r="I37" s="581">
        <f t="shared" si="20"/>
        <v>1771.571049121912</v>
      </c>
      <c r="J37" s="581">
        <f t="shared" si="20"/>
        <v>1554.3057586721463</v>
      </c>
      <c r="K37" s="581">
        <f t="shared" si="20"/>
        <v>1557.7444675629677</v>
      </c>
      <c r="L37" s="581">
        <f t="shared" si="20"/>
        <v>1172.8663542974016</v>
      </c>
      <c r="M37" s="581">
        <f t="shared" si="20"/>
        <v>893.64358219691076</v>
      </c>
      <c r="N37" s="581">
        <f t="shared" si="20"/>
        <v>589.34320043075297</v>
      </c>
      <c r="O37" s="581">
        <f t="shared" si="17"/>
        <v>13582.767011579597</v>
      </c>
    </row>
    <row r="38" spans="1:15" ht="21.75" hidden="1" customHeight="1" x14ac:dyDescent="0.55000000000000004">
      <c r="A38" s="543" t="s">
        <v>20</v>
      </c>
      <c r="B38" s="543" t="s">
        <v>434</v>
      </c>
      <c r="C38" s="581">
        <f t="shared" ref="C38:N38" si="21">IF(ISNUMBER(C26),C26,"n.d.")</f>
        <v>864.88628097383025</v>
      </c>
      <c r="D38" s="581">
        <f t="shared" si="21"/>
        <v>943.15242943896669</v>
      </c>
      <c r="E38" s="581">
        <f t="shared" si="21"/>
        <v>993.79176855176843</v>
      </c>
      <c r="F38" s="581">
        <f t="shared" si="21"/>
        <v>1308.3313341793555</v>
      </c>
      <c r="G38" s="581">
        <f t="shared" si="21"/>
        <v>1937.9315374219311</v>
      </c>
      <c r="H38" s="581">
        <f t="shared" si="21"/>
        <v>1883.4584974625336</v>
      </c>
      <c r="I38" s="581">
        <f t="shared" si="21"/>
        <v>1699.4166966376742</v>
      </c>
      <c r="J38" s="581">
        <f t="shared" si="21"/>
        <v>2028.0258670346816</v>
      </c>
      <c r="K38" s="581">
        <f t="shared" si="21"/>
        <v>2017.8148424035446</v>
      </c>
      <c r="L38" s="581">
        <f t="shared" si="21"/>
        <v>2046.9822345977341</v>
      </c>
      <c r="M38" s="581">
        <f t="shared" si="21"/>
        <v>1550.8605128005363</v>
      </c>
      <c r="N38" s="581">
        <f t="shared" si="21"/>
        <v>1300.8815960726031</v>
      </c>
      <c r="O38" s="581">
        <f t="shared" si="17"/>
        <v>18575.533597575159</v>
      </c>
    </row>
    <row r="39" spans="1:15" ht="21.75" hidden="1" customHeight="1" x14ac:dyDescent="0.55000000000000004">
      <c r="A39" s="543" t="s">
        <v>22</v>
      </c>
      <c r="B39" s="543" t="s">
        <v>434</v>
      </c>
      <c r="C39" s="581">
        <f t="shared" ref="C39:N39" si="22">IF(ISNUMBER(C27),C27,"n.d.")</f>
        <v>10.16543214274731</v>
      </c>
      <c r="D39" s="581">
        <f t="shared" si="22"/>
        <v>11.946799822684172</v>
      </c>
      <c r="E39" s="581">
        <f t="shared" si="22"/>
        <v>10.835372715267329</v>
      </c>
      <c r="F39" s="581">
        <f t="shared" si="22"/>
        <v>12.246591638113681</v>
      </c>
      <c r="G39" s="581">
        <f t="shared" si="22"/>
        <v>18.821100763914</v>
      </c>
      <c r="H39" s="581">
        <f t="shared" si="22"/>
        <v>17.923470712310991</v>
      </c>
      <c r="I39" s="581">
        <f t="shared" si="22"/>
        <v>17.081790314207602</v>
      </c>
      <c r="J39" s="581">
        <f t="shared" si="22"/>
        <v>20.055158961057401</v>
      </c>
      <c r="K39" s="581">
        <f t="shared" si="22"/>
        <v>17.47508661514394</v>
      </c>
      <c r="L39" s="581">
        <f t="shared" si="22"/>
        <v>16.806068100304859</v>
      </c>
      <c r="M39" s="581">
        <f t="shared" si="22"/>
        <v>12.11231387053706</v>
      </c>
      <c r="N39" s="581">
        <f t="shared" si="22"/>
        <v>8.7986631316875492</v>
      </c>
      <c r="O39" s="581">
        <f t="shared" si="17"/>
        <v>174.26784878797591</v>
      </c>
    </row>
    <row r="40" spans="1:15" ht="21.75" hidden="1" customHeight="1" x14ac:dyDescent="0.55000000000000004">
      <c r="A40" s="543" t="s">
        <v>21</v>
      </c>
      <c r="B40" s="543" t="s">
        <v>434</v>
      </c>
      <c r="C40" s="581">
        <f t="shared" ref="C40:N40" si="23">IF(ISNUMBER(C28),C28,"n.d.")</f>
        <v>67.586450170369005</v>
      </c>
      <c r="D40" s="581">
        <f t="shared" si="23"/>
        <v>76.418096110411</v>
      </c>
      <c r="E40" s="581">
        <f t="shared" si="23"/>
        <v>72.075614369104557</v>
      </c>
      <c r="F40" s="581">
        <f t="shared" si="23"/>
        <v>65.296343125497899</v>
      </c>
      <c r="G40" s="581">
        <f t="shared" si="23"/>
        <v>95.455824514134846</v>
      </c>
      <c r="H40" s="581">
        <f t="shared" si="23"/>
        <v>107.42047952544199</v>
      </c>
      <c r="I40" s="581">
        <f t="shared" si="23"/>
        <v>100.81235959356162</v>
      </c>
      <c r="J40" s="581">
        <f t="shared" si="23"/>
        <v>103.81812676773316</v>
      </c>
      <c r="K40" s="581">
        <f t="shared" si="23"/>
        <v>87.216229307436009</v>
      </c>
      <c r="L40" s="581">
        <f t="shared" si="23"/>
        <v>80.731446069980009</v>
      </c>
      <c r="M40" s="581">
        <f t="shared" si="23"/>
        <v>80.262797751127238</v>
      </c>
      <c r="N40" s="581">
        <f t="shared" si="23"/>
        <v>44.40037429339224</v>
      </c>
      <c r="O40" s="581">
        <f t="shared" si="17"/>
        <v>981.49414159818957</v>
      </c>
    </row>
    <row r="41" spans="1:15" ht="21.75" hidden="1" customHeight="1" x14ac:dyDescent="0.55000000000000004">
      <c r="A41" s="543" t="s">
        <v>42</v>
      </c>
      <c r="B41" s="543" t="s">
        <v>434</v>
      </c>
      <c r="C41" s="581">
        <f t="shared" ref="C41:N41" si="24">IF(ISNUMBER(C29),C29,"n.d.")</f>
        <v>22.898739199410794</v>
      </c>
      <c r="D41" s="581">
        <f t="shared" si="24"/>
        <v>14.961382338169912</v>
      </c>
      <c r="E41" s="581">
        <f t="shared" si="24"/>
        <v>8.5451601970858206</v>
      </c>
      <c r="F41" s="581">
        <f t="shared" si="24"/>
        <v>12.852669609386131</v>
      </c>
      <c r="G41" s="581">
        <f t="shared" si="24"/>
        <v>36.43980220604309</v>
      </c>
      <c r="H41" s="581">
        <f t="shared" si="24"/>
        <v>38.935319224494862</v>
      </c>
      <c r="I41" s="581">
        <f t="shared" si="24"/>
        <v>48.040727811434856</v>
      </c>
      <c r="J41" s="581">
        <f t="shared" si="24"/>
        <v>43.493337542192378</v>
      </c>
      <c r="K41" s="581">
        <f t="shared" si="24"/>
        <v>52.217709362653608</v>
      </c>
      <c r="L41" s="581">
        <f t="shared" si="24"/>
        <v>29.895847880162567</v>
      </c>
      <c r="M41" s="581">
        <f t="shared" si="24"/>
        <v>17.079167597551734</v>
      </c>
      <c r="N41" s="581">
        <f t="shared" si="24"/>
        <v>15.135822685800143</v>
      </c>
      <c r="O41" s="581">
        <f t="shared" si="17"/>
        <v>340.49568565438597</v>
      </c>
    </row>
    <row r="42" spans="1:15" ht="21.75" hidden="1" customHeight="1" x14ac:dyDescent="0.55000000000000004">
      <c r="A42" s="543" t="s">
        <v>23</v>
      </c>
      <c r="B42" s="543" t="s">
        <v>434</v>
      </c>
      <c r="C42" s="581">
        <f t="shared" ref="C42:N42" si="25">IF(ISNUMBER(C30),C30,"n.d.")</f>
        <v>2.3863894210480005E-2</v>
      </c>
      <c r="D42" s="581">
        <f t="shared" si="25"/>
        <v>2.6869408374375004E-2</v>
      </c>
      <c r="E42" s="581">
        <f t="shared" si="25"/>
        <v>2.2720708514892007E-2</v>
      </c>
      <c r="F42" s="581">
        <f t="shared" si="25"/>
        <v>2.9617549165269999E-2</v>
      </c>
      <c r="G42" s="581">
        <f t="shared" si="25"/>
        <v>4.8446987105329999E-2</v>
      </c>
      <c r="H42" s="581">
        <f t="shared" si="25"/>
        <v>4.1060407160850007E-2</v>
      </c>
      <c r="I42" s="581">
        <f t="shared" si="25"/>
        <v>3.6940288313210008E-2</v>
      </c>
      <c r="J42" s="581">
        <f t="shared" si="25"/>
        <v>4.7334262085455006E-2</v>
      </c>
      <c r="K42" s="581">
        <f t="shared" si="25"/>
        <v>4.4265040581274999E-2</v>
      </c>
      <c r="L42" s="581">
        <f t="shared" si="25"/>
        <v>4.2399456515129996E-2</v>
      </c>
      <c r="M42" s="581">
        <f t="shared" si="25"/>
        <v>2.5222607173039997E-2</v>
      </c>
      <c r="N42" s="581">
        <f t="shared" si="25"/>
        <v>2.1782721501065E-2</v>
      </c>
      <c r="O42" s="581">
        <f t="shared" si="17"/>
        <v>0.41052333070037195</v>
      </c>
    </row>
    <row r="43" spans="1:15" ht="21.75" hidden="1" customHeight="1" x14ac:dyDescent="0.55000000000000004">
      <c r="A43" s="543" t="s">
        <v>426</v>
      </c>
      <c r="B43" s="543" t="s">
        <v>434</v>
      </c>
      <c r="C43" s="578">
        <f t="shared" ref="C43:N43" si="26">IF(ISNUMBER(C31),C31,"n.d.")</f>
        <v>444908.22477975138</v>
      </c>
      <c r="D43" s="578">
        <f t="shared" si="26"/>
        <v>479252.00503369782</v>
      </c>
      <c r="E43" s="578">
        <f t="shared" si="26"/>
        <v>486809.35056644544</v>
      </c>
      <c r="F43" s="578">
        <f t="shared" si="26"/>
        <v>547154.62659349805</v>
      </c>
      <c r="G43" s="578">
        <f t="shared" si="26"/>
        <v>860662.93445889407</v>
      </c>
      <c r="H43" s="578">
        <f t="shared" si="26"/>
        <v>884961.82807933225</v>
      </c>
      <c r="I43" s="578">
        <f t="shared" si="26"/>
        <v>849299.90605443949</v>
      </c>
      <c r="J43" s="578">
        <f t="shared" si="26"/>
        <v>889219.35738685168</v>
      </c>
      <c r="K43" s="578">
        <f t="shared" si="26"/>
        <v>863380.71325514559</v>
      </c>
      <c r="L43" s="578">
        <f t="shared" si="26"/>
        <v>817581.28618226643</v>
      </c>
      <c r="M43" s="578">
        <f t="shared" si="26"/>
        <v>645208.16802315332</v>
      </c>
      <c r="N43" s="578">
        <f t="shared" si="26"/>
        <v>521603.59436829056</v>
      </c>
      <c r="O43" s="578">
        <f t="shared" si="17"/>
        <v>8290041.9947817652</v>
      </c>
    </row>
    <row r="44" spans="1:15" ht="31.5" hidden="1" customHeight="1" x14ac:dyDescent="0.55000000000000004">
      <c r="A44" s="630" t="s">
        <v>436</v>
      </c>
      <c r="B44" s="630"/>
      <c r="C44" s="630"/>
      <c r="D44" s="630"/>
      <c r="E44" s="630"/>
      <c r="F44" s="630"/>
      <c r="G44" s="630"/>
      <c r="H44" s="630"/>
      <c r="I44" s="580"/>
      <c r="J44" s="580"/>
      <c r="K44" s="580"/>
      <c r="L44" s="580"/>
      <c r="M44" s="580"/>
      <c r="N44" s="580"/>
      <c r="O44" s="577"/>
    </row>
    <row r="45" spans="1:15" ht="37.5" hidden="1" customHeight="1" x14ac:dyDescent="0.55000000000000004">
      <c r="A45" s="573" t="s">
        <v>363</v>
      </c>
      <c r="B45" s="573" t="s">
        <v>364</v>
      </c>
      <c r="C45" s="573" t="s">
        <v>415</v>
      </c>
      <c r="D45" s="573" t="s">
        <v>416</v>
      </c>
      <c r="E45" s="573" t="s">
        <v>417</v>
      </c>
      <c r="F45" s="573" t="s">
        <v>418</v>
      </c>
      <c r="G45" s="573" t="s">
        <v>5</v>
      </c>
      <c r="H45" s="573" t="s">
        <v>419</v>
      </c>
      <c r="I45" s="573" t="s">
        <v>420</v>
      </c>
      <c r="J45" s="573" t="s">
        <v>421</v>
      </c>
      <c r="K45" s="573" t="s">
        <v>422</v>
      </c>
      <c r="L45" s="573" t="s">
        <v>423</v>
      </c>
      <c r="M45" s="573" t="s">
        <v>424</v>
      </c>
      <c r="N45" s="573" t="s">
        <v>425</v>
      </c>
      <c r="O45" s="573"/>
    </row>
    <row r="46" spans="1:15" ht="21.75" hidden="1" customHeight="1" x14ac:dyDescent="0.55000000000000004">
      <c r="A46" s="543" t="s">
        <v>17</v>
      </c>
      <c r="B46" s="543" t="s">
        <v>54</v>
      </c>
      <c r="C46" s="582">
        <v>0</v>
      </c>
      <c r="D46" s="582">
        <v>0</v>
      </c>
      <c r="E46" s="582">
        <v>0</v>
      </c>
      <c r="F46" s="582">
        <v>0</v>
      </c>
      <c r="G46" s="582">
        <v>0</v>
      </c>
      <c r="H46" s="582">
        <v>0</v>
      </c>
      <c r="I46" s="582">
        <v>0</v>
      </c>
      <c r="J46" s="582">
        <v>0</v>
      </c>
      <c r="K46" s="582">
        <v>0</v>
      </c>
      <c r="L46" s="582">
        <v>0</v>
      </c>
      <c r="M46" s="582">
        <v>0</v>
      </c>
      <c r="N46" s="582">
        <v>0</v>
      </c>
      <c r="O46" s="583"/>
    </row>
    <row r="47" spans="1:15" ht="21.75" hidden="1" customHeight="1" x14ac:dyDescent="0.55000000000000004">
      <c r="A47" s="543" t="s">
        <v>18</v>
      </c>
      <c r="B47" s="543" t="s">
        <v>54</v>
      </c>
      <c r="C47" s="582">
        <f>IF(ISNUMBER('MPs PS'!R44),'MPs PS'!R44,"n.d.")</f>
        <v>0.01</v>
      </c>
      <c r="D47" s="582">
        <f>IF(ISNUMBER('MPs PS'!R44),'MPs PS'!R44,"n.d.")</f>
        <v>0.01</v>
      </c>
      <c r="E47" s="582">
        <f>IF(ISNUMBER('MPs PS'!R44),'MPs PS'!R44,"n.d.")</f>
        <v>0.01</v>
      </c>
      <c r="F47" s="582">
        <f>IF(ISNUMBER('MPs PS'!R44),'MPs PS'!R44,"n.d.")</f>
        <v>0.01</v>
      </c>
      <c r="G47" s="582">
        <f>IF(ISNUMBER('MPs PS'!R44),'MPs PS'!R44,"n.d.")</f>
        <v>0.01</v>
      </c>
      <c r="H47" s="582">
        <f>IF(ISNUMBER('MPs PS'!R44),'MPs PS'!R44,"n.d.")</f>
        <v>0.01</v>
      </c>
      <c r="I47" s="582">
        <f>IF(ISNUMBER('MPs PS'!R44),'MPs PS'!R44,"n.d.")</f>
        <v>0.01</v>
      </c>
      <c r="J47" s="582">
        <f>IF(ISNUMBER('MPs PS'!R44),'MPs PS'!R44,"n.d.")</f>
        <v>0.01</v>
      </c>
      <c r="K47" s="582">
        <f>IF(ISNUMBER('MPs PS'!R44),'MPs PS'!R44,"n.d.")</f>
        <v>0.01</v>
      </c>
      <c r="L47" s="582">
        <f>IF(ISNUMBER('MPs PS'!R44),'MPs PS'!R44,"n.d.")</f>
        <v>0.01</v>
      </c>
      <c r="M47" s="582">
        <f>IF(ISNUMBER('MPs PS'!R44),'MPs PS'!R44,"n.d.")</f>
        <v>0.01</v>
      </c>
      <c r="N47" s="582">
        <f>IF(ISNUMBER('MPs PS'!R44),'MPs PS'!R44,"n.d.")</f>
        <v>0.01</v>
      </c>
      <c r="O47" s="583"/>
    </row>
    <row r="48" spans="1:15" ht="21.75" hidden="1" customHeight="1" x14ac:dyDescent="0.55000000000000004">
      <c r="A48" s="543" t="s">
        <v>40</v>
      </c>
      <c r="B48" s="543" t="s">
        <v>54</v>
      </c>
      <c r="C48" s="582">
        <f>IF(ISNUMBER('MPs PS'!R50),'MPs PS'!R50,"n.d.")</f>
        <v>0.01</v>
      </c>
      <c r="D48" s="582">
        <f>IF(ISNUMBER('MPs PS'!R50),'MPs PS'!R50,"n.d.")</f>
        <v>0.01</v>
      </c>
      <c r="E48" s="582">
        <f>IF(ISNUMBER('MPs PS'!R50),'MPs PS'!R50,"n.d.")</f>
        <v>0.01</v>
      </c>
      <c r="F48" s="582">
        <f>IF(ISNUMBER('MPs PS'!R50),'MPs PS'!R50,"n.d.")</f>
        <v>0.01</v>
      </c>
      <c r="G48" s="582">
        <f>IF(ISNUMBER('MPs PS'!R50),'MPs PS'!R50,"n.d.")</f>
        <v>0.01</v>
      </c>
      <c r="H48" s="582">
        <f>IF(ISNUMBER('MPs PS'!R50),'MPs PS'!R50,"n.d.")</f>
        <v>0.01</v>
      </c>
      <c r="I48" s="582">
        <f>IF(ISNUMBER('MPs PS'!R50),'MPs PS'!R50,"n.d.")</f>
        <v>0.01</v>
      </c>
      <c r="J48" s="582">
        <f>IF(ISNUMBER('MPs PS'!R50),'MPs PS'!R50,"n.d.")</f>
        <v>0.01</v>
      </c>
      <c r="K48" s="582">
        <f>IF(ISNUMBER('MPs PS'!R50),'MPs PS'!R50,"n.d.")</f>
        <v>0.01</v>
      </c>
      <c r="L48" s="582">
        <f>IF(ISNUMBER('MPs PS'!R50),'MPs PS'!R50,"n.d.")</f>
        <v>0.01</v>
      </c>
      <c r="M48" s="582">
        <f>IF(ISNUMBER('MPs PS'!R50),'MPs PS'!R50,"n.d.")</f>
        <v>0.01</v>
      </c>
      <c r="N48" s="582">
        <f>IF(ISNUMBER('MPs PS'!R50),'MPs PS'!R50,"n.d.")</f>
        <v>0.01</v>
      </c>
      <c r="O48" s="583"/>
    </row>
    <row r="49" spans="1:15" ht="21.75" hidden="1" customHeight="1" x14ac:dyDescent="0.55000000000000004">
      <c r="A49" s="543" t="s">
        <v>365</v>
      </c>
      <c r="B49" s="543" t="s">
        <v>54</v>
      </c>
      <c r="C49" s="582">
        <f>IF(ISNUMBER('MPs PS'!R56),'MPs PS'!R56,"n.d.")</f>
        <v>2.7847396268448903E-3</v>
      </c>
      <c r="D49" s="582">
        <f>IF(ISNUMBER('MPs PS'!R56),'MPs PS'!R56,"n.d.")</f>
        <v>2.7847396268448903E-3</v>
      </c>
      <c r="E49" s="582">
        <f>IF(ISNUMBER('MPs PS'!R56),'MPs PS'!R56,"n.d.")</f>
        <v>2.7847396268448903E-3</v>
      </c>
      <c r="F49" s="582">
        <f>IF(ISNUMBER('MPs PS'!R56),'MPs PS'!R56,"n.d.")</f>
        <v>2.7847396268448903E-3</v>
      </c>
      <c r="G49" s="582">
        <f>IF(ISNUMBER('MPs PS'!R56),'MPs PS'!R56,"n.d.")</f>
        <v>2.7847396268448903E-3</v>
      </c>
      <c r="H49" s="582">
        <f>IF(ISNUMBER('MPs PS'!R56),'MPs PS'!R56,"n.d.")</f>
        <v>2.7847396268448903E-3</v>
      </c>
      <c r="I49" s="582">
        <f>IF(ISNUMBER('MPs PS'!R56),'MPs PS'!R56,"n.d.")</f>
        <v>2.7847396268448903E-3</v>
      </c>
      <c r="J49" s="582">
        <f>IF(ISNUMBER('MPs PS'!R56),'MPs PS'!R56,"n.d.")</f>
        <v>2.7847396268448903E-3</v>
      </c>
      <c r="K49" s="582">
        <f>IF(ISNUMBER('MPs PS'!R56),'MPs PS'!R56,"n.d.")</f>
        <v>2.7847396268448903E-3</v>
      </c>
      <c r="L49" s="582">
        <f>IF(ISNUMBER('MPs PS'!R56),'MPs PS'!R56,"n.d.")</f>
        <v>2.7847396268448903E-3</v>
      </c>
      <c r="M49" s="582">
        <f>IF(ISNUMBER('MPs PS'!R56),'MPs PS'!R56,"n.d.")</f>
        <v>2.7847396268448903E-3</v>
      </c>
      <c r="N49" s="582">
        <f>IF(ISNUMBER('MPs PS'!R56),'MPs PS'!R56,"n.d.")</f>
        <v>2.7847396268448903E-3</v>
      </c>
      <c r="O49" s="583"/>
    </row>
    <row r="50" spans="1:15" ht="21.75" hidden="1" customHeight="1" x14ac:dyDescent="0.55000000000000004">
      <c r="A50" s="543" t="s">
        <v>20</v>
      </c>
      <c r="B50" s="543" t="s">
        <v>54</v>
      </c>
      <c r="C50" s="582">
        <f>IF(ISNUMBER('MPs PS'!R20),'MPs PS'!R20,"n.d.")</f>
        <v>0.11</v>
      </c>
      <c r="D50" s="582">
        <f>IF(ISNUMBER('MPs PS'!R20),'MPs PS'!R20,"n.d.")</f>
        <v>0.11</v>
      </c>
      <c r="E50" s="582">
        <f>IF(ISNUMBER('MPs PS'!R20),'MPs PS'!R20,"n.d.")</f>
        <v>0.11</v>
      </c>
      <c r="F50" s="582">
        <f>IF(ISNUMBER('MPs PS'!R20),'MPs PS'!R20,"n.d.")</f>
        <v>0.11</v>
      </c>
      <c r="G50" s="582">
        <f>IF(ISNUMBER('MPs PS'!R20),'MPs PS'!R20,"n.d.")</f>
        <v>0.11</v>
      </c>
      <c r="H50" s="582">
        <f>IF(ISNUMBER('MPs PS'!R20),'MPs PS'!R20,"n.d.")</f>
        <v>0.11</v>
      </c>
      <c r="I50" s="582">
        <f>IF(ISNUMBER('MPs PS'!R20),'MPs PS'!R20,"n.d.")</f>
        <v>0.11</v>
      </c>
      <c r="J50" s="582">
        <f>IF(ISNUMBER('MPs PS'!R20),'MPs PS'!R20,"n.d.")</f>
        <v>0.11</v>
      </c>
      <c r="K50" s="582">
        <f>IF(ISNUMBER('MPs PS'!R20),'MPs PS'!R20,"n.d.")</f>
        <v>0.11</v>
      </c>
      <c r="L50" s="582">
        <f>IF(ISNUMBER('MPs PS'!R20),'MPs PS'!R20,"n.d.")</f>
        <v>0.11</v>
      </c>
      <c r="M50" s="582">
        <f>IF(ISNUMBER('MPs PS'!R20),'MPs PS'!R20,"n.d.")</f>
        <v>0.11</v>
      </c>
      <c r="N50" s="582">
        <f>IF(ISNUMBER('MPs PS'!R20),'MPs PS'!R20,"n.d.")</f>
        <v>0.11</v>
      </c>
      <c r="O50" s="583"/>
    </row>
    <row r="51" spans="1:15" ht="21.75" hidden="1" customHeight="1" x14ac:dyDescent="0.55000000000000004">
      <c r="A51" s="543" t="s">
        <v>22</v>
      </c>
      <c r="B51" s="543" t="s">
        <v>54</v>
      </c>
      <c r="C51" s="582">
        <f>IF(ISNUMBER('MPs PS'!R32),'MPs PS'!R32,"n.d.")</f>
        <v>8.0999999999999996E-3</v>
      </c>
      <c r="D51" s="582">
        <f>IF(ISNUMBER('MPs PS'!R32),'MPs PS'!R32,"n.d.")</f>
        <v>8.0999999999999996E-3</v>
      </c>
      <c r="E51" s="582">
        <f>IF(ISNUMBER('MPs PS'!R32),'MPs PS'!R32,"n.d.")</f>
        <v>8.0999999999999996E-3</v>
      </c>
      <c r="F51" s="582">
        <f>IF(ISNUMBER('MPs PS'!R32),'MPs PS'!R32,"n.d.")</f>
        <v>8.0999999999999996E-3</v>
      </c>
      <c r="G51" s="582">
        <f>IF(ISNUMBER('MPs PS'!R32),'MPs PS'!R32,"n.d.")</f>
        <v>8.0999999999999996E-3</v>
      </c>
      <c r="H51" s="582">
        <f>IF(ISNUMBER('MPs PS'!R32),'MPs PS'!R32,"n.d.")</f>
        <v>8.0999999999999996E-3</v>
      </c>
      <c r="I51" s="582">
        <f>IF(ISNUMBER('MPs PS'!R32),'MPs PS'!R32,"n.d.")</f>
        <v>8.0999999999999996E-3</v>
      </c>
      <c r="J51" s="582">
        <f>IF(ISNUMBER('MPs PS'!R32),'MPs PS'!R32,"n.d.")</f>
        <v>8.0999999999999996E-3</v>
      </c>
      <c r="K51" s="582">
        <f>IF(ISNUMBER('MPs PS'!R32),'MPs PS'!R32,"n.d.")</f>
        <v>8.0999999999999996E-3</v>
      </c>
      <c r="L51" s="582">
        <f>IF(ISNUMBER('MPs PS'!R32),'MPs PS'!R32,"n.d.")</f>
        <v>8.0999999999999996E-3</v>
      </c>
      <c r="M51" s="582">
        <f>IF(ISNUMBER('MPs PS'!R32),'MPs PS'!R32,"n.d.")</f>
        <v>8.0999999999999996E-3</v>
      </c>
      <c r="N51" s="582">
        <f>IF(ISNUMBER('MPs PS'!R32),'MPs PS'!R32,"n.d.")</f>
        <v>8.0999999999999996E-3</v>
      </c>
      <c r="O51" s="583"/>
    </row>
    <row r="52" spans="1:15" ht="21.75" hidden="1" customHeight="1" x14ac:dyDescent="0.55000000000000004">
      <c r="A52" s="543" t="s">
        <v>21</v>
      </c>
      <c r="B52" s="543" t="s">
        <v>54</v>
      </c>
      <c r="C52" s="582">
        <f>IF(ISNUMBER('MPs PS'!R26),'MPs PS'!R26,"n.d.")</f>
        <v>7.6999999999999999E-2</v>
      </c>
      <c r="D52" s="582">
        <f>IF(ISNUMBER('MPs PS'!R26),'MPs PS'!R26,"n.d.")</f>
        <v>7.6999999999999999E-2</v>
      </c>
      <c r="E52" s="582">
        <f>IF(ISNUMBER('MPs PS'!R26),'MPs PS'!R26,"n.d.")</f>
        <v>7.6999999999999999E-2</v>
      </c>
      <c r="F52" s="582">
        <f>IF(ISNUMBER('MPs PS'!R26),'MPs PS'!R26,"n.d.")</f>
        <v>7.6999999999999999E-2</v>
      </c>
      <c r="G52" s="582">
        <f>IF(ISNUMBER('MPs PS'!R26),'MPs PS'!R26,"n.d.")</f>
        <v>7.6999999999999999E-2</v>
      </c>
      <c r="H52" s="582">
        <f>IF(ISNUMBER('MPs PS'!R26),'MPs PS'!R26,"n.d.")</f>
        <v>7.6999999999999999E-2</v>
      </c>
      <c r="I52" s="582">
        <f>IF(ISNUMBER('MPs PS'!R26),'MPs PS'!R26,"n.d.")</f>
        <v>7.6999999999999999E-2</v>
      </c>
      <c r="J52" s="582">
        <f>IF(ISNUMBER('MPs PS'!R26),'MPs PS'!R26,"n.d.")</f>
        <v>7.6999999999999999E-2</v>
      </c>
      <c r="K52" s="582">
        <f>IF(ISNUMBER('MPs PS'!R26),'MPs PS'!R26,"n.d.")</f>
        <v>7.6999999999999999E-2</v>
      </c>
      <c r="L52" s="582">
        <f>IF(ISNUMBER('MPs PS'!R26),'MPs PS'!R26,"n.d.")</f>
        <v>7.6999999999999999E-2</v>
      </c>
      <c r="M52" s="582">
        <f>IF(ISNUMBER('MPs PS'!R26),'MPs PS'!R26,"n.d.")</f>
        <v>7.6999999999999999E-2</v>
      </c>
      <c r="N52" s="582">
        <f>IF(ISNUMBER('MPs PS'!R26),'MPs PS'!R26,"n.d.")</f>
        <v>7.6999999999999999E-2</v>
      </c>
      <c r="O52" s="583"/>
    </row>
    <row r="53" spans="1:15" ht="21.75" hidden="1" customHeight="1" x14ac:dyDescent="0.55000000000000004">
      <c r="A53" s="543" t="s">
        <v>42</v>
      </c>
      <c r="B53" s="543" t="s">
        <v>54</v>
      </c>
      <c r="C53" s="582">
        <f>IF(ISNUMBER('MPs PS'!R62),'MPs PS'!R62,"n.d.")</f>
        <v>4.2641325536062387E-4</v>
      </c>
      <c r="D53" s="582">
        <f>IF(ISNUMBER('MPs PS'!R62),'MPs PS'!R62,"n.d.")</f>
        <v>4.2641325536062387E-4</v>
      </c>
      <c r="E53" s="582">
        <f>IF(ISNUMBER('MPs PS'!R62),'MPs PS'!R62,"n.d.")</f>
        <v>4.2641325536062387E-4</v>
      </c>
      <c r="F53" s="582">
        <f>IF(ISNUMBER('MPs PS'!R62),'MPs PS'!R62,"n.d.")</f>
        <v>4.2641325536062387E-4</v>
      </c>
      <c r="G53" s="582">
        <f>IF(ISNUMBER('MPs PS'!R62),'MPs PS'!R62,"n.d.")</f>
        <v>4.2641325536062387E-4</v>
      </c>
      <c r="H53" s="582">
        <f>IF(ISNUMBER('MPs PS'!R62),'MPs PS'!R62,"n.d.")</f>
        <v>4.2641325536062387E-4</v>
      </c>
      <c r="I53" s="582">
        <f>IF(ISNUMBER('MPs PS'!R62),'MPs PS'!R62,"n.d.")</f>
        <v>4.2641325536062387E-4</v>
      </c>
      <c r="J53" s="582">
        <f>IF(ISNUMBER('MPs PS'!R62),'MPs PS'!R62,"n.d.")</f>
        <v>4.2641325536062387E-4</v>
      </c>
      <c r="K53" s="582">
        <f>IF(ISNUMBER('MPs PS'!R62),'MPs PS'!R62,"n.d.")</f>
        <v>4.2641325536062387E-4</v>
      </c>
      <c r="L53" s="582">
        <f>IF(ISNUMBER('MPs PS'!R62),'MPs PS'!R62,"n.d.")</f>
        <v>4.2641325536062387E-4</v>
      </c>
      <c r="M53" s="582">
        <f>IF(ISNUMBER('MPs PS'!R62),'MPs PS'!R62,"n.d.")</f>
        <v>4.2641325536062387E-4</v>
      </c>
      <c r="N53" s="582">
        <f>IF(ISNUMBER('MPs PS'!R62),'MPs PS'!R62,"n.d.")</f>
        <v>4.2641325536062387E-4</v>
      </c>
      <c r="O53" s="583"/>
    </row>
    <row r="54" spans="1:15" ht="21.75" hidden="1" customHeight="1" x14ac:dyDescent="0.55000000000000004">
      <c r="A54" s="543" t="s">
        <v>23</v>
      </c>
      <c r="B54" s="543" t="s">
        <v>54</v>
      </c>
      <c r="C54" s="582">
        <f>IF(ISNUMBER('MPs PS'!R68),'MPs PS'!R68,"n.d.")</f>
        <v>0</v>
      </c>
      <c r="D54" s="582">
        <f>IF(ISNUMBER('MPs PS'!R68),'MPs PS'!R68,"n.d.")</f>
        <v>0</v>
      </c>
      <c r="E54" s="582">
        <f>IF(ISNUMBER('MPs PS'!R68),'MPs PS'!R68,"n.d.")</f>
        <v>0</v>
      </c>
      <c r="F54" s="582">
        <f>IF(ISNUMBER('MPs PS'!R68),'MPs PS'!R68,"n.d.")</f>
        <v>0</v>
      </c>
      <c r="G54" s="582">
        <f>IF(ISNUMBER('MPs PS'!R68),'MPs PS'!R68,"n.d.")</f>
        <v>0</v>
      </c>
      <c r="H54" s="582">
        <f>IF(ISNUMBER('MPs PS'!R68),'MPs PS'!R68,"n.d.")</f>
        <v>0</v>
      </c>
      <c r="I54" s="582">
        <f>IF(ISNUMBER('MPs PS'!R68),'MPs PS'!R68,"n.d.")</f>
        <v>0</v>
      </c>
      <c r="J54" s="582">
        <f>IF(ISNUMBER('MPs PS'!R68),'MPs PS'!R68,"n.d.")</f>
        <v>0</v>
      </c>
      <c r="K54" s="582">
        <f>IF(ISNUMBER('MPs PS'!R68),'MPs PS'!R68,"n.d.")</f>
        <v>0</v>
      </c>
      <c r="L54" s="582">
        <f>IF(ISNUMBER('MPs PS'!R68),'MPs PS'!R68,"n.d.")</f>
        <v>0</v>
      </c>
      <c r="M54" s="582">
        <f>IF(ISNUMBER('MPs PS'!R68),'MPs PS'!R68,"n.d.")</f>
        <v>0</v>
      </c>
      <c r="N54" s="582">
        <f>IF(ISNUMBER('MPs PS'!R68),'MPs PS'!R68,"n.d.")</f>
        <v>0</v>
      </c>
      <c r="O54" s="583"/>
    </row>
    <row r="55" spans="1:15" ht="21.75" hidden="1" customHeight="1" x14ac:dyDescent="0.55000000000000004">
      <c r="A55" s="543" t="s">
        <v>426</v>
      </c>
      <c r="B55" s="543" t="s">
        <v>54</v>
      </c>
      <c r="C55" s="582">
        <f>IF(ISNUMBER('MPs PS'!R74),'MPs PS'!R74,"n.d.")</f>
        <v>117.09688808000001</v>
      </c>
      <c r="D55" s="582">
        <f>IF(ISNUMBER('MPs PS'!R74),'MPs PS'!R74,"n.d.")</f>
        <v>117.09688808000001</v>
      </c>
      <c r="E55" s="582">
        <f>IF(ISNUMBER('MPs PS'!R74),'MPs PS'!R74,"n.d.")</f>
        <v>117.09688808000001</v>
      </c>
      <c r="F55" s="582">
        <f>IF(ISNUMBER('MPs PS'!R74),'MPs PS'!R74,"n.d.")</f>
        <v>117.09688808000001</v>
      </c>
      <c r="G55" s="582">
        <f>IF(ISNUMBER('MPs PS'!R74),'MPs PS'!R74,"n.d.")</f>
        <v>117.09688808000001</v>
      </c>
      <c r="H55" s="582">
        <f>IF(ISNUMBER('MPs PS'!R74),'MPs PS'!R74,"n.d.")</f>
        <v>117.09688808000001</v>
      </c>
      <c r="I55" s="582">
        <f>IF(ISNUMBER('MPs PS'!R74),'MPs PS'!R74,"n.d.")</f>
        <v>117.09688808000001</v>
      </c>
      <c r="J55" s="582">
        <f>IF(ISNUMBER('MPs PS'!R74),'MPs PS'!R74,"n.d.")</f>
        <v>117.09688808000001</v>
      </c>
      <c r="K55" s="582">
        <f>IF(ISNUMBER('MPs PS'!R74),'MPs PS'!R74,"n.d.")</f>
        <v>117.09688808000001</v>
      </c>
      <c r="L55" s="582">
        <f>IF(ISNUMBER('MPs PS'!R74),'MPs PS'!R74,"n.d.")</f>
        <v>117.09688808000001</v>
      </c>
      <c r="M55" s="582">
        <f>IF(ISNUMBER('MPs PS'!R74),'MPs PS'!R74,"n.d.")</f>
        <v>117.09688808000001</v>
      </c>
      <c r="N55" s="582">
        <f>IF(ISNUMBER('MPs PS'!R74),'MPs PS'!R74,"n.d.")</f>
        <v>117.09688808000001</v>
      </c>
      <c r="O55" s="583"/>
    </row>
    <row r="56" spans="1:15" ht="21.75" hidden="1" customHeight="1" x14ac:dyDescent="0.55000000000000004">
      <c r="A56" s="543"/>
      <c r="B56" s="543"/>
      <c r="C56" s="583"/>
      <c r="D56" s="583"/>
      <c r="E56" s="583"/>
      <c r="F56" s="583"/>
      <c r="G56" s="583"/>
      <c r="H56" s="583"/>
      <c r="I56" s="583"/>
      <c r="J56" s="583"/>
      <c r="K56" s="583"/>
      <c r="L56" s="583"/>
      <c r="M56" s="583"/>
      <c r="N56" s="583"/>
      <c r="O56" s="583"/>
    </row>
    <row r="57" spans="1:15" ht="21.75" hidden="1" customHeight="1" x14ac:dyDescent="0.55000000000000004">
      <c r="A57" s="543" t="s">
        <v>437</v>
      </c>
      <c r="B57" s="543" t="s">
        <v>438</v>
      </c>
      <c r="C57" s="583">
        <v>2000</v>
      </c>
      <c r="D57" s="583"/>
      <c r="E57" s="583"/>
      <c r="F57" s="583"/>
      <c r="G57" s="583"/>
      <c r="H57" s="583"/>
      <c r="I57" s="583"/>
      <c r="J57" s="583"/>
      <c r="K57" s="583"/>
      <c r="L57" s="583"/>
      <c r="M57" s="583"/>
      <c r="N57" s="583"/>
      <c r="O57" s="583"/>
    </row>
    <row r="58" spans="1:15" ht="21.75" hidden="1" customHeight="1" x14ac:dyDescent="0.55000000000000004">
      <c r="A58" s="543" t="s">
        <v>439</v>
      </c>
      <c r="B58" s="543" t="s">
        <v>440</v>
      </c>
      <c r="C58" s="583">
        <v>1000000</v>
      </c>
      <c r="D58" s="583"/>
      <c r="E58" s="583"/>
      <c r="F58" s="583"/>
      <c r="G58" s="583"/>
      <c r="H58" s="583"/>
      <c r="I58" s="583"/>
      <c r="J58" s="583"/>
      <c r="K58" s="583"/>
      <c r="L58" s="583"/>
      <c r="M58" s="583"/>
      <c r="N58" s="583"/>
      <c r="O58" s="583"/>
    </row>
    <row r="59" spans="1:15" ht="21.75" hidden="1" customHeight="1" x14ac:dyDescent="0.55000000000000004">
      <c r="A59" s="543" t="s">
        <v>441</v>
      </c>
      <c r="B59" s="543" t="s">
        <v>442</v>
      </c>
      <c r="C59" s="583">
        <v>42</v>
      </c>
      <c r="D59" s="583"/>
      <c r="E59" s="583"/>
      <c r="F59" s="583"/>
      <c r="G59" s="583"/>
      <c r="H59" s="583"/>
      <c r="I59" s="583"/>
      <c r="J59" s="583"/>
      <c r="K59" s="583"/>
      <c r="L59" s="583"/>
      <c r="M59" s="583"/>
      <c r="N59" s="583"/>
      <c r="O59" s="583"/>
    </row>
    <row r="60" spans="1:15" ht="31.5" hidden="1" customHeight="1" x14ac:dyDescent="0.55000000000000004">
      <c r="A60" s="626" t="s">
        <v>443</v>
      </c>
      <c r="B60" s="626"/>
      <c r="C60" s="576"/>
      <c r="D60" s="576"/>
      <c r="E60" s="576"/>
      <c r="F60" s="576"/>
      <c r="G60" s="576"/>
      <c r="H60" s="576"/>
      <c r="I60" s="576"/>
      <c r="J60" s="576"/>
      <c r="K60" s="576"/>
      <c r="L60" s="576"/>
      <c r="M60" s="576"/>
      <c r="N60" s="576"/>
      <c r="O60" s="577"/>
    </row>
    <row r="61" spans="1:15" ht="37.5" hidden="1" customHeight="1" x14ac:dyDescent="0.55000000000000004">
      <c r="A61" s="573" t="s">
        <v>363</v>
      </c>
      <c r="B61" s="573" t="s">
        <v>364</v>
      </c>
      <c r="C61" s="573" t="s">
        <v>415</v>
      </c>
      <c r="D61" s="573" t="s">
        <v>416</v>
      </c>
      <c r="E61" s="573" t="s">
        <v>417</v>
      </c>
      <c r="F61" s="573" t="s">
        <v>418</v>
      </c>
      <c r="G61" s="573" t="s">
        <v>5</v>
      </c>
      <c r="H61" s="573" t="s">
        <v>419</v>
      </c>
      <c r="I61" s="573" t="s">
        <v>420</v>
      </c>
      <c r="J61" s="573" t="s">
        <v>421</v>
      </c>
      <c r="K61" s="573" t="s">
        <v>422</v>
      </c>
      <c r="L61" s="573" t="s">
        <v>423</v>
      </c>
      <c r="M61" s="573" t="s">
        <v>424</v>
      </c>
      <c r="N61" s="573" t="s">
        <v>425</v>
      </c>
      <c r="O61" s="573"/>
    </row>
    <row r="62" spans="1:15" ht="21.75" hidden="1" customHeight="1" x14ac:dyDescent="0.55000000000000004">
      <c r="A62" s="543" t="s">
        <v>444</v>
      </c>
      <c r="B62" s="543" t="s">
        <v>92</v>
      </c>
      <c r="C62" s="578">
        <f>IF(ISNUMBER('Mensual 2024'!C15),'Mensual 2024'!C15,"n.d.")</f>
        <v>0</v>
      </c>
      <c r="D62" s="578">
        <f>IF(ISNUMBER('Mensual 2024'!D15),'Mensual 2024'!D15,"n.d.")</f>
        <v>1867.74</v>
      </c>
      <c r="E62" s="578">
        <f>IF(ISNUMBER('Mensual 2024'!E15),'Mensual 2024'!E15,"n.d.")</f>
        <v>0</v>
      </c>
      <c r="F62" s="578">
        <f>IF(ISNUMBER('Mensual 2024'!F15),'Mensual 2024'!F15,"n.d.")</f>
        <v>789179.16</v>
      </c>
      <c r="G62" s="578">
        <f>IF(ISNUMBER('Mensual 2024'!G15),'Mensual 2024'!G15,"n.d.")</f>
        <v>10722631.5</v>
      </c>
      <c r="H62" s="578">
        <f>IF(ISNUMBER('Mensual 2024'!H15),'Mensual 2024'!H15,"n.d.")</f>
        <v>4873351.1399999997</v>
      </c>
      <c r="I62" s="578">
        <f>IF(ISNUMBER('Mensual 2024'!I15),'Mensual 2024'!I15,"n.d.")</f>
        <v>5422408.3200000003</v>
      </c>
      <c r="J62" s="578">
        <f>IF(ISNUMBER('Mensual 2024'!J15),'Mensual 2024'!J15,"n.d.")</f>
        <v>6083690.3399999999</v>
      </c>
      <c r="K62" s="578">
        <f>IF(ISNUMBER('Mensual 2024'!K15),'Mensual 2024'!K15,"n.d.")</f>
        <v>6636131.46</v>
      </c>
      <c r="L62" s="578">
        <f>IF(ISNUMBER('Mensual 2024'!L15),'Mensual 2024'!L15,"n.d.")</f>
        <v>2387110.3199999998</v>
      </c>
      <c r="M62" s="578">
        <f>IF(ISNUMBER('Mensual 2024'!M15),'Mensual 2024'!M15,"n.d.")</f>
        <v>310128</v>
      </c>
      <c r="N62" s="578">
        <f>IF(ISNUMBER('Mensual 2024'!N15),'Mensual 2024'!N15,"n.d.")</f>
        <v>567774.9</v>
      </c>
      <c r="O62" s="583"/>
    </row>
    <row r="63" spans="1:15" ht="21.75" hidden="1" customHeight="1" x14ac:dyDescent="0.55000000000000004">
      <c r="A63" s="543" t="s">
        <v>445</v>
      </c>
      <c r="B63" s="543" t="s">
        <v>73</v>
      </c>
      <c r="C63" s="556">
        <f>IF(ISNUMBER('Mensual 2024'!C16),'Mensual 2024'!C16,"n.d.")</f>
        <v>0</v>
      </c>
      <c r="D63" s="556">
        <f>IF(ISNUMBER('Mensual 2024'!D16),'Mensual 2024'!D16,"n.d.")</f>
        <v>71709</v>
      </c>
      <c r="E63" s="556">
        <f>IF(ISNUMBER('Mensual 2024'!E16),'Mensual 2024'!E16,"n.d.")</f>
        <v>853651500</v>
      </c>
      <c r="F63" s="556">
        <f>IF(ISNUMBER('Mensual 2024'!F16),'Mensual 2024'!F16,"n.d.")</f>
        <v>1876856600</v>
      </c>
      <c r="G63" s="556">
        <f>IF(ISNUMBER('Mensual 2024'!G16),'Mensual 2024'!G16,"n.d.")</f>
        <v>265688800</v>
      </c>
      <c r="H63" s="556">
        <f>IF(ISNUMBER('Mensual 2024'!H16),'Mensual 2024'!H16,"n.d.")</f>
        <v>785814100</v>
      </c>
      <c r="I63" s="556">
        <f>IF(ISNUMBER('Mensual 2024'!I16),'Mensual 2024'!I16,"n.d.")</f>
        <v>732909900</v>
      </c>
      <c r="J63" s="556">
        <f>IF(ISNUMBER('Mensual 2024'!J16),'Mensual 2024'!J16,"n.d.")</f>
        <v>903647500</v>
      </c>
      <c r="K63" s="556">
        <f>IF(ISNUMBER('Mensual 2024'!K16),'Mensual 2024'!K16,"n.d.")</f>
        <v>1024263900</v>
      </c>
      <c r="L63" s="556">
        <f>IF(ISNUMBER('Mensual 2024'!L16),'Mensual 2024'!L16,"n.d.")</f>
        <v>1398501544</v>
      </c>
      <c r="M63" s="556">
        <f>IF(ISNUMBER('Mensual 2024'!M16),'Mensual 2024'!M16,"n.d.")</f>
        <v>1888307912.5</v>
      </c>
      <c r="N63" s="556">
        <f>IF(ISNUMBER('Mensual 2024'!N16),'Mensual 2024'!N16,"n.d.")</f>
        <v>1398534054.4000001</v>
      </c>
      <c r="O63" s="583"/>
    </row>
    <row r="64" spans="1:15" ht="21.75" hidden="1" customHeight="1" x14ac:dyDescent="0.55000000000000004">
      <c r="A64" s="543" t="s">
        <v>446</v>
      </c>
      <c r="B64" s="543" t="s">
        <v>92</v>
      </c>
      <c r="C64" s="578">
        <f>IF(ISNUMBER('Mensual 2024'!C18),'Mensual 2024'!C18,"n.d.")</f>
        <v>0</v>
      </c>
      <c r="D64" s="578">
        <f>IF(ISNUMBER('Mensual 2024'!D18),'Mensual 2024'!D18,"n.d.")</f>
        <v>0</v>
      </c>
      <c r="E64" s="578">
        <f>IF(ISNUMBER('Mensual 2024'!E18),'Mensual 2024'!E18,"n.d.")</f>
        <v>0</v>
      </c>
      <c r="F64" s="578">
        <f>IF(ISNUMBER('Mensual 2024'!F18),'Mensual 2024'!F18,"n.d.")</f>
        <v>0</v>
      </c>
      <c r="G64" s="578">
        <f>IF(ISNUMBER('Mensual 2024'!G18),'Mensual 2024'!G18,"n.d.")</f>
        <v>3992586.78</v>
      </c>
      <c r="H64" s="578">
        <f>IF(ISNUMBER('Mensual 2024'!H18),'Mensual 2024'!H18,"n.d.")</f>
        <v>10911365.220000001</v>
      </c>
      <c r="I64" s="578">
        <f>IF(ISNUMBER('Mensual 2024'!I18),'Mensual 2024'!I18,"n.d.")</f>
        <v>14119245</v>
      </c>
      <c r="J64" s="578">
        <f>IF(ISNUMBER('Mensual 2024'!J18),'Mensual 2024'!J18,"n.d.")</f>
        <v>4551498.84</v>
      </c>
      <c r="K64" s="578">
        <f>IF(ISNUMBER('Mensual 2024'!K18),'Mensual 2024'!K18,"n.d.")</f>
        <v>9927512.2799999993</v>
      </c>
      <c r="L64" s="578">
        <f>IF(ISNUMBER('Mensual 2024'!L18),'Mensual 2024'!L18,"n.d.")</f>
        <v>7214789.4000000004</v>
      </c>
      <c r="M64" s="578">
        <f>IF(ISNUMBER('Mensual 2024'!M18),'Mensual 2024'!M18,"n.d.")</f>
        <v>2486694</v>
      </c>
      <c r="N64" s="578">
        <f>IF(ISNUMBER('Mensual 2024'!N18),'Mensual 2024'!N18,"n.d.")</f>
        <v>7663387.2000000002</v>
      </c>
      <c r="O64" s="583"/>
    </row>
    <row r="65" spans="1:15" ht="21.75" hidden="1" customHeight="1" x14ac:dyDescent="0.55000000000000004">
      <c r="A65" s="543" t="s">
        <v>447</v>
      </c>
      <c r="B65" s="543" t="s">
        <v>73</v>
      </c>
      <c r="C65" s="556">
        <f>IF(ISNUMBER('Mensual 2024'!C19),'Mensual 2024'!C19,"n.d.")</f>
        <v>274565</v>
      </c>
      <c r="D65" s="556">
        <f>IF(ISNUMBER('Mensual 2024'!D19),'Mensual 2024'!D19,"n.d.")</f>
        <v>0</v>
      </c>
      <c r="E65" s="556">
        <f>IF(ISNUMBER('Mensual 2024'!E19),'Mensual 2024'!E19,"n.d.")</f>
        <v>0</v>
      </c>
      <c r="F65" s="556">
        <f>IF(ISNUMBER('Mensual 2024'!F19),'Mensual 2024'!F19,"n.d.")</f>
        <v>0</v>
      </c>
      <c r="G65" s="556">
        <f>IF(ISNUMBER('Mensual 2024'!G19),'Mensual 2024'!G19,"n.d.")</f>
        <v>369161400</v>
      </c>
      <c r="H65" s="556">
        <f>IF(ISNUMBER('Mensual 2024'!H19),'Mensual 2024'!H19,"n.d.")</f>
        <v>554304900</v>
      </c>
      <c r="I65" s="556">
        <f>IF(ISNUMBER('Mensual 2024'!I19),'Mensual 2024'!I19,"n.d.")</f>
        <v>63152000</v>
      </c>
      <c r="J65" s="556">
        <f>IF(ISNUMBER('Mensual 2024'!J19),'Mensual 2024'!J19,"n.d.")</f>
        <v>892527600</v>
      </c>
      <c r="K65" s="556">
        <f>IF(ISNUMBER('Mensual 2024'!K19),'Mensual 2024'!K19,"n.d.")</f>
        <v>587255900</v>
      </c>
      <c r="L65" s="556">
        <f>IF(ISNUMBER('Mensual 2024'!L19),'Mensual 2024'!L19,"n.d.")</f>
        <v>1190046839</v>
      </c>
      <c r="M65" s="556">
        <f>IF(ISNUMBER('Mensual 2024'!M19),'Mensual 2024'!M19,"n.d.")</f>
        <v>1656996722.5</v>
      </c>
      <c r="N65" s="556">
        <f>IF(ISNUMBER('Mensual 2024'!N19),'Mensual 2024'!N19,"n.d.")</f>
        <v>840587756.20000005</v>
      </c>
      <c r="O65" s="583"/>
    </row>
    <row r="66" spans="1:15" ht="21.75" hidden="1" customHeight="1" x14ac:dyDescent="0.55000000000000004">
      <c r="A66" s="543" t="s">
        <v>448</v>
      </c>
      <c r="B66" s="543" t="s">
        <v>92</v>
      </c>
      <c r="C66" s="578">
        <f>IF(ISNUMBER('Mensual 2024'!C32),'Mensual 2024'!C32,"n.d.")</f>
        <v>0</v>
      </c>
      <c r="D66" s="578">
        <f>IF(ISNUMBER('Mensual 2024'!D32),'Mensual 2024'!D32,"n.d.")</f>
        <v>0</v>
      </c>
      <c r="E66" s="578">
        <f>IF(ISNUMBER('Mensual 2024'!E32),'Mensual 2024'!E32,"n.d.")</f>
        <v>0</v>
      </c>
      <c r="F66" s="578">
        <f>IF(ISNUMBER('Mensual 2024'!F32),'Mensual 2024'!F32,"n.d.")</f>
        <v>0</v>
      </c>
      <c r="G66" s="578">
        <f>IF(ISNUMBER('Mensual 2024'!G32),'Mensual 2024'!G32,"n.d.")</f>
        <v>0</v>
      </c>
      <c r="H66" s="578">
        <f>IF(ISNUMBER('Mensual 2024'!H32),'Mensual 2024'!H32,"n.d.")</f>
        <v>0</v>
      </c>
      <c r="I66" s="578">
        <f>IF(ISNUMBER('Mensual 2024'!I32),'Mensual 2024'!I32,"n.d.")</f>
        <v>4650</v>
      </c>
      <c r="J66" s="578">
        <f>IF(ISNUMBER('Mensual 2024'!J32),'Mensual 2024'!J32,"n.d.")</f>
        <v>4931</v>
      </c>
      <c r="K66" s="578">
        <f>IF(ISNUMBER('Mensual 2024'!K32),'Mensual 2024'!K32,"n.d.")</f>
        <v>21642</v>
      </c>
      <c r="L66" s="578">
        <f>IF(ISNUMBER('Mensual 2024'!L32),'Mensual 2024'!L32,"n.d.")</f>
        <v>85390</v>
      </c>
      <c r="M66" s="578">
        <f>IF(ISNUMBER('Mensual 2024'!M32),'Mensual 2024'!M32,"n.d.")</f>
        <v>13630</v>
      </c>
      <c r="N66" s="578">
        <f>IF(ISNUMBER('Mensual 2024'!N32),'Mensual 2024'!N32,"n.d.")</f>
        <v>0</v>
      </c>
      <c r="O66" s="583"/>
    </row>
    <row r="67" spans="1:15" ht="21.75" hidden="1" customHeight="1" x14ac:dyDescent="0.55000000000000004">
      <c r="A67" s="543" t="s">
        <v>449</v>
      </c>
      <c r="B67" s="543" t="s">
        <v>92</v>
      </c>
      <c r="C67" s="578">
        <f>IF(COUNT('Mensual 2024'!C42,'Mensual 2024'!C43)=2,SUM('Mensual 2024'!C42,'Mensual 2024'!C43),"n.d.")</f>
        <v>7372897.5600000005</v>
      </c>
      <c r="D67" s="578">
        <f>IF(COUNT('Mensual 2024'!D42,'Mensual 2024'!D43)=2,SUM('Mensual 2024'!D42,'Mensual 2024'!D43),"n.d.")</f>
        <v>4792750.2</v>
      </c>
      <c r="E67" s="578">
        <f>IF(COUNT('Mensual 2024'!E42,'Mensual 2024'!E43)=2,SUM('Mensual 2024'!E42,'Mensual 2024'!E43),"n.d.")</f>
        <v>2411774.8200000003</v>
      </c>
      <c r="F67" s="578">
        <f>IF(COUNT('Mensual 2024'!F42,'Mensual 2024'!F43)=2,SUM('Mensual 2024'!F42,'Mensual 2024'!F43),"n.d.")</f>
        <v>3577315.14</v>
      </c>
      <c r="G67" s="578">
        <f>IF(COUNT('Mensual 2024'!G42,'Mensual 2024'!G43)=2,SUM('Mensual 2024'!G42,'Mensual 2024'!G43),"n.d.")</f>
        <v>3632107.5</v>
      </c>
      <c r="H67" s="578">
        <f>IF(COUNT('Mensual 2024'!H42,'Mensual 2024'!H43)=2,SUM('Mensual 2024'!H42,'Mensual 2024'!H43),"n.d.")</f>
        <v>3676066.8</v>
      </c>
      <c r="I67" s="578">
        <f>IF(COUNT('Mensual 2024'!I42,'Mensual 2024'!I43)=2,SUM('Mensual 2024'!I42,'Mensual 2024'!I43),"n.d.")</f>
        <v>4326259.1400000006</v>
      </c>
      <c r="J67" s="578">
        <f>IF(COUNT('Mensual 2024'!J42,'Mensual 2024'!J43)=2,SUM('Mensual 2024'!J42,'Mensual 2024'!J43),"n.d.")</f>
        <v>7867656.3000000007</v>
      </c>
      <c r="K67" s="578">
        <f>IF(COUNT('Mensual 2024'!K42,'Mensual 2024'!K43)=2,SUM('Mensual 2024'!K42,'Mensual 2024'!K43),"n.d.")</f>
        <v>7750050.4199999999</v>
      </c>
      <c r="L67" s="578">
        <f>IF(COUNT('Mensual 2024'!L42,'Mensual 2024'!L43)=2,SUM('Mensual 2024'!L42,'Mensual 2024'!L43),"n.d.")</f>
        <v>3899168.6999999997</v>
      </c>
      <c r="M67" s="578">
        <f>IF(COUNT('Mensual 2024'!M42,'Mensual 2024'!M43)=2,SUM('Mensual 2024'!M42,'Mensual 2024'!M43),"n.d.")</f>
        <v>3559117.38</v>
      </c>
      <c r="N67" s="578">
        <f>IF(COUNT('Mensual 2024'!N42,'Mensual 2024'!N43)=2,SUM('Mensual 2024'!N42,'Mensual 2024'!N43),"n.d.")</f>
        <v>0</v>
      </c>
      <c r="O67" s="583"/>
    </row>
    <row r="68" spans="1:15" ht="21.75" hidden="1" customHeight="1" x14ac:dyDescent="0.55000000000000004">
      <c r="A68" s="543" t="s">
        <v>450</v>
      </c>
      <c r="B68" s="543" t="s">
        <v>92</v>
      </c>
      <c r="C68" s="578">
        <f>IF(ISNUMBER('Mensual 2024'!C45),'Mensual 2024'!C45,"n.d.")</f>
        <v>0</v>
      </c>
      <c r="D68" s="578">
        <f>IF(ISNUMBER('Mensual 2024'!D45),'Mensual 2024'!D45,"n.d.")</f>
        <v>0</v>
      </c>
      <c r="E68" s="578">
        <f>IF(ISNUMBER('Mensual 2024'!E45),'Mensual 2024'!E45,"n.d.")</f>
        <v>164657.22</v>
      </c>
      <c r="F68" s="578">
        <f>IF(ISNUMBER('Mensual 2024'!F45),'Mensual 2024'!F45,"n.d.")</f>
        <v>41727.839999999997</v>
      </c>
      <c r="G68" s="578">
        <f>IF(ISNUMBER('Mensual 2024'!G45),'Mensual 2024'!G45,"n.d.")</f>
        <v>155799</v>
      </c>
      <c r="H68" s="578">
        <f>IF(ISNUMBER('Mensual 2024'!H45),'Mensual 2024'!H45,"n.d.")</f>
        <v>314725.32</v>
      </c>
      <c r="I68" s="578">
        <f>IF(ISNUMBER('Mensual 2024'!I45),'Mensual 2024'!I45,"n.d.")</f>
        <v>2297904</v>
      </c>
      <c r="J68" s="578">
        <f>IF(ISNUMBER('Mensual 2024'!J45),'Mensual 2024'!J45,"n.d.")</f>
        <v>1709106</v>
      </c>
      <c r="K68" s="578">
        <f>IF(ISNUMBER('Mensual 2024'!K45),'Mensual 2024'!K45,"n.d.")</f>
        <v>0</v>
      </c>
      <c r="L68" s="578">
        <f>IF(ISNUMBER('Mensual 2024'!L45),'Mensual 2024'!L45,"n.d.")</f>
        <v>1941200.1</v>
      </c>
      <c r="M68" s="578">
        <f>IF(ISNUMBER('Mensual 2024'!M45),'Mensual 2024'!M45,"n.d.")</f>
        <v>1061999.82</v>
      </c>
      <c r="N68" s="578">
        <f>IF(ISNUMBER('Mensual 2024'!N45),'Mensual 2024'!N45,"n.d.")</f>
        <v>908244.96000000008</v>
      </c>
      <c r="O68" s="583"/>
    </row>
    <row r="69" spans="1:15" ht="21.75" hidden="1" customHeight="1" x14ac:dyDescent="0.55000000000000004">
      <c r="A69" s="543" t="s">
        <v>451</v>
      </c>
      <c r="B69" s="543" t="s">
        <v>73</v>
      </c>
      <c r="C69" s="556">
        <f>IF(ISNUMBER('Mensual 2024'!C46),'Mensual 2024'!C46,"n.d.")</f>
        <v>1004167539.2</v>
      </c>
      <c r="D69" s="556">
        <f>IF(ISNUMBER('Mensual 2024'!D46),'Mensual 2024'!D46,"n.d.")</f>
        <v>971563130.87</v>
      </c>
      <c r="E69" s="556">
        <f>IF(ISNUMBER('Mensual 2024'!E46),'Mensual 2024'!E46,"n.d.")</f>
        <v>1039795015.27</v>
      </c>
      <c r="F69" s="556">
        <f>IF(ISNUMBER('Mensual 2024'!F46),'Mensual 2024'!F46,"n.d.")</f>
        <v>929926447.27999997</v>
      </c>
      <c r="G69" s="556">
        <f>IF(ISNUMBER('Mensual 2024'!G46),'Mensual 2024'!G46,"n.d.")</f>
        <v>1098783938</v>
      </c>
      <c r="H69" s="556">
        <f>IF(ISNUMBER('Mensual 2024'!H46),'Mensual 2024'!H46,"n.d.")</f>
        <v>967300262.52999997</v>
      </c>
      <c r="I69" s="556">
        <f>IF(ISNUMBER('Mensual 2024'!I46),'Mensual 2024'!I46,"n.d.")</f>
        <v>729409265.10000002</v>
      </c>
      <c r="J69" s="556">
        <f>IF(ISNUMBER('Mensual 2024'!J46),'Mensual 2024'!J46,"n.d.")</f>
        <v>814666364.41999996</v>
      </c>
      <c r="K69" s="556">
        <f>IF(ISNUMBER('Mensual 2024'!K46),'Mensual 2024'!K46,"n.d.")</f>
        <v>1086279524.74</v>
      </c>
      <c r="L69" s="556">
        <f>IF(ISNUMBER('Mensual 2024'!L46),'Mensual 2024'!L46,"n.d.")</f>
        <v>717860810.25999999</v>
      </c>
      <c r="M69" s="556">
        <f>IF(ISNUMBER('Mensual 2024'!M46),'Mensual 2024'!M46,"n.d.")</f>
        <v>761485379.05999994</v>
      </c>
      <c r="N69" s="556">
        <f>IF(ISNUMBER('Mensual 2024'!N46),'Mensual 2024'!N46,"n.d.")</f>
        <v>942732974.85000002</v>
      </c>
      <c r="O69" s="583"/>
    </row>
    <row r="70" spans="1:15" ht="21.75" hidden="1" customHeight="1" x14ac:dyDescent="0.55000000000000004">
      <c r="A70" s="543" t="s">
        <v>452</v>
      </c>
      <c r="B70" s="543" t="s">
        <v>92</v>
      </c>
      <c r="C70" s="578">
        <f>IF(ISNUMBER('Mensual 2024'!C48),'Mensual 2024'!C48,"n.d.")</f>
        <v>89991.3</v>
      </c>
      <c r="D70" s="578">
        <f>IF(ISNUMBER('Mensual 2024'!D48),'Mensual 2024'!D48,"n.d.")</f>
        <v>17210.759999999998</v>
      </c>
      <c r="E70" s="578">
        <f>IF(ISNUMBER('Mensual 2024'!E48),'Mensual 2024'!E48,"n.d.")</f>
        <v>989293.2</v>
      </c>
      <c r="F70" s="578">
        <f>IF(ISNUMBER('Mensual 2024'!F48),'Mensual 2024'!F48,"n.d.")</f>
        <v>0</v>
      </c>
      <c r="G70" s="578">
        <f>IF(ISNUMBER('Mensual 2024'!G48),'Mensual 2024'!G48,"n.d.")</f>
        <v>0</v>
      </c>
      <c r="H70" s="578">
        <f>IF(ISNUMBER('Mensual 2024'!H48),'Mensual 2024'!H48,"n.d.")</f>
        <v>368856.18000000005</v>
      </c>
      <c r="I70" s="578">
        <f>IF(ISNUMBER('Mensual 2024'!I48),'Mensual 2024'!I48,"n.d.")</f>
        <v>0</v>
      </c>
      <c r="J70" s="578">
        <f>IF(ISNUMBER('Mensual 2024'!J48),'Mensual 2024'!J48,"n.d.")</f>
        <v>34314.42</v>
      </c>
      <c r="K70" s="578">
        <f>IF(ISNUMBER('Mensual 2024'!K48),'Mensual 2024'!K48,"n.d.")</f>
        <v>0</v>
      </c>
      <c r="L70" s="578">
        <f>IF(ISNUMBER('Mensual 2024'!L48),'Mensual 2024'!L48,"n.d.")</f>
        <v>0</v>
      </c>
      <c r="M70" s="578">
        <f>IF(ISNUMBER('Mensual 2024'!M48),'Mensual 2024'!M48,"n.d.")</f>
        <v>0</v>
      </c>
      <c r="N70" s="578">
        <f>IF(ISNUMBER('Mensual 2024'!N48),'Mensual 2024'!N48,"n.d.")</f>
        <v>0</v>
      </c>
      <c r="O70" s="583"/>
    </row>
    <row r="71" spans="1:15" ht="21.75" hidden="1" customHeight="1" x14ac:dyDescent="0.55000000000000004">
      <c r="A71" s="543" t="s">
        <v>453</v>
      </c>
      <c r="B71" s="543" t="s">
        <v>73</v>
      </c>
      <c r="C71" s="556">
        <f>IF(ISNUMBER('Mensual 2024'!C49),'Mensual 2024'!C49,"n.d.")</f>
        <v>1071647711.21</v>
      </c>
      <c r="D71" s="556">
        <f>IF(ISNUMBER('Mensual 2024'!D49),'Mensual 2024'!D49,"n.d.")</f>
        <v>811743190.39999998</v>
      </c>
      <c r="E71" s="556">
        <f>IF(ISNUMBER('Mensual 2024'!E49),'Mensual 2024'!E49,"n.d.")</f>
        <v>850733838.38</v>
      </c>
      <c r="F71" s="556">
        <f>IF(ISNUMBER('Mensual 2024'!F49),'Mensual 2024'!F49,"n.d.")</f>
        <v>0</v>
      </c>
      <c r="G71" s="556">
        <f>IF(ISNUMBER('Mensual 2024'!G49),'Mensual 2024'!G49,"n.d.")</f>
        <v>0</v>
      </c>
      <c r="H71" s="556">
        <f>IF(ISNUMBER('Mensual 2024'!H49),'Mensual 2024'!H49,"n.d.")</f>
        <v>652704802.55999994</v>
      </c>
      <c r="I71" s="556">
        <f>IF(ISNUMBER('Mensual 2024'!I49),'Mensual 2024'!I49,"n.d.")</f>
        <v>1051356590.9</v>
      </c>
      <c r="J71" s="556">
        <f>IF(ISNUMBER('Mensual 2024'!J49),'Mensual 2024'!J49,"n.d.")</f>
        <v>234377239.78</v>
      </c>
      <c r="K71" s="556">
        <f>IF(ISNUMBER('Mensual 2024'!K49),'Mensual 2024'!K49,"n.d.")</f>
        <v>0</v>
      </c>
      <c r="L71" s="556">
        <f>IF(ISNUMBER('Mensual 2024'!L49),'Mensual 2024'!L49,"n.d.")</f>
        <v>0</v>
      </c>
      <c r="M71" s="556">
        <f>IF(ISNUMBER('Mensual 2024'!M49),'Mensual 2024'!M49,"n.d.")</f>
        <v>0</v>
      </c>
      <c r="N71" s="556">
        <f>IF(ISNUMBER('Mensual 2024'!N49),'Mensual 2024'!N49,"n.d.")</f>
        <v>0</v>
      </c>
      <c r="O71" s="583"/>
    </row>
    <row r="72" spans="1:15" ht="21.75" hidden="1" customHeight="1" x14ac:dyDescent="0.55000000000000004">
      <c r="A72" s="543" t="s">
        <v>454</v>
      </c>
      <c r="B72" s="543" t="s">
        <v>92</v>
      </c>
      <c r="C72" s="578">
        <f>IF(ISNUMBER('Mensual 2024'!C62),'Mensual 2024'!C62,"n.d.")</f>
        <v>7292737.6199999992</v>
      </c>
      <c r="D72" s="578">
        <f>IF(ISNUMBER('Mensual 2024'!D62),'Mensual 2024'!D62,"n.d.")</f>
        <v>15045242.100000001</v>
      </c>
      <c r="E72" s="578">
        <f>IF(ISNUMBER('Mensual 2024'!E62),'Mensual 2024'!E62,"n.d.")</f>
        <v>13228126.800000001</v>
      </c>
      <c r="F72" s="578">
        <f>IF(ISNUMBER('Mensual 2024'!F62),'Mensual 2024'!F62,"n.d.")</f>
        <v>11570807.219999999</v>
      </c>
      <c r="G72" s="578">
        <f>IF(ISNUMBER('Mensual 2024'!G62),'Mensual 2024'!G62,"n.d.")</f>
        <v>22993423.740000002</v>
      </c>
      <c r="H72" s="578">
        <f>IF(ISNUMBER('Mensual 2024'!H62),'Mensual 2024'!H62,"n.d.")</f>
        <v>24418692.899999999</v>
      </c>
      <c r="I72" s="578">
        <f>IF(ISNUMBER('Mensual 2024'!I62),'Mensual 2024'!I62,"n.d.")</f>
        <v>19707750.300000001</v>
      </c>
      <c r="J72" s="578">
        <f>IF(ISNUMBER('Mensual 2024'!J62),'Mensual 2024'!J62,"n.d.")</f>
        <v>13229841.66</v>
      </c>
      <c r="K72" s="578">
        <f>IF(ISNUMBER('Mensual 2024'!K62),'Mensual 2024'!K62,"n.d.")</f>
        <v>6875780.1000000006</v>
      </c>
      <c r="L72" s="578">
        <f>IF(ISNUMBER('Mensual 2024'!L62),'Mensual 2024'!L62,"n.d.")</f>
        <v>8400383.8800000008</v>
      </c>
      <c r="M72" s="578">
        <f>IF(ISNUMBER('Mensual 2024'!M62),'Mensual 2024'!M62,"n.d.")</f>
        <v>10016493.9</v>
      </c>
      <c r="N72" s="578">
        <f>IF(ISNUMBER('Mensual 2024'!N62),'Mensual 2024'!N62,"n.d.")</f>
        <v>0</v>
      </c>
      <c r="O72" s="583"/>
    </row>
    <row r="73" spans="1:15" ht="21.75" hidden="1" customHeight="1" x14ac:dyDescent="0.55000000000000004">
      <c r="A73" s="543" t="s">
        <v>455</v>
      </c>
      <c r="B73" s="543" t="s">
        <v>92</v>
      </c>
      <c r="C73" s="578">
        <f>IF(ISNUMBER('Mensual 2024'!C64),'Mensual 2024'!C64,"n.d.")</f>
        <v>3893938</v>
      </c>
      <c r="D73" s="578">
        <f>IF(ISNUMBER('Mensual 2024'!D64),'Mensual 2024'!D64,"n.d.")</f>
        <v>3099050</v>
      </c>
      <c r="E73" s="578">
        <f>IF(ISNUMBER('Mensual 2024'!E64),'Mensual 2024'!E64,"n.d.")</f>
        <v>2600527</v>
      </c>
      <c r="F73" s="578">
        <f>IF(ISNUMBER('Mensual 2024'!F64),'Mensual 2024'!F64,"n.d.")</f>
        <v>4928743</v>
      </c>
      <c r="G73" s="578">
        <f>IF(ISNUMBER('Mensual 2024'!G64),'Mensual 2024'!G64,"n.d.")</f>
        <v>6422867</v>
      </c>
      <c r="H73" s="578">
        <f>IF(ISNUMBER('Mensual 2024'!H64),'Mensual 2024'!H64,"n.d.")</f>
        <v>4772680</v>
      </c>
      <c r="I73" s="578">
        <f>IF(ISNUMBER('Mensual 2024'!I64),'Mensual 2024'!I64,"n.d.")</f>
        <v>3434855</v>
      </c>
      <c r="J73" s="578">
        <f>IF(ISNUMBER('Mensual 2024'!J64),'Mensual 2024'!J64,"n.d.")</f>
        <v>7326494</v>
      </c>
      <c r="K73" s="578">
        <f>IF(ISNUMBER('Mensual 2024'!K64),'Mensual 2024'!K64,"n.d.")</f>
        <v>7755149</v>
      </c>
      <c r="L73" s="578">
        <f>IF(ISNUMBER('Mensual 2024'!L64),'Mensual 2024'!L64,"n.d.")</f>
        <v>9457675</v>
      </c>
      <c r="M73" s="578">
        <f>IF(ISNUMBER('Mensual 2024'!M64),'Mensual 2024'!M64,"n.d.")</f>
        <v>3905338</v>
      </c>
      <c r="N73" s="578">
        <f>IF(ISNUMBER('Mensual 2024'!N64),'Mensual 2024'!N64,"n.d.")</f>
        <v>5507992</v>
      </c>
      <c r="O73" s="583"/>
    </row>
    <row r="74" spans="1:15" ht="21.75" hidden="1" customHeight="1" x14ac:dyDescent="0.55000000000000004">
      <c r="A74" s="543" t="s">
        <v>456</v>
      </c>
      <c r="B74" s="543" t="s">
        <v>92</v>
      </c>
      <c r="C74" s="578">
        <f>IF(ISNUMBER('Mensual 2024'!C74),'Mensual 2024'!C74,"n.d.")</f>
        <v>0</v>
      </c>
      <c r="D74" s="578">
        <f>IF(ISNUMBER('Mensual 2024'!D74),'Mensual 2024'!D74,"n.d.")</f>
        <v>0</v>
      </c>
      <c r="E74" s="578">
        <f>IF(ISNUMBER('Mensual 2024'!E74),'Mensual 2024'!E74,"n.d.")</f>
        <v>0</v>
      </c>
      <c r="F74" s="578">
        <f>IF(ISNUMBER('Mensual 2024'!F74),'Mensual 2024'!F74,"n.d.")</f>
        <v>0</v>
      </c>
      <c r="G74" s="578">
        <f>IF(ISNUMBER('Mensual 2024'!G74),'Mensual 2024'!G74,"n.d.")</f>
        <v>0</v>
      </c>
      <c r="H74" s="578">
        <f>IF(ISNUMBER('Mensual 2024'!H74),'Mensual 2024'!H74,"n.d.")</f>
        <v>0</v>
      </c>
      <c r="I74" s="578">
        <f>IF(ISNUMBER('Mensual 2024'!I74),'Mensual 2024'!I74,"n.d.")</f>
        <v>1337070</v>
      </c>
      <c r="J74" s="578">
        <f>IF(ISNUMBER('Mensual 2024'!J74),'Mensual 2024'!J74,"n.d.")</f>
        <v>6684846</v>
      </c>
      <c r="K74" s="578">
        <f>IF(ISNUMBER('Mensual 2024'!K74),'Mensual 2024'!K74,"n.d.")</f>
        <v>6941340</v>
      </c>
      <c r="L74" s="578">
        <f>IF(ISNUMBER('Mensual 2024'!L74),'Mensual 2024'!L74,"n.d.")</f>
        <v>6730626</v>
      </c>
      <c r="M74" s="578">
        <f>IF(ISNUMBER('Mensual 2024'!M74),'Mensual 2024'!M74,"n.d.")</f>
        <v>5664204</v>
      </c>
      <c r="N74" s="578">
        <f>IF(ISNUMBER('Mensual 2024'!N74),'Mensual 2024'!N74,"n.d.")</f>
        <v>5766264</v>
      </c>
      <c r="O74" s="583"/>
    </row>
    <row r="75" spans="1:15" ht="21.75" hidden="1" customHeight="1" x14ac:dyDescent="0.55000000000000004">
      <c r="A75" s="543" t="s">
        <v>457</v>
      </c>
      <c r="B75" s="543" t="s">
        <v>92</v>
      </c>
      <c r="C75" s="578">
        <f>IF(ISNUMBER('Mensual 2024'!C76),'Mensual 2024'!C76,"n.d.")</f>
        <v>699744.3600000001</v>
      </c>
      <c r="D75" s="578">
        <f>IF(ISNUMBER('Mensual 2024'!D76),'Mensual 2024'!D76,"n.d.")</f>
        <v>1035971.16</v>
      </c>
      <c r="E75" s="578">
        <f>IF(ISNUMBER('Mensual 2024'!E76),'Mensual 2024'!E76,"n.d.")</f>
        <v>1304242.422</v>
      </c>
      <c r="F75" s="578">
        <f>IF(ISNUMBER('Mensual 2024'!F76),'Mensual 2024'!F76,"n.d.")</f>
        <v>980458.08</v>
      </c>
      <c r="G75" s="578">
        <f>IF(ISNUMBER('Mensual 2024'!G76),'Mensual 2024'!G76,"n.d.")</f>
        <v>1705509.12</v>
      </c>
      <c r="H75" s="578">
        <f>IF(ISNUMBER('Mensual 2024'!H76),'Mensual 2024'!H76,"n.d.")</f>
        <v>934526.88</v>
      </c>
      <c r="I75" s="578">
        <f>IF(ISNUMBER('Mensual 2024'!I76),'Mensual 2024'!I76,"n.d.")</f>
        <v>555786</v>
      </c>
      <c r="J75" s="578">
        <f>IF(ISNUMBER('Mensual 2024'!J76),'Mensual 2024'!J76,"n.d.")</f>
        <v>1233854.9999999998</v>
      </c>
      <c r="K75" s="578">
        <f>IF(ISNUMBER('Mensual 2024'!K76),'Mensual 2024'!K76,"n.d.")</f>
        <v>1431901.8</v>
      </c>
      <c r="L75" s="578">
        <f>IF(ISNUMBER('Mensual 2024'!L76),'Mensual 2024'!L76,"n.d.")</f>
        <v>1468748.82</v>
      </c>
      <c r="M75" s="578">
        <f>IF(ISNUMBER('Mensual 2024'!M76),'Mensual 2024'!M76,"n.d.")</f>
        <v>417440.51999999996</v>
      </c>
      <c r="N75" s="578">
        <f>IF(ISNUMBER('Mensual 2024'!N76),'Mensual 2024'!N76,"n.d.")</f>
        <v>648503.52</v>
      </c>
      <c r="O75" s="583"/>
    </row>
    <row r="76" spans="1:15" ht="21.75" hidden="1" customHeight="1" x14ac:dyDescent="0.55000000000000004">
      <c r="A76" s="543" t="s">
        <v>458</v>
      </c>
      <c r="B76" s="543" t="s">
        <v>92</v>
      </c>
      <c r="C76" s="578">
        <f>IF(ISNUMBER('Mensual 2024'!C78),'Mensual 2024'!C78,"n.d.")</f>
        <v>29202</v>
      </c>
      <c r="D76" s="578">
        <f>IF(ISNUMBER('Mensual 2024'!D78),'Mensual 2024'!D78,"n.d.")</f>
        <v>0</v>
      </c>
      <c r="E76" s="578">
        <f>IF(ISNUMBER('Mensual 2024'!E78),'Mensual 2024'!E78,"n.d.")</f>
        <v>52426</v>
      </c>
      <c r="F76" s="578">
        <f>IF(ISNUMBER('Mensual 2024'!F78),'Mensual 2024'!F78,"n.d.")</f>
        <v>235990</v>
      </c>
      <c r="G76" s="578">
        <f>IF(ISNUMBER('Mensual 2024'!G78),'Mensual 2024'!G78,"n.d.")</f>
        <v>651501</v>
      </c>
      <c r="H76" s="578">
        <f>IF(ISNUMBER('Mensual 2024'!H78),'Mensual 2024'!H78,"n.d.")</f>
        <v>498854</v>
      </c>
      <c r="I76" s="578">
        <f>IF(ISNUMBER('Mensual 2024'!I78),'Mensual 2024'!I78,"n.d.")</f>
        <v>118103</v>
      </c>
      <c r="J76" s="578">
        <f>IF(ISNUMBER('Mensual 2024'!J78),'Mensual 2024'!J78,"n.d.")</f>
        <v>1180115</v>
      </c>
      <c r="K76" s="578">
        <f>IF(ISNUMBER('Mensual 2024'!K78),'Mensual 2024'!K78,"n.d.")</f>
        <v>973022</v>
      </c>
      <c r="L76" s="578">
        <f>IF(ISNUMBER('Mensual 2024'!L78),'Mensual 2024'!L78,"n.d.")</f>
        <v>1042276</v>
      </c>
      <c r="M76" s="578">
        <f>IF(ISNUMBER('Mensual 2024'!M78),'Mensual 2024'!M78,"n.d.")</f>
        <v>370290</v>
      </c>
      <c r="N76" s="578">
        <f>IF(ISNUMBER('Mensual 2024'!N78),'Mensual 2024'!N78,"n.d.")</f>
        <v>13677.84</v>
      </c>
      <c r="O76" s="583"/>
    </row>
    <row r="77" spans="1:15" ht="21.75" hidden="1" customHeight="1" x14ac:dyDescent="0.55000000000000004">
      <c r="A77" s="543" t="s">
        <v>459</v>
      </c>
      <c r="B77" s="543" t="s">
        <v>73</v>
      </c>
      <c r="C77" s="581">
        <f>IF(ISNUMBER('Mensual 2024'!C79),'Mensual 2024'!C79,"n.d.")</f>
        <v>0</v>
      </c>
      <c r="D77" s="581">
        <f>IF(ISNUMBER('Mensual 2024'!D79),'Mensual 2024'!D79,"n.d.")</f>
        <v>0</v>
      </c>
      <c r="E77" s="581">
        <f>IF(ISNUMBER('Mensual 2024'!E79),'Mensual 2024'!E79,"n.d.")</f>
        <v>0</v>
      </c>
      <c r="F77" s="581">
        <f>IF(ISNUMBER('Mensual 2024'!F79),'Mensual 2024'!F79,"n.d.")</f>
        <v>0</v>
      </c>
      <c r="G77" s="581">
        <f>IF(ISNUMBER('Mensual 2024'!G79),'Mensual 2024'!G79,"n.d.")</f>
        <v>0</v>
      </c>
      <c r="H77" s="581">
        <f>IF(ISNUMBER('Mensual 2024'!H79),'Mensual 2024'!H79,"n.d.")</f>
        <v>0</v>
      </c>
      <c r="I77" s="581">
        <f>IF(ISNUMBER('Mensual 2024'!I79),'Mensual 2024'!I79,"n.d.")</f>
        <v>0</v>
      </c>
      <c r="J77" s="581">
        <f>IF(ISNUMBER('Mensual 2024'!J79),'Mensual 2024'!J79,"n.d.")</f>
        <v>0</v>
      </c>
      <c r="K77" s="581">
        <f>IF(ISNUMBER('Mensual 2024'!K79),'Mensual 2024'!K79,"n.d.")</f>
        <v>0</v>
      </c>
      <c r="L77" s="581">
        <f>IF(ISNUMBER('Mensual 2024'!L79),'Mensual 2024'!L79,"n.d.")</f>
        <v>0</v>
      </c>
      <c r="M77" s="581">
        <f>IF(ISNUMBER('Mensual 2024'!M79),'Mensual 2024'!M79,"n.d.")</f>
        <v>0</v>
      </c>
      <c r="N77" s="581">
        <f>IF(ISNUMBER('Mensual 2024'!N79),'Mensual 2024'!N79,"n.d.")</f>
        <v>0</v>
      </c>
      <c r="O77" s="583"/>
    </row>
    <row r="78" spans="1:15" ht="21.75" hidden="1" customHeight="1" x14ac:dyDescent="0.55000000000000004">
      <c r="A78" s="543" t="s">
        <v>460</v>
      </c>
      <c r="B78" s="543" t="s">
        <v>92</v>
      </c>
      <c r="C78" s="578">
        <f>IF(COUNT('Mensual 2024'!C90,'Mensual 2024'!C93)=2,SUM('Mensual 2024'!C90,'Mensual 2024'!C93),"n.d.")</f>
        <v>2122707.2999999998</v>
      </c>
      <c r="D78" s="578">
        <f>IF(COUNT('Mensual 2024'!D90,'Mensual 2024'!D93)=2,SUM('Mensual 2024'!D90,'Mensual 2024'!D93),"n.d.")</f>
        <v>2204784.96</v>
      </c>
      <c r="E78" s="578">
        <f>IF(COUNT('Mensual 2024'!E90,'Mensual 2024'!E93)=2,SUM('Mensual 2024'!E90,'Mensual 2024'!E93),"n.d.")</f>
        <v>1927251.9</v>
      </c>
      <c r="F78" s="578">
        <f>IF(COUNT('Mensual 2024'!F90,'Mensual 2024'!F93)=2,SUM('Mensual 2024'!F90,'Mensual 2024'!F93),"n.d.")</f>
        <v>3836161.98</v>
      </c>
      <c r="G78" s="578">
        <f>IF(COUNT('Mensual 2024'!G90,'Mensual 2024'!G93)=2,SUM('Mensual 2024'!G90,'Mensual 2024'!G93),"n.d.")</f>
        <v>4751455.38</v>
      </c>
      <c r="H78" s="578">
        <f>IF(COUNT('Mensual 2024'!H90,'Mensual 2024'!H93)=2,SUM('Mensual 2024'!H90,'Mensual 2024'!H93),"n.d.")</f>
        <v>2436609</v>
      </c>
      <c r="I78" s="578">
        <f>IF(COUNT('Mensual 2024'!I90,'Mensual 2024'!I93)=2,SUM('Mensual 2024'!I90,'Mensual 2024'!I93),"n.d.")</f>
        <v>1785218.8199999998</v>
      </c>
      <c r="J78" s="578">
        <f>IF(COUNT('Mensual 2024'!J90,'Mensual 2024'!J93)=2,SUM('Mensual 2024'!J90,'Mensual 2024'!J93),"n.d.")</f>
        <v>4378992.66</v>
      </c>
      <c r="K78" s="578">
        <f>IF(COUNT('Mensual 2024'!K90,'Mensual 2024'!K93)=2,SUM('Mensual 2024'!K90,'Mensual 2024'!K93),"n.d.")</f>
        <v>4589306.82</v>
      </c>
      <c r="L78" s="578">
        <f>IF(COUNT('Mensual 2024'!L90,'Mensual 2024'!L93)=2,SUM('Mensual 2024'!L90,'Mensual 2024'!L93),"n.d.")</f>
        <v>4356579.3600000003</v>
      </c>
      <c r="M78" s="578">
        <f>IF(COUNT('Mensual 2024'!M90,'Mensual 2024'!M93)=2,SUM('Mensual 2024'!M90,'Mensual 2024'!M93),"n.d.")</f>
        <v>1301853</v>
      </c>
      <c r="N78" s="578">
        <f>IF(COUNT('Mensual 2024'!N90,'Mensual 2024'!N93)=2,SUM('Mensual 2024'!N90,'Mensual 2024'!N93),"n.d.")</f>
        <v>2916969.7199999997</v>
      </c>
      <c r="O78" s="583"/>
    </row>
    <row r="79" spans="1:15" ht="21.75" hidden="1" customHeight="1" x14ac:dyDescent="0.55000000000000004">
      <c r="A79" s="543" t="s">
        <v>461</v>
      </c>
      <c r="B79" s="543" t="s">
        <v>92</v>
      </c>
      <c r="C79" s="578">
        <f>IF(COUNT('Mensual 2024'!C106,'Mensual 2024'!C108)=2,SUM('Mensual 2024'!C106,'Mensual 2024'!C108),"n.d.")</f>
        <v>551382.72</v>
      </c>
      <c r="D79" s="578">
        <f>IF(COUNT('Mensual 2024'!D106,'Mensual 2024'!D108)=2,SUM('Mensual 2024'!D106,'Mensual 2024'!D108),"n.d.")</f>
        <v>376427.1</v>
      </c>
      <c r="E79" s="578">
        <f>IF(COUNT('Mensual 2024'!E106,'Mensual 2024'!E108)=2,SUM('Mensual 2024'!E106,'Mensual 2024'!E108),"n.d.")</f>
        <v>383913.18</v>
      </c>
      <c r="F79" s="578">
        <f>IF(COUNT('Mensual 2024'!F106,'Mensual 2024'!F108)=2,SUM('Mensual 2024'!F106,'Mensual 2024'!F108),"n.d.")</f>
        <v>643243.86</v>
      </c>
      <c r="G79" s="578">
        <f>IF(COUNT('Mensual 2024'!G106,'Mensual 2024'!G108)=2,SUM('Mensual 2024'!G106,'Mensual 2024'!G108),"n.d.")</f>
        <v>987918.12</v>
      </c>
      <c r="H79" s="578">
        <f>IF(COUNT('Mensual 2024'!H106,'Mensual 2024'!H108)=2,SUM('Mensual 2024'!H106,'Mensual 2024'!H108),"n.d.")</f>
        <v>181462.25999999998</v>
      </c>
      <c r="I79" s="578">
        <f>IF(COUNT('Mensual 2024'!I106,'Mensual 2024'!I108)=2,SUM('Mensual 2024'!I106,'Mensual 2024'!I108),"n.d.")</f>
        <v>114799.86</v>
      </c>
      <c r="J79" s="578">
        <f>IF(COUNT('Mensual 2024'!J106,'Mensual 2024'!J108)=2,SUM('Mensual 2024'!J106,'Mensual 2024'!J108),"n.d.")</f>
        <v>376322.1</v>
      </c>
      <c r="K79" s="578">
        <f>IF(COUNT('Mensual 2024'!K106,'Mensual 2024'!K108)=2,SUM('Mensual 2024'!K106,'Mensual 2024'!K108),"n.d.")</f>
        <v>347886.84</v>
      </c>
      <c r="L79" s="578">
        <f>IF(COUNT('Mensual 2024'!L106,'Mensual 2024'!L108)=2,SUM('Mensual 2024'!L106,'Mensual 2024'!L108),"n.d.")</f>
        <v>309219.12</v>
      </c>
      <c r="M79" s="578">
        <f>IF(COUNT('Mensual 2024'!M106,'Mensual 2024'!M108)=2,SUM('Mensual 2024'!M106,'Mensual 2024'!M108),"n.d.")</f>
        <v>71607.900000000009</v>
      </c>
      <c r="N79" s="578">
        <f>IF(COUNT('Mensual 2024'!N106,'Mensual 2024'!N108)=2,SUM('Mensual 2024'!N106,'Mensual 2024'!N108),"n.d.")</f>
        <v>138423.18000000002</v>
      </c>
      <c r="O79" s="583"/>
    </row>
    <row r="80" spans="1:15" ht="21.75" hidden="1" customHeight="1" x14ac:dyDescent="0.55000000000000004">
      <c r="A80" s="543" t="s">
        <v>462</v>
      </c>
      <c r="B80" s="543" t="s">
        <v>92</v>
      </c>
      <c r="C80" s="578">
        <f>IF(COUNT('Mensual 2024'!C118,'Mensual 2024'!C120)=2,SUM('Mensual 2024'!C118,'Mensual 2024'!C120),"n.d.")</f>
        <v>181121.64</v>
      </c>
      <c r="D80" s="578">
        <f>IF(COUNT('Mensual 2024'!D118,'Mensual 2024'!D120)=2,SUM('Mensual 2024'!D118,'Mensual 2024'!D120),"n.d.")</f>
        <v>126716.52</v>
      </c>
      <c r="E80" s="578">
        <f>IF(COUNT('Mensual 2024'!E118,'Mensual 2024'!E120)=2,SUM('Mensual 2024'!E118,'Mensual 2024'!E120),"n.d.")</f>
        <v>109584.3</v>
      </c>
      <c r="F80" s="578">
        <f>IF(COUNT('Mensual 2024'!F118,'Mensual 2024'!F120)=2,SUM('Mensual 2024'!F118,'Mensual 2024'!F120),"n.d.")</f>
        <v>213150</v>
      </c>
      <c r="G80" s="578">
        <f>IF(COUNT('Mensual 2024'!G118,'Mensual 2024'!G120)=2,SUM('Mensual 2024'!G118,'Mensual 2024'!G120),"n.d.")</f>
        <v>393182.16</v>
      </c>
      <c r="H80" s="578">
        <f>IF(COUNT('Mensual 2024'!H118,'Mensual 2024'!H120)=2,SUM('Mensual 2024'!H118,'Mensual 2024'!H120),"n.d.")</f>
        <v>132192.06</v>
      </c>
      <c r="I80" s="578">
        <f>IF(COUNT('Mensual 2024'!I118,'Mensual 2024'!I120)=2,SUM('Mensual 2024'!I118,'Mensual 2024'!I120),"n.d.")</f>
        <v>69763.679999999993</v>
      </c>
      <c r="J80" s="578">
        <f>IF(COUNT('Mensual 2024'!J118,'Mensual 2024'!J120)=2,SUM('Mensual 2024'!J118,'Mensual 2024'!J120),"n.d.")</f>
        <v>300137.46000000002</v>
      </c>
      <c r="K80" s="578">
        <f>IF(COUNT('Mensual 2024'!K118,'Mensual 2024'!K120)=2,SUM('Mensual 2024'!K118,'Mensual 2024'!K120),"n.d.")</f>
        <v>266540.39999999997</v>
      </c>
      <c r="L80" s="578">
        <f>IF(COUNT('Mensual 2024'!L118,'Mensual 2024'!L120)=2,SUM('Mensual 2024'!L118,'Mensual 2024'!L120),"n.d.")</f>
        <v>160618.92000000001</v>
      </c>
      <c r="M80" s="578">
        <f>IF(COUNT('Mensual 2024'!M118,'Mensual 2024'!M120)=2,SUM('Mensual 2024'!M118,'Mensual 2024'!M120),"n.d.")</f>
        <v>38978.94</v>
      </c>
      <c r="N80" s="578">
        <f>IF(COUNT('Mensual 2024'!N118,'Mensual 2024'!N120)=2,SUM('Mensual 2024'!N118,'Mensual 2024'!N120),"n.d.")</f>
        <v>51187.08</v>
      </c>
      <c r="O80" s="583"/>
    </row>
    <row r="81" spans="1:15" ht="21.75" hidden="1" customHeight="1" x14ac:dyDescent="0.55000000000000004">
      <c r="A81" s="543" t="s">
        <v>463</v>
      </c>
      <c r="B81" s="543" t="s">
        <v>92</v>
      </c>
      <c r="C81" s="578">
        <f>IF(COUNT('Mensual 2024'!C130,'Mensual 2024'!C132)=2,SUM('Mensual 2024'!C130,'Mensual 2024'!C132),"n.d.")</f>
        <v>0</v>
      </c>
      <c r="D81" s="578">
        <f>IF(COUNT('Mensual 2024'!D130,'Mensual 2024'!D132)=2,SUM('Mensual 2024'!D130,'Mensual 2024'!D132),"n.d.")</f>
        <v>0</v>
      </c>
      <c r="E81" s="578">
        <f>IF(COUNT('Mensual 2024'!E130,'Mensual 2024'!E132)=2,SUM('Mensual 2024'!E130,'Mensual 2024'!E132),"n.d.")</f>
        <v>0</v>
      </c>
      <c r="F81" s="578">
        <f>IF(COUNT('Mensual 2024'!F130,'Mensual 2024'!F132)=2,SUM('Mensual 2024'!F130,'Mensual 2024'!F132),"n.d.")</f>
        <v>0</v>
      </c>
      <c r="G81" s="578">
        <f>IF(COUNT('Mensual 2024'!G130,'Mensual 2024'!G132)=2,SUM('Mensual 2024'!G130,'Mensual 2024'!G132),"n.d.")</f>
        <v>0</v>
      </c>
      <c r="H81" s="578">
        <f>IF(COUNT('Mensual 2024'!H130,'Mensual 2024'!H132)=2,SUM('Mensual 2024'!H130,'Mensual 2024'!H132),"n.d.")</f>
        <v>0</v>
      </c>
      <c r="I81" s="578">
        <f>IF(COUNT('Mensual 2024'!I130,'Mensual 2024'!I132)=2,SUM('Mensual 2024'!I130,'Mensual 2024'!I132),"n.d.")</f>
        <v>0</v>
      </c>
      <c r="J81" s="578">
        <f>IF(COUNT('Mensual 2024'!J130,'Mensual 2024'!J132)=2,SUM('Mensual 2024'!J130,'Mensual 2024'!J132),"n.d.")</f>
        <v>0</v>
      </c>
      <c r="K81" s="578">
        <f>IF(COUNT('Mensual 2024'!K130,'Mensual 2024'!K132)=2,SUM('Mensual 2024'!K130,'Mensual 2024'!K132),"n.d.")</f>
        <v>0</v>
      </c>
      <c r="L81" s="578">
        <f>IF(COUNT('Mensual 2024'!L130,'Mensual 2024'!L132)=2,SUM('Mensual 2024'!L130,'Mensual 2024'!L132),"n.d.")</f>
        <v>0</v>
      </c>
      <c r="M81" s="578">
        <f>IF(COUNT('Mensual 2024'!M130,'Mensual 2024'!M132)=2,SUM('Mensual 2024'!M130,'Mensual 2024'!M132),"n.d.")</f>
        <v>0</v>
      </c>
      <c r="N81" s="578">
        <f>IF(COUNT('Mensual 2024'!N130,'Mensual 2024'!N132)=2,SUM('Mensual 2024'!N130,'Mensual 2024'!N132),"n.d.")</f>
        <v>0</v>
      </c>
      <c r="O81" s="583"/>
    </row>
    <row r="82" spans="1:15" ht="21.75" hidden="1" customHeight="1" x14ac:dyDescent="0.55000000000000004">
      <c r="A82" s="543" t="s">
        <v>464</v>
      </c>
      <c r="B82" s="543" t="s">
        <v>92</v>
      </c>
      <c r="C82" s="578">
        <f>IF(COUNT('Mensual 2024'!C142,'Mensual 2024'!C144)=2,SUM('Mensual 2024'!C142,'Mensual 2024'!C144),"n.d.")</f>
        <v>0</v>
      </c>
      <c r="D82" s="578">
        <f>IF(COUNT('Mensual 2024'!D142,'Mensual 2024'!D144)=2,SUM('Mensual 2024'!D142,'Mensual 2024'!D144),"n.d.")</f>
        <v>146196.96</v>
      </c>
      <c r="E82" s="578">
        <f>IF(COUNT('Mensual 2024'!E142,'Mensual 2024'!E144)=2,SUM('Mensual 2024'!E142,'Mensual 2024'!E144),"n.d.")</f>
        <v>126224.7</v>
      </c>
      <c r="F82" s="578">
        <f>IF(COUNT('Mensual 2024'!F142,'Mensual 2024'!F144)=2,SUM('Mensual 2024'!F142,'Mensual 2024'!F144),"n.d.")</f>
        <v>261518.04</v>
      </c>
      <c r="G82" s="578">
        <f>IF(COUNT('Mensual 2024'!G142,'Mensual 2024'!G144)=2,SUM('Mensual 2024'!G142,'Mensual 2024'!G144),"n.d.")</f>
        <v>411226.2</v>
      </c>
      <c r="H82" s="578">
        <f>IF(COUNT('Mensual 2024'!H142,'Mensual 2024'!H144)=2,SUM('Mensual 2024'!H142,'Mensual 2024'!H144),"n.d.")</f>
        <v>185063.34000000003</v>
      </c>
      <c r="I82" s="578">
        <f>IF(COUNT('Mensual 2024'!I142,'Mensual 2024'!I144)=2,SUM('Mensual 2024'!I142,'Mensual 2024'!I144),"n.d.")</f>
        <v>78391.740000000005</v>
      </c>
      <c r="J82" s="578">
        <f>IF(COUNT('Mensual 2024'!J142,'Mensual 2024'!J144)=2,SUM('Mensual 2024'!J142,'Mensual 2024'!J144),"n.d.")</f>
        <v>335179.74</v>
      </c>
      <c r="K82" s="578">
        <f>IF(COUNT('Mensual 2024'!K142,'Mensual 2024'!K144)=2,SUM('Mensual 2024'!K142,'Mensual 2024'!K144),"n.d.")</f>
        <v>352414.86</v>
      </c>
      <c r="L82" s="578">
        <f>IF(COUNT('Mensual 2024'!L142,'Mensual 2024'!L144)=2,SUM('Mensual 2024'!L142,'Mensual 2024'!L144),"n.d.")</f>
        <v>279020.7</v>
      </c>
      <c r="M82" s="578">
        <f>IF(COUNT('Mensual 2024'!M142,'Mensual 2024'!M144)=2,SUM('Mensual 2024'!M142,'Mensual 2024'!M144),"n.d.")</f>
        <v>48707.82</v>
      </c>
      <c r="N82" s="578">
        <f>IF(COUNT('Mensual 2024'!N142,'Mensual 2024'!N144)=2,SUM('Mensual 2024'!N142,'Mensual 2024'!N144),"n.d.")</f>
        <v>85532.160000000003</v>
      </c>
      <c r="O82" s="583"/>
    </row>
    <row r="83" spans="1:15" ht="21.75" hidden="1" customHeight="1" x14ac:dyDescent="0.55000000000000004">
      <c r="A83" s="543" t="s">
        <v>465</v>
      </c>
      <c r="B83" s="543" t="s">
        <v>92</v>
      </c>
      <c r="C83" s="578">
        <f>IF(COUNT('Mensual 2024'!C154,'Mensual 2024'!C156,'Mensual 2024'!C158,'Mensual 2024'!C160)=4,SUM('Mensual 2024'!C154,'Mensual 2024'!C156,'Mensual 2024'!C158,'Mensual 2024'!C160),"n.d.")</f>
        <v>4547773.8599999994</v>
      </c>
      <c r="D83" s="578">
        <f>IF(COUNT('Mensual 2024'!D154,'Mensual 2024'!D156,'Mensual 2024'!D158,'Mensual 2024'!D160)=4,SUM('Mensual 2024'!D154,'Mensual 2024'!D156,'Mensual 2024'!D158,'Mensual 2024'!D160),"n.d.")</f>
        <v>3959828.46</v>
      </c>
      <c r="E83" s="578">
        <f>IF(COUNT('Mensual 2024'!E154,'Mensual 2024'!E156,'Mensual 2024'!E158,'Mensual 2024'!E160)=4,SUM('Mensual 2024'!E154,'Mensual 2024'!E156,'Mensual 2024'!E158,'Mensual 2024'!E160),"n.d.")</f>
        <v>3491901.84</v>
      </c>
      <c r="F83" s="578">
        <f>IF(COUNT('Mensual 2024'!F154,'Mensual 2024'!F156,'Mensual 2024'!F158,'Mensual 2024'!F160)=4,SUM('Mensual 2024'!F154,'Mensual 2024'!F156,'Mensual 2024'!F158,'Mensual 2024'!F160),"n.d.")</f>
        <v>4677643.74</v>
      </c>
      <c r="G83" s="578">
        <f>IF(COUNT('Mensual 2024'!G154,'Mensual 2024'!G156,'Mensual 2024'!G158,'Mensual 2024'!G160)=4,SUM('Mensual 2024'!G154,'Mensual 2024'!G156,'Mensual 2024'!G158,'Mensual 2024'!G160),"n.d.")</f>
        <v>5309887.8</v>
      </c>
      <c r="H83" s="578">
        <f>IF(COUNT('Mensual 2024'!H154,'Mensual 2024'!H156,'Mensual 2024'!H158,'Mensual 2024'!H160)=4,SUM('Mensual 2024'!H154,'Mensual 2024'!H156,'Mensual 2024'!H158,'Mensual 2024'!H160),"n.d.")</f>
        <v>3729089.7</v>
      </c>
      <c r="I83" s="578">
        <f>IF(COUNT('Mensual 2024'!I154,'Mensual 2024'!I156,'Mensual 2024'!I158,'Mensual 2024'!I160)=4,SUM('Mensual 2024'!I154,'Mensual 2024'!I156,'Mensual 2024'!I158,'Mensual 2024'!I160),"n.d.")</f>
        <v>2766803.7600000002</v>
      </c>
      <c r="J83" s="578">
        <f>IF(COUNT('Mensual 2024'!J154,'Mensual 2024'!J156,'Mensual 2024'!J158,'Mensual 2024'!J160)=4,SUM('Mensual 2024'!J154,'Mensual 2024'!J156,'Mensual 2024'!J158,'Mensual 2024'!J160),"n.d.")</f>
        <v>4000583.58</v>
      </c>
      <c r="K83" s="578">
        <f>IF(COUNT('Mensual 2024'!K154,'Mensual 2024'!K156,'Mensual 2024'!K158,'Mensual 2024'!K160)=4,SUM('Mensual 2024'!K154,'Mensual 2024'!K156,'Mensual 2024'!K158,'Mensual 2024'!K160),"n.d.")</f>
        <v>3809105.16</v>
      </c>
      <c r="L83" s="578">
        <f>IF(COUNT('Mensual 2024'!L154,'Mensual 2024'!L156,'Mensual 2024'!L158,'Mensual 2024'!L160)=4,SUM('Mensual 2024'!L154,'Mensual 2024'!L156,'Mensual 2024'!L158,'Mensual 2024'!L160),"n.d.")</f>
        <v>3824822.4</v>
      </c>
      <c r="M83" s="578">
        <f>IF(COUNT('Mensual 2024'!M154,'Mensual 2024'!M156,'Mensual 2024'!M158,'Mensual 2024'!M160)=4,SUM('Mensual 2024'!M154,'Mensual 2024'!M156,'Mensual 2024'!M158,'Mensual 2024'!M160),"n.d.")</f>
        <v>2555692.4400000004</v>
      </c>
      <c r="N83" s="578">
        <f>IF(COUNT('Mensual 2024'!N154,'Mensual 2024'!N156,'Mensual 2024'!N158,'Mensual 2024'!N160)=4,SUM('Mensual 2024'!N154,'Mensual 2024'!N156,'Mensual 2024'!N158,'Mensual 2024'!N160),"n.d.")</f>
        <v>3322697.6999999997</v>
      </c>
      <c r="O83" s="583"/>
    </row>
    <row r="84" spans="1:15" ht="31.5" hidden="1" customHeight="1" x14ac:dyDescent="0.55000000000000004">
      <c r="A84" s="626" t="s">
        <v>466</v>
      </c>
      <c r="B84" s="626"/>
      <c r="C84" s="576"/>
      <c r="D84" s="576"/>
      <c r="E84" s="576"/>
      <c r="F84" s="576"/>
      <c r="G84" s="576"/>
      <c r="H84" s="576"/>
      <c r="I84" s="576"/>
      <c r="J84" s="576"/>
      <c r="K84" s="576"/>
      <c r="L84" s="576"/>
      <c r="M84" s="576"/>
      <c r="N84" s="576"/>
      <c r="O84" s="577"/>
    </row>
    <row r="85" spans="1:15" ht="37.5" hidden="1" customHeight="1" x14ac:dyDescent="0.55000000000000004">
      <c r="A85" s="573" t="s">
        <v>363</v>
      </c>
      <c r="B85" s="573" t="s">
        <v>364</v>
      </c>
      <c r="C85" s="573" t="s">
        <v>415</v>
      </c>
      <c r="D85" s="573" t="s">
        <v>416</v>
      </c>
      <c r="E85" s="573" t="s">
        <v>417</v>
      </c>
      <c r="F85" s="573" t="s">
        <v>418</v>
      </c>
      <c r="G85" s="573" t="s">
        <v>5</v>
      </c>
      <c r="H85" s="573" t="s">
        <v>419</v>
      </c>
      <c r="I85" s="573" t="s">
        <v>420</v>
      </c>
      <c r="J85" s="573" t="s">
        <v>421</v>
      </c>
      <c r="K85" s="573" t="s">
        <v>422</v>
      </c>
      <c r="L85" s="573" t="s">
        <v>423</v>
      </c>
      <c r="M85" s="573" t="s">
        <v>424</v>
      </c>
      <c r="N85" s="573" t="s">
        <v>425</v>
      </c>
      <c r="O85" s="573"/>
    </row>
    <row r="86" spans="1:15" ht="21.75" hidden="1" customHeight="1" x14ac:dyDescent="0.55000000000000004">
      <c r="A86" s="543" t="s">
        <v>444</v>
      </c>
      <c r="B86" s="543" t="s">
        <v>467</v>
      </c>
      <c r="C86" s="582">
        <f>IF(ISNUMBER('CS 5'!E20),'CS 5'!E20,"n.d.")</f>
        <v>0.15</v>
      </c>
      <c r="D86" s="582">
        <f>IF(ISNUMBER('CS 5'!E20),'CS 5'!E20,"n.d.")</f>
        <v>0.15</v>
      </c>
      <c r="E86" s="582">
        <f>IF(ISNUMBER('CS 5'!E20),'CS 5'!E20,"n.d.")</f>
        <v>0.15</v>
      </c>
      <c r="F86" s="582">
        <f>IF(ISNUMBER('CS 5'!E20),'CS 5'!E20,"n.d.")</f>
        <v>0.15</v>
      </c>
      <c r="G86" s="582">
        <f>IF(ISNUMBER('CS 5'!E20),'CS 5'!E20,"n.d.")</f>
        <v>0.15</v>
      </c>
      <c r="H86" s="582">
        <f>IF(ISNUMBER('CS 5'!E20),'CS 5'!E20,"n.d.")</f>
        <v>0.15</v>
      </c>
      <c r="I86" s="582">
        <f>IF(ISNUMBER('CS 5'!E20),'CS 5'!E20,"n.d.")</f>
        <v>0.15</v>
      </c>
      <c r="J86" s="582">
        <f>IF(ISNUMBER('CS 5'!E20),'CS 5'!E20,"n.d.")</f>
        <v>0.15</v>
      </c>
      <c r="K86" s="582">
        <f>IF(ISNUMBER('CS 5'!E20),'CS 5'!E20,"n.d.")</f>
        <v>0.15</v>
      </c>
      <c r="L86" s="582">
        <f>IF(ISNUMBER('CS 5'!E20),'CS 5'!E20,"n.d.")</f>
        <v>0.15</v>
      </c>
      <c r="M86" s="582">
        <f>IF(ISNUMBER('CS 5'!E20),'CS 5'!E20,"n.d.")</f>
        <v>0.15</v>
      </c>
      <c r="N86" s="582">
        <f>IF(ISNUMBER('CS 5'!E20),'CS 5'!E20,"n.d.")</f>
        <v>0.15</v>
      </c>
      <c r="O86" s="583"/>
    </row>
    <row r="87" spans="1:15" ht="21.75" hidden="1" customHeight="1" x14ac:dyDescent="0.55000000000000004">
      <c r="A87" s="543" t="s">
        <v>445</v>
      </c>
      <c r="B87" s="543" t="s">
        <v>468</v>
      </c>
      <c r="C87" s="578">
        <f>IF(ISNUMBER('CS 5'!O20),'CS 5'!O20,"n.d.")</f>
        <v>1040</v>
      </c>
      <c r="D87" s="578">
        <f>IF(ISNUMBER('CS 5'!O20),'CS 5'!O20,"n.d.")</f>
        <v>1040</v>
      </c>
      <c r="E87" s="578">
        <f>IF(ISNUMBER('CS 5'!O20),'CS 5'!O20,"n.d.")</f>
        <v>1040</v>
      </c>
      <c r="F87" s="578">
        <f>IF(ISNUMBER('CS 5'!O20),'CS 5'!O20,"n.d.")</f>
        <v>1040</v>
      </c>
      <c r="G87" s="578">
        <f>IF(ISNUMBER('CS 5'!O20),'CS 5'!O20,"n.d.")</f>
        <v>1040</v>
      </c>
      <c r="H87" s="578">
        <f>IF(ISNUMBER('CS 5'!O20),'CS 5'!O20,"n.d.")</f>
        <v>1040</v>
      </c>
      <c r="I87" s="578">
        <f>IF(ISNUMBER('CS 5'!O20),'CS 5'!O20,"n.d.")</f>
        <v>1040</v>
      </c>
      <c r="J87" s="578">
        <f>IF(ISNUMBER('CS 5'!O20),'CS 5'!O20,"n.d.")</f>
        <v>1040</v>
      </c>
      <c r="K87" s="578">
        <f>IF(ISNUMBER('CS 5'!O20),'CS 5'!O20,"n.d.")</f>
        <v>1040</v>
      </c>
      <c r="L87" s="578">
        <f>IF(ISNUMBER('CS 5'!O20),'CS 5'!O20,"n.d.")</f>
        <v>1040</v>
      </c>
      <c r="M87" s="578">
        <f>IF(ISNUMBER('CS 5'!O20),'CS 5'!O20,"n.d.")</f>
        <v>1040</v>
      </c>
      <c r="N87" s="578">
        <f>IF(ISNUMBER('CS 5'!O20),'CS 5'!O20,"n.d.")</f>
        <v>1040</v>
      </c>
      <c r="O87" s="583"/>
    </row>
    <row r="88" spans="1:15" ht="21.75" hidden="1" customHeight="1" x14ac:dyDescent="0.55000000000000004">
      <c r="A88" s="543" t="s">
        <v>446</v>
      </c>
      <c r="B88" s="543" t="s">
        <v>467</v>
      </c>
      <c r="C88" s="582">
        <f>IF(ISNUMBER('CS6'!E20),'CS6'!E20,"n.d.")</f>
        <v>0.15</v>
      </c>
      <c r="D88" s="582">
        <f>IF(ISNUMBER('CS6'!E20),'CS6'!E20,"n.d.")</f>
        <v>0.15</v>
      </c>
      <c r="E88" s="582">
        <f>IF(ISNUMBER('CS6'!E20),'CS6'!E20,"n.d.")</f>
        <v>0.15</v>
      </c>
      <c r="F88" s="582">
        <f>IF(ISNUMBER('CS6'!E20),'CS6'!E20,"n.d.")</f>
        <v>0.15</v>
      </c>
      <c r="G88" s="582">
        <f>IF(ISNUMBER('CS6'!E20),'CS6'!E20,"n.d.")</f>
        <v>0.15</v>
      </c>
      <c r="H88" s="582">
        <f>IF(ISNUMBER('CS6'!E20),'CS6'!E20,"n.d.")</f>
        <v>0.15</v>
      </c>
      <c r="I88" s="582">
        <f>IF(ISNUMBER('CS6'!E20),'CS6'!E20,"n.d.")</f>
        <v>0.15</v>
      </c>
      <c r="J88" s="582">
        <f>IF(ISNUMBER('CS6'!E20),'CS6'!E20,"n.d.")</f>
        <v>0.15</v>
      </c>
      <c r="K88" s="582">
        <f>IF(ISNUMBER('CS6'!E20),'CS6'!E20,"n.d.")</f>
        <v>0.15</v>
      </c>
      <c r="L88" s="582">
        <f>IF(ISNUMBER('CS6'!E20),'CS6'!E20,"n.d.")</f>
        <v>0.15</v>
      </c>
      <c r="M88" s="582">
        <f>IF(ISNUMBER('CS6'!E20),'CS6'!E20,"n.d.")</f>
        <v>0.15</v>
      </c>
      <c r="N88" s="582">
        <f>IF(ISNUMBER('CS6'!E20),'CS6'!E20,"n.d.")</f>
        <v>0.15</v>
      </c>
      <c r="O88" s="583"/>
    </row>
    <row r="89" spans="1:15" ht="21.75" hidden="1" customHeight="1" x14ac:dyDescent="0.55000000000000004">
      <c r="A89" s="543" t="s">
        <v>447</v>
      </c>
      <c r="B89" s="543" t="s">
        <v>468</v>
      </c>
      <c r="C89" s="578">
        <f>IF(ISNUMBER('CS6'!O20),'CS6'!O20,"n.d.")</f>
        <v>1040</v>
      </c>
      <c r="D89" s="578">
        <f>IF(ISNUMBER('CS6'!O20),'CS6'!O20,"n.d.")</f>
        <v>1040</v>
      </c>
      <c r="E89" s="578">
        <f>IF(ISNUMBER('CS6'!O20),'CS6'!O20,"n.d.")</f>
        <v>1040</v>
      </c>
      <c r="F89" s="578">
        <f>IF(ISNUMBER('CS6'!O20),'CS6'!O20,"n.d.")</f>
        <v>1040</v>
      </c>
      <c r="G89" s="578">
        <f>IF(ISNUMBER('CS6'!O20),'CS6'!O20,"n.d.")</f>
        <v>1040</v>
      </c>
      <c r="H89" s="578">
        <f>IF(ISNUMBER('CS6'!O20),'CS6'!O20,"n.d.")</f>
        <v>1040</v>
      </c>
      <c r="I89" s="578">
        <f>IF(ISNUMBER('CS6'!O20),'CS6'!O20,"n.d.")</f>
        <v>1040</v>
      </c>
      <c r="J89" s="578">
        <f>IF(ISNUMBER('CS6'!O20),'CS6'!O20,"n.d.")</f>
        <v>1040</v>
      </c>
      <c r="K89" s="578">
        <f>IF(ISNUMBER('CS6'!O20),'CS6'!O20,"n.d.")</f>
        <v>1040</v>
      </c>
      <c r="L89" s="578">
        <f>IF(ISNUMBER('CS6'!O20),'CS6'!O20,"n.d.")</f>
        <v>1040</v>
      </c>
      <c r="M89" s="578">
        <f>IF(ISNUMBER('CS6'!O20),'CS6'!O20,"n.d.")</f>
        <v>1040</v>
      </c>
      <c r="N89" s="578">
        <f>IF(ISNUMBER('CS6'!O20),'CS6'!O20,"n.d.")</f>
        <v>1040</v>
      </c>
      <c r="O89" s="583"/>
    </row>
    <row r="90" spans="1:15" ht="21.75" hidden="1" customHeight="1" x14ac:dyDescent="0.55000000000000004">
      <c r="A90" s="543" t="s">
        <v>448</v>
      </c>
      <c r="B90" s="543" t="s">
        <v>467</v>
      </c>
      <c r="C90" s="582">
        <f>IF(ISNUMBER('Turbinas CS'!G19),'Turbinas CS'!G19,"n.d.")</f>
        <v>0.13800000000000001</v>
      </c>
      <c r="D90" s="582">
        <f>IF(ISNUMBER('Turbinas CS'!G19),'Turbinas CS'!G19,"n.d.")</f>
        <v>0.13800000000000001</v>
      </c>
      <c r="E90" s="582">
        <f>IF(ISNUMBER('Turbinas CS'!G19),'Turbinas CS'!G19,"n.d.")</f>
        <v>0.13800000000000001</v>
      </c>
      <c r="F90" s="582">
        <f>IF(ISNUMBER('Turbinas CS'!G19),'Turbinas CS'!G19,"n.d.")</f>
        <v>0.13800000000000001</v>
      </c>
      <c r="G90" s="582">
        <f>IF(ISNUMBER('Turbinas CS'!G19),'Turbinas CS'!G19,"n.d.")</f>
        <v>0.13800000000000001</v>
      </c>
      <c r="H90" s="582">
        <f>IF(ISNUMBER('Turbinas CS'!G19),'Turbinas CS'!G19,"n.d.")</f>
        <v>0.13800000000000001</v>
      </c>
      <c r="I90" s="582">
        <f>IF(ISNUMBER('Turbinas CS'!G19),'Turbinas CS'!G19,"n.d.")</f>
        <v>0.13800000000000001</v>
      </c>
      <c r="J90" s="582">
        <f>IF(ISNUMBER('Turbinas CS'!G19),'Turbinas CS'!G19,"n.d.")</f>
        <v>0.13800000000000001</v>
      </c>
      <c r="K90" s="582">
        <f>IF(ISNUMBER('Turbinas CS'!G19),'Turbinas CS'!G19,"n.d.")</f>
        <v>0.13800000000000001</v>
      </c>
      <c r="L90" s="582">
        <f>IF(ISNUMBER('Turbinas CS'!G19),'Turbinas CS'!G19,"n.d.")</f>
        <v>0.13800000000000001</v>
      </c>
      <c r="M90" s="582">
        <f>IF(ISNUMBER('Turbinas CS'!G19),'Turbinas CS'!G19,"n.d.")</f>
        <v>0.13800000000000001</v>
      </c>
      <c r="N90" s="582">
        <f>IF(ISNUMBER('Turbinas CS'!G19),'Turbinas CS'!G19,"n.d.")</f>
        <v>0.13800000000000001</v>
      </c>
      <c r="O90" s="583"/>
    </row>
    <row r="91" spans="1:15" ht="21.75" hidden="1" customHeight="1" x14ac:dyDescent="0.55000000000000004">
      <c r="A91" s="543" t="s">
        <v>449</v>
      </c>
      <c r="B91" s="543" t="s">
        <v>467</v>
      </c>
      <c r="C91" s="582">
        <f>IF(ISNUMBER('Cálculos SJ'!H31),'Cálculos SJ'!H31,"n.d.")</f>
        <v>0.15</v>
      </c>
      <c r="D91" s="582">
        <f>IF(ISNUMBER('Cálculos SJ'!H31),'Cálculos SJ'!H31,"n.d.")</f>
        <v>0.15</v>
      </c>
      <c r="E91" s="582">
        <f>IF(ISNUMBER('Cálculos SJ'!H31),'Cálculos SJ'!H31,"n.d.")</f>
        <v>0.15</v>
      </c>
      <c r="F91" s="582">
        <f>IF(ISNUMBER('Cálculos SJ'!H31),'Cálculos SJ'!H31,"n.d.")</f>
        <v>0.15</v>
      </c>
      <c r="G91" s="582">
        <f>IF(ISNUMBER('Cálculos SJ'!H31),'Cálculos SJ'!H31,"n.d.")</f>
        <v>0.15</v>
      </c>
      <c r="H91" s="582">
        <f>IF(ISNUMBER('Cálculos SJ'!H31),'Cálculos SJ'!H31,"n.d.")</f>
        <v>0.15</v>
      </c>
      <c r="I91" s="582">
        <f>IF(ISNUMBER('Cálculos SJ'!H31),'Cálculos SJ'!H31,"n.d.")</f>
        <v>0.15</v>
      </c>
      <c r="J91" s="582">
        <f>IF(ISNUMBER('Cálculos SJ'!H31),'Cálculos SJ'!H31,"n.d.")</f>
        <v>0.15</v>
      </c>
      <c r="K91" s="582">
        <f>IF(ISNUMBER('Cálculos SJ'!H31),'Cálculos SJ'!H31,"n.d.")</f>
        <v>0.15</v>
      </c>
      <c r="L91" s="582">
        <f>IF(ISNUMBER('Cálculos SJ'!H31),'Cálculos SJ'!H31,"n.d.")</f>
        <v>0.15</v>
      </c>
      <c r="M91" s="582">
        <f>IF(ISNUMBER('Cálculos SJ'!H31),'Cálculos SJ'!H31,"n.d.")</f>
        <v>0.15</v>
      </c>
      <c r="N91" s="582">
        <f>IF(ISNUMBER('Cálculos SJ'!H31),'Cálculos SJ'!H31,"n.d.")</f>
        <v>0.15</v>
      </c>
      <c r="O91" s="583"/>
    </row>
    <row r="92" spans="1:15" ht="21.75" hidden="1" customHeight="1" x14ac:dyDescent="0.55000000000000004">
      <c r="A92" s="543" t="s">
        <v>450</v>
      </c>
      <c r="B92" s="543" t="s">
        <v>467</v>
      </c>
      <c r="C92" s="582">
        <f>IF(ISNUMBER('Cálculos SJ5'!E20),'Cálculos SJ5'!E20,"n.d.")</f>
        <v>0.13800000000000001</v>
      </c>
      <c r="D92" s="582">
        <f>IF(ISNUMBER('Cálculos SJ5'!E20),'Cálculos SJ5'!E20,"n.d.")</f>
        <v>0.13800000000000001</v>
      </c>
      <c r="E92" s="582">
        <f>IF(ISNUMBER('Cálculos SJ5'!E20),'Cálculos SJ5'!E20,"n.d.")</f>
        <v>0.13800000000000001</v>
      </c>
      <c r="F92" s="582">
        <f>IF(ISNUMBER('Cálculos SJ5'!E20),'Cálculos SJ5'!E20,"n.d.")</f>
        <v>0.13800000000000001</v>
      </c>
      <c r="G92" s="582">
        <f>IF(ISNUMBER('Cálculos SJ5'!E20),'Cálculos SJ5'!E20,"n.d.")</f>
        <v>0.13800000000000001</v>
      </c>
      <c r="H92" s="582">
        <f>IF(ISNUMBER('Cálculos SJ5'!E20),'Cálculos SJ5'!E20,"n.d.")</f>
        <v>0.13800000000000001</v>
      </c>
      <c r="I92" s="582">
        <f>IF(ISNUMBER('Cálculos SJ5'!E20),'Cálculos SJ5'!E20,"n.d.")</f>
        <v>0.13800000000000001</v>
      </c>
      <c r="J92" s="582">
        <f>IF(ISNUMBER('Cálculos SJ5'!E20),'Cálculos SJ5'!E20,"n.d.")</f>
        <v>0.13800000000000001</v>
      </c>
      <c r="K92" s="582">
        <f>IF(ISNUMBER('Cálculos SJ5'!E20),'Cálculos SJ5'!E20,"n.d.")</f>
        <v>0.13800000000000001</v>
      </c>
      <c r="L92" s="582">
        <f>IF(ISNUMBER('Cálculos SJ5'!E20),'Cálculos SJ5'!E20,"n.d.")</f>
        <v>0.13800000000000001</v>
      </c>
      <c r="M92" s="582">
        <f>IF(ISNUMBER('Cálculos SJ5'!E20),'Cálculos SJ5'!E20,"n.d.")</f>
        <v>0.13800000000000001</v>
      </c>
      <c r="N92" s="582">
        <f>IF(ISNUMBER('Cálculos SJ5'!E20),'Cálculos SJ5'!E20,"n.d.")</f>
        <v>0.13800000000000001</v>
      </c>
      <c r="O92" s="583"/>
    </row>
    <row r="93" spans="1:15" ht="21.75" hidden="1" customHeight="1" x14ac:dyDescent="0.55000000000000004">
      <c r="A93" s="543" t="s">
        <v>451</v>
      </c>
      <c r="B93" s="543" t="s">
        <v>468</v>
      </c>
      <c r="C93" s="578">
        <f>IF(ISNUMBER('Cálculos SJ5'!O20),'Cálculos SJ5'!O20,"n.d.")</f>
        <v>1020</v>
      </c>
      <c r="D93" s="578">
        <f>IF(ISNUMBER('Cálculos SJ5'!O20),'Cálculos SJ5'!O20,"n.d.")</f>
        <v>1020</v>
      </c>
      <c r="E93" s="578">
        <f>IF(ISNUMBER('Cálculos SJ5'!O20),'Cálculos SJ5'!O20,"n.d.")</f>
        <v>1020</v>
      </c>
      <c r="F93" s="578">
        <f>IF(ISNUMBER('Cálculos SJ5'!O20),'Cálculos SJ5'!O20,"n.d.")</f>
        <v>1020</v>
      </c>
      <c r="G93" s="578">
        <f>IF(ISNUMBER('Cálculos SJ5'!O20),'Cálculos SJ5'!O20,"n.d.")</f>
        <v>1020</v>
      </c>
      <c r="H93" s="578">
        <f>IF(ISNUMBER('Cálculos SJ5'!O20),'Cálculos SJ5'!O20,"n.d.")</f>
        <v>1020</v>
      </c>
      <c r="I93" s="578">
        <f>IF(ISNUMBER('Cálculos SJ5'!O20),'Cálculos SJ5'!O20,"n.d.")</f>
        <v>1020</v>
      </c>
      <c r="J93" s="578">
        <f>IF(ISNUMBER('Cálculos SJ5'!O20),'Cálculos SJ5'!O20,"n.d.")</f>
        <v>1020</v>
      </c>
      <c r="K93" s="578">
        <f>IF(ISNUMBER('Cálculos SJ5'!O20),'Cálculos SJ5'!O20,"n.d.")</f>
        <v>1020</v>
      </c>
      <c r="L93" s="578">
        <f>IF(ISNUMBER('Cálculos SJ5'!O20),'Cálculos SJ5'!O20,"n.d.")</f>
        <v>1020</v>
      </c>
      <c r="M93" s="578">
        <f>IF(ISNUMBER('Cálculos SJ5'!O20),'Cálculos SJ5'!O20,"n.d.")</f>
        <v>1020</v>
      </c>
      <c r="N93" s="578">
        <f>IF(ISNUMBER('Cálculos SJ5'!O20),'Cálculos SJ5'!O20,"n.d.")</f>
        <v>1020</v>
      </c>
      <c r="O93" s="583"/>
    </row>
    <row r="94" spans="1:15" ht="21.75" hidden="1" customHeight="1" x14ac:dyDescent="0.55000000000000004">
      <c r="A94" s="543" t="s">
        <v>452</v>
      </c>
      <c r="B94" s="543" t="s">
        <v>467</v>
      </c>
      <c r="C94" s="582">
        <f>IF(ISNUMBER('Cálculos SJ6'!E20),'Cálculos SJ6'!E20,"n.d.")</f>
        <v>0.13800000000000001</v>
      </c>
      <c r="D94" s="582">
        <f>IF(ISNUMBER('Cálculos SJ6'!E20),'Cálculos SJ6'!E20,"n.d.")</f>
        <v>0.13800000000000001</v>
      </c>
      <c r="E94" s="582">
        <f>IF(ISNUMBER('Cálculos SJ6'!E20),'Cálculos SJ6'!E20,"n.d.")</f>
        <v>0.13800000000000001</v>
      </c>
      <c r="F94" s="582">
        <f>IF(ISNUMBER('Cálculos SJ6'!E20),'Cálculos SJ6'!E20,"n.d.")</f>
        <v>0.13800000000000001</v>
      </c>
      <c r="G94" s="582">
        <f>IF(ISNUMBER('Cálculos SJ6'!E20),'Cálculos SJ6'!E20,"n.d.")</f>
        <v>0.13800000000000001</v>
      </c>
      <c r="H94" s="582">
        <f>IF(ISNUMBER('Cálculos SJ6'!E20),'Cálculos SJ6'!E20,"n.d.")</f>
        <v>0.13800000000000001</v>
      </c>
      <c r="I94" s="582">
        <f>IF(ISNUMBER('Cálculos SJ6'!E20),'Cálculos SJ6'!E20,"n.d.")</f>
        <v>0.13800000000000001</v>
      </c>
      <c r="J94" s="582">
        <f>IF(ISNUMBER('Cálculos SJ6'!E20),'Cálculos SJ6'!E20,"n.d.")</f>
        <v>0.13800000000000001</v>
      </c>
      <c r="K94" s="582">
        <f>IF(ISNUMBER('Cálculos SJ6'!E20),'Cálculos SJ6'!E20,"n.d.")</f>
        <v>0.13800000000000001</v>
      </c>
      <c r="L94" s="582">
        <f>IF(ISNUMBER('Cálculos SJ6'!E20),'Cálculos SJ6'!E20,"n.d.")</f>
        <v>0.13800000000000001</v>
      </c>
      <c r="M94" s="582">
        <f>IF(ISNUMBER('Cálculos SJ6'!E20),'Cálculos SJ6'!E20,"n.d.")</f>
        <v>0.13800000000000001</v>
      </c>
      <c r="N94" s="582">
        <f>IF(ISNUMBER('Cálculos SJ6'!E20),'Cálculos SJ6'!E20,"n.d.")</f>
        <v>0.13800000000000001</v>
      </c>
      <c r="O94" s="583"/>
    </row>
    <row r="95" spans="1:15" ht="21.75" hidden="1" customHeight="1" x14ac:dyDescent="0.55000000000000004">
      <c r="A95" s="543" t="s">
        <v>453</v>
      </c>
      <c r="B95" s="543" t="s">
        <v>468</v>
      </c>
      <c r="C95" s="578">
        <f>IF(ISNUMBER('Cálculos SJ6'!O20),'Cálculos SJ6'!O20,"n.d.")</f>
        <v>1020</v>
      </c>
      <c r="D95" s="578">
        <f>IF(ISNUMBER('Cálculos SJ6'!O20),'Cálculos SJ6'!O20,"n.d.")</f>
        <v>1020</v>
      </c>
      <c r="E95" s="578">
        <f>IF(ISNUMBER('Cálculos SJ6'!O20),'Cálculos SJ6'!O20,"n.d.")</f>
        <v>1020</v>
      </c>
      <c r="F95" s="578">
        <f>IF(ISNUMBER('Cálculos SJ6'!O20),'Cálculos SJ6'!O20,"n.d.")</f>
        <v>1020</v>
      </c>
      <c r="G95" s="578">
        <f>IF(ISNUMBER('Cálculos SJ6'!O20),'Cálculos SJ6'!O20,"n.d.")</f>
        <v>1020</v>
      </c>
      <c r="H95" s="578">
        <f>IF(ISNUMBER('Cálculos SJ6'!O20),'Cálculos SJ6'!O20,"n.d.")</f>
        <v>1020</v>
      </c>
      <c r="I95" s="578">
        <f>IF(ISNUMBER('Cálculos SJ6'!O20),'Cálculos SJ6'!O20,"n.d.")</f>
        <v>1020</v>
      </c>
      <c r="J95" s="578">
        <f>IF(ISNUMBER('Cálculos SJ6'!O20),'Cálculos SJ6'!O20,"n.d.")</f>
        <v>1020</v>
      </c>
      <c r="K95" s="578">
        <f>IF(ISNUMBER('Cálculos SJ6'!O20),'Cálculos SJ6'!O20,"n.d.")</f>
        <v>1020</v>
      </c>
      <c r="L95" s="578">
        <f>IF(ISNUMBER('Cálculos SJ6'!O20),'Cálculos SJ6'!O20,"n.d.")</f>
        <v>1020</v>
      </c>
      <c r="M95" s="578">
        <f>IF(ISNUMBER('Cálculos SJ6'!O20),'Cálculos SJ6'!O20,"n.d.")</f>
        <v>1020</v>
      </c>
      <c r="N95" s="578">
        <f>IF(ISNUMBER('Cálculos SJ6'!O20),'Cálculos SJ6'!O20,"n.d.")</f>
        <v>1020</v>
      </c>
      <c r="O95" s="583"/>
    </row>
    <row r="96" spans="1:15" ht="21.75" hidden="1" customHeight="1" x14ac:dyDescent="0.55000000000000004">
      <c r="A96" s="543" t="s">
        <v>454</v>
      </c>
      <c r="B96" s="543" t="s">
        <v>467</v>
      </c>
      <c r="C96" s="582">
        <f>IF(ISNUMBER('Cálculos AG'!F38),'Cálculos AG'!F38,IFERROR(VALUE(LEFT('Cálculos AG'!F38,FIND(" ",'Cálculos AG'!F38&amp;" ")-1)),"n.d."))</f>
        <v>0.15</v>
      </c>
      <c r="D96" s="582">
        <f>IF(ISNUMBER('Cálculos AG'!F38),'Cálculos AG'!F38,IFERROR(VALUE(LEFT('Cálculos AG'!F38,FIND(" ",'Cálculos AG'!F38&amp;" ")-1)),"n.d."))</f>
        <v>0.15</v>
      </c>
      <c r="E96" s="582">
        <f>IF(ISNUMBER('Cálculos AG'!F38),'Cálculos AG'!F38,IFERROR(VALUE(LEFT('Cálculos AG'!F38,FIND(" ",'Cálculos AG'!F38&amp;" ")-1)),"n.d."))</f>
        <v>0.15</v>
      </c>
      <c r="F96" s="582">
        <f>IF(ISNUMBER('Cálculos AG'!F38),'Cálculos AG'!F38,IFERROR(VALUE(LEFT('Cálculos AG'!F38,FIND(" ",'Cálculos AG'!F38&amp;" ")-1)),"n.d."))</f>
        <v>0.15</v>
      </c>
      <c r="G96" s="582">
        <f>IF(ISNUMBER('Cálculos AG'!F38),'Cálculos AG'!F38,IFERROR(VALUE(LEFT('Cálculos AG'!F38,FIND(" ",'Cálculos AG'!F38&amp;" ")-1)),"n.d."))</f>
        <v>0.15</v>
      </c>
      <c r="H96" s="582">
        <f>IF(ISNUMBER('Cálculos AG'!F38),'Cálculos AG'!F38,IFERROR(VALUE(LEFT('Cálculos AG'!F38,FIND(" ",'Cálculos AG'!F38&amp;" ")-1)),"n.d."))</f>
        <v>0.15</v>
      </c>
      <c r="I96" s="582">
        <f>IF(ISNUMBER('Cálculos AG'!F38),'Cálculos AG'!F38,IFERROR(VALUE(LEFT('Cálculos AG'!F38,FIND(" ",'Cálculos AG'!F38&amp;" ")-1)),"n.d."))</f>
        <v>0.15</v>
      </c>
      <c r="J96" s="582">
        <f>IF(ISNUMBER('Cálculos AG'!F38),'Cálculos AG'!F38,IFERROR(VALUE(LEFT('Cálculos AG'!F38,FIND(" ",'Cálculos AG'!F38&amp;" ")-1)),"n.d."))</f>
        <v>0.15</v>
      </c>
      <c r="K96" s="582">
        <f>IF(ISNUMBER('Cálculos AG'!F38),'Cálculos AG'!F38,IFERROR(VALUE(LEFT('Cálculos AG'!F38,FIND(" ",'Cálculos AG'!F38&amp;" ")-1)),"n.d."))</f>
        <v>0.15</v>
      </c>
      <c r="L96" s="582">
        <f>IF(ISNUMBER('Cálculos AG'!F38),'Cálculos AG'!F38,IFERROR(VALUE(LEFT('Cálculos AG'!F38,FIND(" ",'Cálculos AG'!F38&amp;" ")-1)),"n.d."))</f>
        <v>0.15</v>
      </c>
      <c r="M96" s="582">
        <f>IF(ISNUMBER('Cálculos AG'!F38),'Cálculos AG'!F38,IFERROR(VALUE(LEFT('Cálculos AG'!F38,FIND(" ",'Cálculos AG'!F38&amp;" ")-1)),"n.d."))</f>
        <v>0.15</v>
      </c>
      <c r="N96" s="582">
        <f>IF(ISNUMBER('Cálculos AG'!F38),'Cálculos AG'!F38,IFERROR(VALUE(LEFT('Cálculos AG'!F38,FIND(" ",'Cálculos AG'!F38&amp;" ")-1)),"n.d."))</f>
        <v>0.15</v>
      </c>
      <c r="O96" s="583"/>
    </row>
    <row r="97" spans="1:15" ht="21.75" hidden="1" customHeight="1" x14ac:dyDescent="0.55000000000000004">
      <c r="A97" s="543" t="s">
        <v>455</v>
      </c>
      <c r="B97" s="543" t="s">
        <v>467</v>
      </c>
      <c r="C97" s="582">
        <f>IF(ISNUMBER('Cálculos AG'!O18),'Cálculos AG'!O18,"n.d.")</f>
        <v>0.13800000000000001</v>
      </c>
      <c r="D97" s="582">
        <f>IF(ISNUMBER('Cálculos AG'!O18),'Cálculos AG'!O18,"n.d.")</f>
        <v>0.13800000000000001</v>
      </c>
      <c r="E97" s="582">
        <f>IF(ISNUMBER('Cálculos AG'!O18),'Cálculos AG'!O18,"n.d.")</f>
        <v>0.13800000000000001</v>
      </c>
      <c r="F97" s="582">
        <f>IF(ISNUMBER('Cálculos AG'!O18),'Cálculos AG'!O18,"n.d.")</f>
        <v>0.13800000000000001</v>
      </c>
      <c r="G97" s="582">
        <f>IF(ISNUMBER('Cálculos AG'!O18),'Cálculos AG'!O18,"n.d.")</f>
        <v>0.13800000000000001</v>
      </c>
      <c r="H97" s="582">
        <f>IF(ISNUMBER('Cálculos AG'!O18),'Cálculos AG'!O18,"n.d.")</f>
        <v>0.13800000000000001</v>
      </c>
      <c r="I97" s="582">
        <f>IF(ISNUMBER('Cálculos AG'!O18),'Cálculos AG'!O18,"n.d.")</f>
        <v>0.13800000000000001</v>
      </c>
      <c r="J97" s="582">
        <f>IF(ISNUMBER('Cálculos AG'!O18),'Cálculos AG'!O18,"n.d.")</f>
        <v>0.13800000000000001</v>
      </c>
      <c r="K97" s="582">
        <f>IF(ISNUMBER('Cálculos AG'!O18),'Cálculos AG'!O18,"n.d.")</f>
        <v>0.13800000000000001</v>
      </c>
      <c r="L97" s="582">
        <f>IF(ISNUMBER('Cálculos AG'!O18),'Cálculos AG'!O18,"n.d.")</f>
        <v>0.13800000000000001</v>
      </c>
      <c r="M97" s="582">
        <f>IF(ISNUMBER('Cálculos AG'!O18),'Cálculos AG'!O18,"n.d.")</f>
        <v>0.13800000000000001</v>
      </c>
      <c r="N97" s="582">
        <f>IF(ISNUMBER('Cálculos AG'!O18),'Cálculos AG'!O18,"n.d.")</f>
        <v>0.13800000000000001</v>
      </c>
      <c r="O97" s="583"/>
    </row>
    <row r="98" spans="1:15" ht="21.75" hidden="1" customHeight="1" x14ac:dyDescent="0.55000000000000004">
      <c r="A98" s="543" t="s">
        <v>456</v>
      </c>
      <c r="B98" s="543" t="s">
        <v>467</v>
      </c>
      <c r="C98" s="582">
        <f>IF(ISNUMBER('Cálculos PS'!F38),'Cálculos PS'!F38,IFERROR(VALUE(LEFT('Cálculos PS'!F38,FIND(" ",'Cálculos PS'!F38&amp;" ")-1)),"n.d."))</f>
        <v>0.15</v>
      </c>
      <c r="D98" s="582">
        <f>IF(ISNUMBER('Cálculos PS'!F38),'Cálculos PS'!F38,IFERROR(VALUE(LEFT('Cálculos PS'!F38,FIND(" ",'Cálculos PS'!F38&amp;" ")-1)),"n.d."))</f>
        <v>0.15</v>
      </c>
      <c r="E98" s="582">
        <f>IF(ISNUMBER('Cálculos PS'!F38),'Cálculos PS'!F38,IFERROR(VALUE(LEFT('Cálculos PS'!F38,FIND(" ",'Cálculos PS'!F38&amp;" ")-1)),"n.d."))</f>
        <v>0.15</v>
      </c>
      <c r="F98" s="582">
        <f>IF(ISNUMBER('Cálculos PS'!F38),'Cálculos PS'!F38,IFERROR(VALUE(LEFT('Cálculos PS'!F38,FIND(" ",'Cálculos PS'!F38&amp;" ")-1)),"n.d."))</f>
        <v>0.15</v>
      </c>
      <c r="G98" s="582">
        <f>IF(ISNUMBER('Cálculos PS'!F38),'Cálculos PS'!F38,IFERROR(VALUE(LEFT('Cálculos PS'!F38,FIND(" ",'Cálculos PS'!F38&amp;" ")-1)),"n.d."))</f>
        <v>0.15</v>
      </c>
      <c r="H98" s="582">
        <f>IF(ISNUMBER('Cálculos PS'!F38),'Cálculos PS'!F38,IFERROR(VALUE(LEFT('Cálculos PS'!F38,FIND(" ",'Cálculos PS'!F38&amp;" ")-1)),"n.d."))</f>
        <v>0.15</v>
      </c>
      <c r="I98" s="582">
        <f>IF(ISNUMBER('Cálculos PS'!F38),'Cálculos PS'!F38,IFERROR(VALUE(LEFT('Cálculos PS'!F38,FIND(" ",'Cálculos PS'!F38&amp;" ")-1)),"n.d."))</f>
        <v>0.15</v>
      </c>
      <c r="J98" s="582">
        <f>IF(ISNUMBER('Cálculos PS'!F38),'Cálculos PS'!F38,IFERROR(VALUE(LEFT('Cálculos PS'!F38,FIND(" ",'Cálculos PS'!F38&amp;" ")-1)),"n.d."))</f>
        <v>0.15</v>
      </c>
      <c r="K98" s="582">
        <f>IF(ISNUMBER('Cálculos PS'!F38),'Cálculos PS'!F38,IFERROR(VALUE(LEFT('Cálculos PS'!F38,FIND(" ",'Cálculos PS'!F38&amp;" ")-1)),"n.d."))</f>
        <v>0.15</v>
      </c>
      <c r="L98" s="582">
        <f>IF(ISNUMBER('Cálculos PS'!F38),'Cálculos PS'!F38,IFERROR(VALUE(LEFT('Cálculos PS'!F38,FIND(" ",'Cálculos PS'!F38&amp;" ")-1)),"n.d."))</f>
        <v>0.15</v>
      </c>
      <c r="M98" s="582">
        <f>IF(ISNUMBER('Cálculos PS'!F38),'Cálculos PS'!F38,IFERROR(VALUE(LEFT('Cálculos PS'!F38,FIND(" ",'Cálculos PS'!F38&amp;" ")-1)),"n.d."))</f>
        <v>0.15</v>
      </c>
      <c r="N98" s="582">
        <f>IF(ISNUMBER('Cálculos PS'!F38),'Cálculos PS'!F38,IFERROR(VALUE(LEFT('Cálculos PS'!F38,FIND(" ",'Cálculos PS'!F38&amp;" ")-1)),"n.d."))</f>
        <v>0.15</v>
      </c>
      <c r="O98" s="583"/>
    </row>
    <row r="99" spans="1:15" ht="21.75" hidden="1" customHeight="1" x14ac:dyDescent="0.55000000000000004">
      <c r="A99" s="543" t="s">
        <v>457</v>
      </c>
      <c r="B99" s="543" t="s">
        <v>467</v>
      </c>
      <c r="C99" s="582">
        <f>IF(ISNUMBER('Cálculos PS'!N18),'Cálculos PS'!N18,"n.d.")</f>
        <v>0.13800000000000001</v>
      </c>
      <c r="D99" s="582">
        <f>IF(ISNUMBER('Cálculos PS'!N18),'Cálculos PS'!N18,"n.d.")</f>
        <v>0.13800000000000001</v>
      </c>
      <c r="E99" s="582">
        <f>IF(ISNUMBER('Cálculos PS'!N18),'Cálculos PS'!N18,"n.d.")</f>
        <v>0.13800000000000001</v>
      </c>
      <c r="F99" s="582">
        <f>IF(ISNUMBER('Cálculos PS'!N18),'Cálculos PS'!N18,"n.d.")</f>
        <v>0.13800000000000001</v>
      </c>
      <c r="G99" s="582">
        <f>IF(ISNUMBER('Cálculos PS'!N18),'Cálculos PS'!N18,"n.d.")</f>
        <v>0.13800000000000001</v>
      </c>
      <c r="H99" s="582">
        <f>IF(ISNUMBER('Cálculos PS'!N18),'Cálculos PS'!N18,"n.d.")</f>
        <v>0.13800000000000001</v>
      </c>
      <c r="I99" s="582">
        <f>IF(ISNUMBER('Cálculos PS'!N18),'Cálculos PS'!N18,"n.d.")</f>
        <v>0.13800000000000001</v>
      </c>
      <c r="J99" s="582">
        <f>IF(ISNUMBER('Cálculos PS'!N18),'Cálculos PS'!N18,"n.d.")</f>
        <v>0.13800000000000001</v>
      </c>
      <c r="K99" s="582">
        <f>IF(ISNUMBER('Cálculos PS'!N18),'Cálculos PS'!N18,"n.d.")</f>
        <v>0.13800000000000001</v>
      </c>
      <c r="L99" s="582">
        <f>IF(ISNUMBER('Cálculos PS'!N18),'Cálculos PS'!N18,"n.d.")</f>
        <v>0.13800000000000001</v>
      </c>
      <c r="M99" s="582">
        <f>IF(ISNUMBER('Cálculos PS'!N18),'Cálculos PS'!N18,"n.d.")</f>
        <v>0.13800000000000001</v>
      </c>
      <c r="N99" s="582">
        <f>IF(ISNUMBER('Cálculos PS'!N18),'Cálculos PS'!N18,"n.d.")</f>
        <v>0.13800000000000001</v>
      </c>
      <c r="O99" s="583"/>
    </row>
    <row r="100" spans="1:15" ht="21.75" hidden="1" customHeight="1" x14ac:dyDescent="0.55000000000000004">
      <c r="A100" s="543" t="s">
        <v>458</v>
      </c>
      <c r="B100" s="543" t="s">
        <v>467</v>
      </c>
      <c r="C100" s="582">
        <f>IF(ISNUMBER('MPs PS'!E20),'MPs PS'!E20,"n.d.")</f>
        <v>0.13800000000000001</v>
      </c>
      <c r="D100" s="582">
        <f>IF(ISNUMBER('MPs PS'!E20),'MPs PS'!E20,"n.d.")</f>
        <v>0.13800000000000001</v>
      </c>
      <c r="E100" s="582">
        <f>IF(ISNUMBER('MPs PS'!E20),'MPs PS'!E20,"n.d.")</f>
        <v>0.13800000000000001</v>
      </c>
      <c r="F100" s="582">
        <f>IF(ISNUMBER('MPs PS'!E20),'MPs PS'!E20,"n.d.")</f>
        <v>0.13800000000000001</v>
      </c>
      <c r="G100" s="582">
        <f>IF(ISNUMBER('MPs PS'!E20),'MPs PS'!E20,"n.d.")</f>
        <v>0.13800000000000001</v>
      </c>
      <c r="H100" s="582">
        <f>IF(ISNUMBER('MPs PS'!E20),'MPs PS'!E20,"n.d.")</f>
        <v>0.13800000000000001</v>
      </c>
      <c r="I100" s="582">
        <f>IF(ISNUMBER('MPs PS'!E20),'MPs PS'!E20,"n.d.")</f>
        <v>0.13800000000000001</v>
      </c>
      <c r="J100" s="582">
        <f>IF(ISNUMBER('MPs PS'!E20),'MPs PS'!E20,"n.d.")</f>
        <v>0.13800000000000001</v>
      </c>
      <c r="K100" s="582">
        <f>IF(ISNUMBER('MPs PS'!E20),'MPs PS'!E20,"n.d.")</f>
        <v>0.13800000000000001</v>
      </c>
      <c r="L100" s="582">
        <f>IF(ISNUMBER('MPs PS'!E20),'MPs PS'!E20,"n.d.")</f>
        <v>0.13800000000000001</v>
      </c>
      <c r="M100" s="582">
        <f>IF(ISNUMBER('MPs PS'!E20),'MPs PS'!E20,"n.d.")</f>
        <v>0.13800000000000001</v>
      </c>
      <c r="N100" s="582">
        <f>IF(ISNUMBER('MPs PS'!E20),'MPs PS'!E20,"n.d.")</f>
        <v>0.13800000000000001</v>
      </c>
      <c r="O100" s="583"/>
    </row>
    <row r="101" spans="1:15" ht="21.75" hidden="1" customHeight="1" x14ac:dyDescent="0.55000000000000004">
      <c r="A101" s="543" t="s">
        <v>459</v>
      </c>
      <c r="B101" s="543" t="s">
        <v>468</v>
      </c>
      <c r="C101" s="578">
        <f>IF(ISNUMBER('MPs PS'!O20),'MPs PS'!O20,"n.d.")</f>
        <v>1026</v>
      </c>
      <c r="D101" s="578">
        <f>IF(ISNUMBER('MPs PS'!O20),'MPs PS'!O20,"n.d.")</f>
        <v>1026</v>
      </c>
      <c r="E101" s="578">
        <f>IF(ISNUMBER('MPs PS'!O20),'MPs PS'!O20,"n.d.")</f>
        <v>1026</v>
      </c>
      <c r="F101" s="578">
        <f>IF(ISNUMBER('MPs PS'!O20),'MPs PS'!O20,"n.d.")</f>
        <v>1026</v>
      </c>
      <c r="G101" s="578">
        <f>IF(ISNUMBER('MPs PS'!O20),'MPs PS'!O20,"n.d.")</f>
        <v>1026</v>
      </c>
      <c r="H101" s="578">
        <f>IF(ISNUMBER('MPs PS'!O20),'MPs PS'!O20,"n.d.")</f>
        <v>1026</v>
      </c>
      <c r="I101" s="578">
        <f>IF(ISNUMBER('MPs PS'!O20),'MPs PS'!O20,"n.d.")</f>
        <v>1026</v>
      </c>
      <c r="J101" s="578">
        <f>IF(ISNUMBER('MPs PS'!O20),'MPs PS'!O20,"n.d.")</f>
        <v>1026</v>
      </c>
      <c r="K101" s="578">
        <f>IF(ISNUMBER('MPs PS'!O20),'MPs PS'!O20,"n.d.")</f>
        <v>1026</v>
      </c>
      <c r="L101" s="578">
        <f>IF(ISNUMBER('MPs PS'!O20),'MPs PS'!O20,"n.d.")</f>
        <v>1026</v>
      </c>
      <c r="M101" s="578">
        <f>IF(ISNUMBER('MPs PS'!O20),'MPs PS'!O20,"n.d.")</f>
        <v>1026</v>
      </c>
      <c r="N101" s="578">
        <f>IF(ISNUMBER('MPs PS'!O20),'MPs PS'!O20,"n.d.")</f>
        <v>1026</v>
      </c>
      <c r="O101" s="583"/>
    </row>
    <row r="102" spans="1:15" ht="21.75" hidden="1" customHeight="1" x14ac:dyDescent="0.55000000000000004">
      <c r="A102" s="543" t="s">
        <v>460</v>
      </c>
      <c r="B102" s="543" t="s">
        <v>467</v>
      </c>
      <c r="C102" s="582">
        <v>0.13800000000000001</v>
      </c>
      <c r="D102" s="582">
        <v>0.13800000000000001</v>
      </c>
      <c r="E102" s="582">
        <v>0.13800000000000001</v>
      </c>
      <c r="F102" s="582">
        <v>0.13800000000000001</v>
      </c>
      <c r="G102" s="582">
        <v>0.13800000000000001</v>
      </c>
      <c r="H102" s="582">
        <v>0.13800000000000001</v>
      </c>
      <c r="I102" s="582">
        <v>0.13800000000000001</v>
      </c>
      <c r="J102" s="582">
        <v>0.13800000000000001</v>
      </c>
      <c r="K102" s="582">
        <v>0.13800000000000001</v>
      </c>
      <c r="L102" s="582">
        <v>0.13800000000000001</v>
      </c>
      <c r="M102" s="582">
        <v>0.13800000000000001</v>
      </c>
      <c r="N102" s="582">
        <v>0.13800000000000001</v>
      </c>
      <c r="O102" s="583"/>
    </row>
    <row r="103" spans="1:15" ht="21.75" hidden="1" customHeight="1" x14ac:dyDescent="0.55000000000000004">
      <c r="A103" s="543" t="s">
        <v>461</v>
      </c>
      <c r="B103" s="543" t="s">
        <v>467</v>
      </c>
      <c r="C103" s="582">
        <f>IF(ISNUMBER('Cálculos Daguao'!F19),'Cálculos Daguao'!F19,"n.d.")</f>
        <v>0.13800000000000001</v>
      </c>
      <c r="D103" s="582">
        <f>IF(ISNUMBER('Cálculos Daguao'!F19),'Cálculos Daguao'!F19,"n.d.")</f>
        <v>0.13800000000000001</v>
      </c>
      <c r="E103" s="582">
        <f>IF(ISNUMBER('Cálculos Daguao'!F19),'Cálculos Daguao'!F19,"n.d.")</f>
        <v>0.13800000000000001</v>
      </c>
      <c r="F103" s="582">
        <f>IF(ISNUMBER('Cálculos Daguao'!F19),'Cálculos Daguao'!F19,"n.d.")</f>
        <v>0.13800000000000001</v>
      </c>
      <c r="G103" s="582">
        <f>IF(ISNUMBER('Cálculos Daguao'!F19),'Cálculos Daguao'!F19,"n.d.")</f>
        <v>0.13800000000000001</v>
      </c>
      <c r="H103" s="582">
        <f>IF(ISNUMBER('Cálculos Daguao'!F19),'Cálculos Daguao'!F19,"n.d.")</f>
        <v>0.13800000000000001</v>
      </c>
      <c r="I103" s="582">
        <f>IF(ISNUMBER('Cálculos Daguao'!F19),'Cálculos Daguao'!F19,"n.d.")</f>
        <v>0.13800000000000001</v>
      </c>
      <c r="J103" s="582">
        <f>IF(ISNUMBER('Cálculos Daguao'!F19),'Cálculos Daguao'!F19,"n.d.")</f>
        <v>0.13800000000000001</v>
      </c>
      <c r="K103" s="582">
        <f>IF(ISNUMBER('Cálculos Daguao'!F19),'Cálculos Daguao'!F19,"n.d.")</f>
        <v>0.13800000000000001</v>
      </c>
      <c r="L103" s="582">
        <f>IF(ISNUMBER('Cálculos Daguao'!F19),'Cálculos Daguao'!F19,"n.d.")</f>
        <v>0.13800000000000001</v>
      </c>
      <c r="M103" s="582">
        <f>IF(ISNUMBER('Cálculos Daguao'!F19),'Cálculos Daguao'!F19,"n.d.")</f>
        <v>0.13800000000000001</v>
      </c>
      <c r="N103" s="582">
        <f>IF(ISNUMBER('Cálculos Daguao'!F19),'Cálculos Daguao'!F19,"n.d.")</f>
        <v>0.13800000000000001</v>
      </c>
      <c r="O103" s="583"/>
    </row>
    <row r="104" spans="1:15" ht="21.75" hidden="1" customHeight="1" x14ac:dyDescent="0.55000000000000004">
      <c r="A104" s="543" t="s">
        <v>462</v>
      </c>
      <c r="B104" s="543" t="s">
        <v>467</v>
      </c>
      <c r="C104" s="582">
        <f>IF(ISNUMBER('Cálculos Yabucoa'!F19),'Cálculos Yabucoa'!F19,"n.d.")</f>
        <v>0.13800000000000001</v>
      </c>
      <c r="D104" s="582">
        <f>IF(ISNUMBER('Cálculos Yabucoa'!F19),'Cálculos Yabucoa'!F19,"n.d.")</f>
        <v>0.13800000000000001</v>
      </c>
      <c r="E104" s="582">
        <f>IF(ISNUMBER('Cálculos Yabucoa'!F19),'Cálculos Yabucoa'!F19,"n.d.")</f>
        <v>0.13800000000000001</v>
      </c>
      <c r="F104" s="582">
        <f>IF(ISNUMBER('Cálculos Yabucoa'!F19),'Cálculos Yabucoa'!F19,"n.d.")</f>
        <v>0.13800000000000001</v>
      </c>
      <c r="G104" s="582">
        <f>IF(ISNUMBER('Cálculos Yabucoa'!F19),'Cálculos Yabucoa'!F19,"n.d.")</f>
        <v>0.13800000000000001</v>
      </c>
      <c r="H104" s="582">
        <f>IF(ISNUMBER('Cálculos Yabucoa'!F19),'Cálculos Yabucoa'!F19,"n.d.")</f>
        <v>0.13800000000000001</v>
      </c>
      <c r="I104" s="582">
        <f>IF(ISNUMBER('Cálculos Yabucoa'!F19),'Cálculos Yabucoa'!F19,"n.d.")</f>
        <v>0.13800000000000001</v>
      </c>
      <c r="J104" s="582">
        <f>IF(ISNUMBER('Cálculos Yabucoa'!F19),'Cálculos Yabucoa'!F19,"n.d.")</f>
        <v>0.13800000000000001</v>
      </c>
      <c r="K104" s="582">
        <f>IF(ISNUMBER('Cálculos Yabucoa'!F19),'Cálculos Yabucoa'!F19,"n.d.")</f>
        <v>0.13800000000000001</v>
      </c>
      <c r="L104" s="582">
        <f>IF(ISNUMBER('Cálculos Yabucoa'!F19),'Cálculos Yabucoa'!F19,"n.d.")</f>
        <v>0.13800000000000001</v>
      </c>
      <c r="M104" s="582">
        <f>IF(ISNUMBER('Cálculos Yabucoa'!F19),'Cálculos Yabucoa'!F19,"n.d.")</f>
        <v>0.13800000000000001</v>
      </c>
      <c r="N104" s="582">
        <f>IF(ISNUMBER('Cálculos Yabucoa'!F19),'Cálculos Yabucoa'!F19,"n.d.")</f>
        <v>0.13800000000000001</v>
      </c>
      <c r="O104" s="583"/>
    </row>
    <row r="105" spans="1:15" ht="21.75" hidden="1" customHeight="1" x14ac:dyDescent="0.55000000000000004">
      <c r="A105" s="543" t="s">
        <v>463</v>
      </c>
      <c r="B105" s="543" t="s">
        <v>467</v>
      </c>
      <c r="C105" s="582">
        <f>IF(ISNUMBER('Cálculos Vega Baja'!F19),'Cálculos Vega Baja'!F19,"n.d.")</f>
        <v>0.13800000000000001</v>
      </c>
      <c r="D105" s="582">
        <f>IF(ISNUMBER('Cálculos Vega Baja'!F19),'Cálculos Vega Baja'!F19,"n.d.")</f>
        <v>0.13800000000000001</v>
      </c>
      <c r="E105" s="582">
        <f>IF(ISNUMBER('Cálculos Vega Baja'!F19),'Cálculos Vega Baja'!F19,"n.d.")</f>
        <v>0.13800000000000001</v>
      </c>
      <c r="F105" s="582">
        <f>IF(ISNUMBER('Cálculos Vega Baja'!F19),'Cálculos Vega Baja'!F19,"n.d.")</f>
        <v>0.13800000000000001</v>
      </c>
      <c r="G105" s="582">
        <f>IF(ISNUMBER('Cálculos Vega Baja'!F19),'Cálculos Vega Baja'!F19,"n.d.")</f>
        <v>0.13800000000000001</v>
      </c>
      <c r="H105" s="582">
        <f>IF(ISNUMBER('Cálculos Vega Baja'!F19),'Cálculos Vega Baja'!F19,"n.d.")</f>
        <v>0.13800000000000001</v>
      </c>
      <c r="I105" s="582">
        <f>IF(ISNUMBER('Cálculos Vega Baja'!F19),'Cálculos Vega Baja'!F19,"n.d.")</f>
        <v>0.13800000000000001</v>
      </c>
      <c r="J105" s="582">
        <f>IF(ISNUMBER('Cálculos Vega Baja'!F19),'Cálculos Vega Baja'!F19,"n.d.")</f>
        <v>0.13800000000000001</v>
      </c>
      <c r="K105" s="582">
        <f>IF(ISNUMBER('Cálculos Vega Baja'!F19),'Cálculos Vega Baja'!F19,"n.d.")</f>
        <v>0.13800000000000001</v>
      </c>
      <c r="L105" s="582">
        <f>IF(ISNUMBER('Cálculos Vega Baja'!F19),'Cálculos Vega Baja'!F19,"n.d.")</f>
        <v>0.13800000000000001</v>
      </c>
      <c r="M105" s="582">
        <f>IF(ISNUMBER('Cálculos Vega Baja'!F19),'Cálculos Vega Baja'!F19,"n.d.")</f>
        <v>0.13800000000000001</v>
      </c>
      <c r="N105" s="582">
        <f>IF(ISNUMBER('Cálculos Vega Baja'!F19),'Cálculos Vega Baja'!F19,"n.d.")</f>
        <v>0.13800000000000001</v>
      </c>
      <c r="O105" s="583"/>
    </row>
    <row r="106" spans="1:15" ht="21.75" hidden="1" customHeight="1" x14ac:dyDescent="0.55000000000000004">
      <c r="A106" s="543" t="s">
        <v>464</v>
      </c>
      <c r="B106" s="543" t="s">
        <v>467</v>
      </c>
      <c r="C106" s="582">
        <f>IF(ISNUMBER('Cálculos Jobos'!F19),'Cálculos Jobos'!F19,"n.d.")</f>
        <v>0.13800000000000001</v>
      </c>
      <c r="D106" s="582">
        <f>IF(ISNUMBER('Cálculos Jobos'!F19),'Cálculos Jobos'!F19,"n.d.")</f>
        <v>0.13800000000000001</v>
      </c>
      <c r="E106" s="582">
        <f>IF(ISNUMBER('Cálculos Jobos'!F19),'Cálculos Jobos'!F19,"n.d.")</f>
        <v>0.13800000000000001</v>
      </c>
      <c r="F106" s="582">
        <f>IF(ISNUMBER('Cálculos Jobos'!F19),'Cálculos Jobos'!F19,"n.d.")</f>
        <v>0.13800000000000001</v>
      </c>
      <c r="G106" s="582">
        <f>IF(ISNUMBER('Cálculos Jobos'!F19),'Cálculos Jobos'!F19,"n.d.")</f>
        <v>0.13800000000000001</v>
      </c>
      <c r="H106" s="582">
        <f>IF(ISNUMBER('Cálculos Jobos'!F19),'Cálculos Jobos'!F19,"n.d.")</f>
        <v>0.13800000000000001</v>
      </c>
      <c r="I106" s="582">
        <f>IF(ISNUMBER('Cálculos Jobos'!F19),'Cálculos Jobos'!F19,"n.d.")</f>
        <v>0.13800000000000001</v>
      </c>
      <c r="J106" s="582">
        <f>IF(ISNUMBER('Cálculos Jobos'!F19),'Cálculos Jobos'!F19,"n.d.")</f>
        <v>0.13800000000000001</v>
      </c>
      <c r="K106" s="582">
        <f>IF(ISNUMBER('Cálculos Jobos'!F19),'Cálculos Jobos'!F19,"n.d.")</f>
        <v>0.13800000000000001</v>
      </c>
      <c r="L106" s="582">
        <f>IF(ISNUMBER('Cálculos Jobos'!F19),'Cálculos Jobos'!F19,"n.d.")</f>
        <v>0.13800000000000001</v>
      </c>
      <c r="M106" s="582">
        <f>IF(ISNUMBER('Cálculos Jobos'!F19),'Cálculos Jobos'!F19,"n.d.")</f>
        <v>0.13800000000000001</v>
      </c>
      <c r="N106" s="582">
        <f>IF(ISNUMBER('Cálculos Jobos'!F19),'Cálculos Jobos'!F19,"n.d.")</f>
        <v>0.13800000000000001</v>
      </c>
      <c r="O106" s="583"/>
    </row>
    <row r="107" spans="1:15" ht="21.75" hidden="1" customHeight="1" x14ac:dyDescent="0.55000000000000004">
      <c r="A107" s="543" t="s">
        <v>465</v>
      </c>
      <c r="B107" s="543" t="s">
        <v>467</v>
      </c>
      <c r="C107" s="582">
        <f>IF(ISNUMBER('Cálculos Mayagüez'!F18),'Cálculos Mayagüez'!F18,"n.d.")</f>
        <v>0.13800000000000001</v>
      </c>
      <c r="D107" s="582">
        <f>IF(ISNUMBER('Cálculos Mayagüez'!F18),'Cálculos Mayagüez'!F18,"n.d.")</f>
        <v>0.13800000000000001</v>
      </c>
      <c r="E107" s="582">
        <f>IF(ISNUMBER('Cálculos Mayagüez'!F18),'Cálculos Mayagüez'!F18,"n.d.")</f>
        <v>0.13800000000000001</v>
      </c>
      <c r="F107" s="582">
        <f>IF(ISNUMBER('Cálculos Mayagüez'!F18),'Cálculos Mayagüez'!F18,"n.d.")</f>
        <v>0.13800000000000001</v>
      </c>
      <c r="G107" s="582">
        <f>IF(ISNUMBER('Cálculos Mayagüez'!F18),'Cálculos Mayagüez'!F18,"n.d.")</f>
        <v>0.13800000000000001</v>
      </c>
      <c r="H107" s="582">
        <f>IF(ISNUMBER('Cálculos Mayagüez'!F18),'Cálculos Mayagüez'!F18,"n.d.")</f>
        <v>0.13800000000000001</v>
      </c>
      <c r="I107" s="582">
        <f>IF(ISNUMBER('Cálculos Mayagüez'!F18),'Cálculos Mayagüez'!F18,"n.d.")</f>
        <v>0.13800000000000001</v>
      </c>
      <c r="J107" s="582">
        <f>IF(ISNUMBER('Cálculos Mayagüez'!F18),'Cálculos Mayagüez'!F18,"n.d.")</f>
        <v>0.13800000000000001</v>
      </c>
      <c r="K107" s="582">
        <f>IF(ISNUMBER('Cálculos Mayagüez'!F18),'Cálculos Mayagüez'!F18,"n.d.")</f>
        <v>0.13800000000000001</v>
      </c>
      <c r="L107" s="582">
        <f>IF(ISNUMBER('Cálculos Mayagüez'!F18),'Cálculos Mayagüez'!F18,"n.d.")</f>
        <v>0.13800000000000001</v>
      </c>
      <c r="M107" s="582">
        <f>IF(ISNUMBER('Cálculos Mayagüez'!F18),'Cálculos Mayagüez'!F18,"n.d.")</f>
        <v>0.13800000000000001</v>
      </c>
      <c r="N107" s="582">
        <f>IF(ISNUMBER('Cálculos Mayagüez'!F18),'Cálculos Mayagüez'!F18,"n.d.")</f>
        <v>0.13800000000000001</v>
      </c>
      <c r="O107" s="583"/>
    </row>
    <row r="108" spans="1:15" ht="31.5" hidden="1" customHeight="1" x14ac:dyDescent="0.55000000000000004">
      <c r="A108" s="626" t="s">
        <v>469</v>
      </c>
      <c r="B108" s="626"/>
      <c r="C108" s="576"/>
      <c r="D108" s="576"/>
      <c r="E108" s="576"/>
      <c r="F108" s="576"/>
      <c r="G108" s="576"/>
      <c r="H108" s="576"/>
      <c r="I108" s="576"/>
      <c r="J108" s="576"/>
      <c r="K108" s="576"/>
      <c r="L108" s="576"/>
      <c r="M108" s="576"/>
      <c r="N108" s="576"/>
      <c r="O108" s="577"/>
    </row>
    <row r="109" spans="1:15" ht="37.5" hidden="1" customHeight="1" x14ac:dyDescent="0.55000000000000004">
      <c r="A109" s="573" t="s">
        <v>363</v>
      </c>
      <c r="B109" s="573" t="s">
        <v>364</v>
      </c>
      <c r="C109" s="573" t="s">
        <v>415</v>
      </c>
      <c r="D109" s="573" t="s">
        <v>416</v>
      </c>
      <c r="E109" s="573" t="s">
        <v>417</v>
      </c>
      <c r="F109" s="573" t="s">
        <v>418</v>
      </c>
      <c r="G109" s="573" t="s">
        <v>5</v>
      </c>
      <c r="H109" s="573" t="s">
        <v>419</v>
      </c>
      <c r="I109" s="573" t="s">
        <v>420</v>
      </c>
      <c r="J109" s="573" t="s">
        <v>421</v>
      </c>
      <c r="K109" s="573" t="s">
        <v>422</v>
      </c>
      <c r="L109" s="573" t="s">
        <v>423</v>
      </c>
      <c r="M109" s="573" t="s">
        <v>424</v>
      </c>
      <c r="N109" s="573" t="s">
        <v>425</v>
      </c>
      <c r="O109" s="573"/>
    </row>
    <row r="110" spans="1:15" ht="21.75" hidden="1" customHeight="1" x14ac:dyDescent="0.55000000000000004">
      <c r="A110" s="543" t="s">
        <v>444</v>
      </c>
      <c r="B110" s="543" t="s">
        <v>131</v>
      </c>
      <c r="C110" s="578">
        <f t="shared" ref="C110:N110" si="27">IF(ISNUMBER(C62),IF(C62=0,0,IF(ISNUMBER(C86),C62*C86,"n.d.")),"n.d.")</f>
        <v>0</v>
      </c>
      <c r="D110" s="578">
        <f t="shared" si="27"/>
        <v>280.161</v>
      </c>
      <c r="E110" s="578">
        <f t="shared" si="27"/>
        <v>0</v>
      </c>
      <c r="F110" s="578">
        <f t="shared" si="27"/>
        <v>118376.874</v>
      </c>
      <c r="G110" s="578">
        <f t="shared" si="27"/>
        <v>1608394.7249999999</v>
      </c>
      <c r="H110" s="578">
        <f t="shared" si="27"/>
        <v>731002.67099999997</v>
      </c>
      <c r="I110" s="578">
        <f t="shared" si="27"/>
        <v>813361.24800000002</v>
      </c>
      <c r="J110" s="578">
        <f t="shared" si="27"/>
        <v>912553.55099999998</v>
      </c>
      <c r="K110" s="578">
        <f t="shared" si="27"/>
        <v>995419.71899999992</v>
      </c>
      <c r="L110" s="578">
        <f t="shared" si="27"/>
        <v>358066.54799999995</v>
      </c>
      <c r="M110" s="578">
        <f t="shared" si="27"/>
        <v>46519.199999999997</v>
      </c>
      <c r="N110" s="578">
        <f t="shared" si="27"/>
        <v>85166.235000000001</v>
      </c>
      <c r="O110" s="583"/>
    </row>
    <row r="111" spans="1:15" ht="21.75" hidden="1" customHeight="1" x14ac:dyDescent="0.55000000000000004">
      <c r="A111" s="543" t="s">
        <v>445</v>
      </c>
      <c r="B111" s="543" t="s">
        <v>131</v>
      </c>
      <c r="C111" s="578">
        <f t="shared" ref="C111:N111" si="28">IF(ISNUMBER(C63),IF(C63=0,0,IF(ISNUMBER(C87),C63*C87/$C$58,"n.d.")),"n.d.")</f>
        <v>0</v>
      </c>
      <c r="D111" s="578">
        <f t="shared" si="28"/>
        <v>74.577359999999999</v>
      </c>
      <c r="E111" s="578">
        <f t="shared" si="28"/>
        <v>887797.56</v>
      </c>
      <c r="F111" s="578">
        <f t="shared" si="28"/>
        <v>1951930.8640000001</v>
      </c>
      <c r="G111" s="578">
        <f t="shared" si="28"/>
        <v>276316.35200000001</v>
      </c>
      <c r="H111" s="578">
        <f t="shared" si="28"/>
        <v>817246.66399999999</v>
      </c>
      <c r="I111" s="578">
        <f t="shared" si="28"/>
        <v>762226.29599999997</v>
      </c>
      <c r="J111" s="578">
        <f t="shared" si="28"/>
        <v>939793.4</v>
      </c>
      <c r="K111" s="578">
        <f t="shared" si="28"/>
        <v>1065234.456</v>
      </c>
      <c r="L111" s="578">
        <f t="shared" si="28"/>
        <v>1454441.6057599999</v>
      </c>
      <c r="M111" s="578">
        <f t="shared" si="28"/>
        <v>1963840.2290000001</v>
      </c>
      <c r="N111" s="578">
        <f t="shared" si="28"/>
        <v>1454475.4165759999</v>
      </c>
      <c r="O111" s="583"/>
    </row>
    <row r="112" spans="1:15" ht="21.75" hidden="1" customHeight="1" x14ac:dyDescent="0.55000000000000004">
      <c r="A112" s="543" t="s">
        <v>446</v>
      </c>
      <c r="B112" s="543" t="s">
        <v>131</v>
      </c>
      <c r="C112" s="578">
        <f t="shared" ref="C112:N112" si="29">IF(ISNUMBER(C64),IF(C64=0,0,IF(ISNUMBER(C88),C64*C88,"n.d.")),"n.d.")</f>
        <v>0</v>
      </c>
      <c r="D112" s="578">
        <f t="shared" si="29"/>
        <v>0</v>
      </c>
      <c r="E112" s="578">
        <f t="shared" si="29"/>
        <v>0</v>
      </c>
      <c r="F112" s="578">
        <f t="shared" si="29"/>
        <v>0</v>
      </c>
      <c r="G112" s="578">
        <f t="shared" si="29"/>
        <v>598888.01699999999</v>
      </c>
      <c r="H112" s="578">
        <f t="shared" si="29"/>
        <v>1636704.7830000001</v>
      </c>
      <c r="I112" s="578">
        <f t="shared" si="29"/>
        <v>2117886.75</v>
      </c>
      <c r="J112" s="578">
        <f t="shared" si="29"/>
        <v>682724.826</v>
      </c>
      <c r="K112" s="578">
        <f t="shared" si="29"/>
        <v>1489126.8419999999</v>
      </c>
      <c r="L112" s="578">
        <f t="shared" si="29"/>
        <v>1082218.4099999999</v>
      </c>
      <c r="M112" s="578">
        <f t="shared" si="29"/>
        <v>373004.1</v>
      </c>
      <c r="N112" s="578">
        <f t="shared" si="29"/>
        <v>1149508.08</v>
      </c>
      <c r="O112" s="583"/>
    </row>
    <row r="113" spans="1:15" ht="21.75" hidden="1" customHeight="1" x14ac:dyDescent="0.55000000000000004">
      <c r="A113" s="543" t="s">
        <v>447</v>
      </c>
      <c r="B113" s="543" t="s">
        <v>131</v>
      </c>
      <c r="C113" s="578">
        <f t="shared" ref="C113:N113" si="30">IF(ISNUMBER(C65),IF(C65=0,0,IF(ISNUMBER(C89),C65*C89/$C$58,"n.d.")),"n.d.")</f>
        <v>285.54759999999999</v>
      </c>
      <c r="D113" s="578">
        <f t="shared" si="30"/>
        <v>0</v>
      </c>
      <c r="E113" s="578">
        <f t="shared" si="30"/>
        <v>0</v>
      </c>
      <c r="F113" s="578">
        <f t="shared" si="30"/>
        <v>0</v>
      </c>
      <c r="G113" s="578">
        <f t="shared" si="30"/>
        <v>383927.85600000003</v>
      </c>
      <c r="H113" s="578">
        <f t="shared" si="30"/>
        <v>576477.09600000002</v>
      </c>
      <c r="I113" s="578">
        <f t="shared" si="30"/>
        <v>65678.080000000002</v>
      </c>
      <c r="J113" s="578">
        <f t="shared" si="30"/>
        <v>928228.70400000003</v>
      </c>
      <c r="K113" s="578">
        <f t="shared" si="30"/>
        <v>610746.13600000006</v>
      </c>
      <c r="L113" s="578">
        <f t="shared" si="30"/>
        <v>1237648.7125599999</v>
      </c>
      <c r="M113" s="578">
        <f t="shared" si="30"/>
        <v>1723276.5914</v>
      </c>
      <c r="N113" s="578">
        <f t="shared" si="30"/>
        <v>874211.26644799998</v>
      </c>
      <c r="O113" s="583"/>
    </row>
    <row r="114" spans="1:15" ht="21.75" hidden="1" customHeight="1" x14ac:dyDescent="0.55000000000000004">
      <c r="A114" s="543" t="s">
        <v>448</v>
      </c>
      <c r="B114" s="543" t="s">
        <v>131</v>
      </c>
      <c r="C114" s="578">
        <f t="shared" ref="C114:N114" si="31">IF(ISNUMBER(C66),IF(C66=0,0,IF(ISNUMBER(C90),C66*C90,"n.d.")),"n.d.")</f>
        <v>0</v>
      </c>
      <c r="D114" s="578">
        <f t="shared" si="31"/>
        <v>0</v>
      </c>
      <c r="E114" s="578">
        <f t="shared" si="31"/>
        <v>0</v>
      </c>
      <c r="F114" s="578">
        <f t="shared" si="31"/>
        <v>0</v>
      </c>
      <c r="G114" s="578">
        <f t="shared" si="31"/>
        <v>0</v>
      </c>
      <c r="H114" s="578">
        <f t="shared" si="31"/>
        <v>0</v>
      </c>
      <c r="I114" s="578">
        <f t="shared" si="31"/>
        <v>641.70000000000005</v>
      </c>
      <c r="J114" s="578">
        <f t="shared" si="31"/>
        <v>680.47800000000007</v>
      </c>
      <c r="K114" s="578">
        <f t="shared" si="31"/>
        <v>2986.5960000000005</v>
      </c>
      <c r="L114" s="578">
        <f t="shared" si="31"/>
        <v>11783.820000000002</v>
      </c>
      <c r="M114" s="578">
        <f t="shared" si="31"/>
        <v>1880.94</v>
      </c>
      <c r="N114" s="578">
        <f t="shared" si="31"/>
        <v>0</v>
      </c>
      <c r="O114" s="583"/>
    </row>
    <row r="115" spans="1:15" ht="21.75" hidden="1" customHeight="1" x14ac:dyDescent="0.55000000000000004">
      <c r="A115" s="543" t="s">
        <v>449</v>
      </c>
      <c r="B115" s="543" t="s">
        <v>131</v>
      </c>
      <c r="C115" s="578">
        <f t="shared" ref="C115:N115" si="32">IF(ISNUMBER(C67),IF(C67=0,0,IF(ISNUMBER(C91),C67*C91,"n.d.")),"n.d.")</f>
        <v>1105934.6340000001</v>
      </c>
      <c r="D115" s="578">
        <f t="shared" si="32"/>
        <v>718912.53</v>
      </c>
      <c r="E115" s="578">
        <f t="shared" si="32"/>
        <v>361766.22300000006</v>
      </c>
      <c r="F115" s="578">
        <f t="shared" si="32"/>
        <v>536597.27099999995</v>
      </c>
      <c r="G115" s="578">
        <f t="shared" si="32"/>
        <v>544816.125</v>
      </c>
      <c r="H115" s="578">
        <f t="shared" si="32"/>
        <v>551410.0199999999</v>
      </c>
      <c r="I115" s="578">
        <f t="shared" si="32"/>
        <v>648938.87100000004</v>
      </c>
      <c r="J115" s="578">
        <f t="shared" si="32"/>
        <v>1180148.4450000001</v>
      </c>
      <c r="K115" s="578">
        <f t="shared" si="32"/>
        <v>1162507.5629999998</v>
      </c>
      <c r="L115" s="578">
        <f t="shared" si="32"/>
        <v>584875.30499999993</v>
      </c>
      <c r="M115" s="578">
        <f t="shared" si="32"/>
        <v>533867.60699999996</v>
      </c>
      <c r="N115" s="578">
        <f t="shared" si="32"/>
        <v>0</v>
      </c>
      <c r="O115" s="583"/>
    </row>
    <row r="116" spans="1:15" ht="21.75" hidden="1" customHeight="1" x14ac:dyDescent="0.55000000000000004">
      <c r="A116" s="543" t="s">
        <v>450</v>
      </c>
      <c r="B116" s="543" t="s">
        <v>131</v>
      </c>
      <c r="C116" s="578">
        <f t="shared" ref="C116:N116" si="33">IF(ISNUMBER(C68),IF(C68=0,0,IF(ISNUMBER(C92),C68*C92,"n.d.")),"n.d.")</f>
        <v>0</v>
      </c>
      <c r="D116" s="578">
        <f t="shared" si="33"/>
        <v>0</v>
      </c>
      <c r="E116" s="578">
        <f t="shared" si="33"/>
        <v>22722.696360000002</v>
      </c>
      <c r="F116" s="578">
        <f t="shared" si="33"/>
        <v>5758.4419200000002</v>
      </c>
      <c r="G116" s="578">
        <f t="shared" si="33"/>
        <v>21500.262000000002</v>
      </c>
      <c r="H116" s="578">
        <f t="shared" si="33"/>
        <v>43432.094160000008</v>
      </c>
      <c r="I116" s="578">
        <f t="shared" si="33"/>
        <v>317110.75200000004</v>
      </c>
      <c r="J116" s="578">
        <f t="shared" si="33"/>
        <v>235856.62800000003</v>
      </c>
      <c r="K116" s="578">
        <f t="shared" si="33"/>
        <v>0</v>
      </c>
      <c r="L116" s="578">
        <f t="shared" si="33"/>
        <v>267885.61380000005</v>
      </c>
      <c r="M116" s="578">
        <f t="shared" si="33"/>
        <v>146555.97516000003</v>
      </c>
      <c r="N116" s="578">
        <f t="shared" si="33"/>
        <v>125337.80448000002</v>
      </c>
      <c r="O116" s="583"/>
    </row>
    <row r="117" spans="1:15" ht="21.75" hidden="1" customHeight="1" x14ac:dyDescent="0.55000000000000004">
      <c r="A117" s="543" t="s">
        <v>451</v>
      </c>
      <c r="B117" s="543" t="s">
        <v>131</v>
      </c>
      <c r="C117" s="578">
        <f t="shared" ref="C117:N117" si="34">IF(ISNUMBER(C69),IF(C69=0,0,IF(ISNUMBER(C93),C69*C93/$C$58,"n.d.")),"n.d.")</f>
        <v>1024250.889984</v>
      </c>
      <c r="D117" s="578">
        <f t="shared" si="34"/>
        <v>990994.39348740003</v>
      </c>
      <c r="E117" s="578">
        <f t="shared" si="34"/>
        <v>1060590.9155754</v>
      </c>
      <c r="F117" s="578">
        <f t="shared" si="34"/>
        <v>948524.9762256</v>
      </c>
      <c r="G117" s="578">
        <f t="shared" si="34"/>
        <v>1120759.6167599999</v>
      </c>
      <c r="H117" s="578">
        <f t="shared" si="34"/>
        <v>986646.2677806</v>
      </c>
      <c r="I117" s="578">
        <f t="shared" si="34"/>
        <v>743997.45040199999</v>
      </c>
      <c r="J117" s="578">
        <f t="shared" si="34"/>
        <v>830959.69170839991</v>
      </c>
      <c r="K117" s="578">
        <f t="shared" si="34"/>
        <v>1108005.1152348001</v>
      </c>
      <c r="L117" s="578">
        <f t="shared" si="34"/>
        <v>732218.0264652</v>
      </c>
      <c r="M117" s="578">
        <f t="shared" si="34"/>
        <v>776715.0866412</v>
      </c>
      <c r="N117" s="578">
        <f t="shared" si="34"/>
        <v>961587.63434700004</v>
      </c>
      <c r="O117" s="583"/>
    </row>
    <row r="118" spans="1:15" ht="21.75" hidden="1" customHeight="1" x14ac:dyDescent="0.55000000000000004">
      <c r="A118" s="543" t="s">
        <v>452</v>
      </c>
      <c r="B118" s="543" t="s">
        <v>131</v>
      </c>
      <c r="C118" s="578">
        <f t="shared" ref="C118:N118" si="35">IF(ISNUMBER(C70),IF(C70=0,0,IF(ISNUMBER(C94),C70*C94,"n.d.")),"n.d.")</f>
        <v>12418.799400000002</v>
      </c>
      <c r="D118" s="578">
        <f t="shared" si="35"/>
        <v>2375.0848799999999</v>
      </c>
      <c r="E118" s="578">
        <f t="shared" si="35"/>
        <v>136522.46160000001</v>
      </c>
      <c r="F118" s="578">
        <f t="shared" si="35"/>
        <v>0</v>
      </c>
      <c r="G118" s="578">
        <f t="shared" si="35"/>
        <v>0</v>
      </c>
      <c r="H118" s="578">
        <f t="shared" si="35"/>
        <v>50902.15284000001</v>
      </c>
      <c r="I118" s="578">
        <f t="shared" si="35"/>
        <v>0</v>
      </c>
      <c r="J118" s="578">
        <f t="shared" si="35"/>
        <v>4735.3899600000004</v>
      </c>
      <c r="K118" s="578">
        <f t="shared" si="35"/>
        <v>0</v>
      </c>
      <c r="L118" s="578">
        <f t="shared" si="35"/>
        <v>0</v>
      </c>
      <c r="M118" s="578">
        <f t="shared" si="35"/>
        <v>0</v>
      </c>
      <c r="N118" s="578">
        <f t="shared" si="35"/>
        <v>0</v>
      </c>
      <c r="O118" s="583"/>
    </row>
    <row r="119" spans="1:15" ht="21.75" hidden="1" customHeight="1" x14ac:dyDescent="0.55000000000000004">
      <c r="A119" s="543" t="s">
        <v>453</v>
      </c>
      <c r="B119" s="543" t="s">
        <v>131</v>
      </c>
      <c r="C119" s="578">
        <f t="shared" ref="C119:N119" si="36">IF(ISNUMBER(C71),IF(C71=0,0,IF(ISNUMBER(C95),C71*C95/$C$58,"n.d.")),"n.d.")</f>
        <v>1093080.6654342001</v>
      </c>
      <c r="D119" s="578">
        <f t="shared" si="36"/>
        <v>827978.05420799996</v>
      </c>
      <c r="E119" s="578">
        <f t="shared" si="36"/>
        <v>867748.51514759997</v>
      </c>
      <c r="F119" s="578">
        <f t="shared" si="36"/>
        <v>0</v>
      </c>
      <c r="G119" s="578">
        <f t="shared" si="36"/>
        <v>0</v>
      </c>
      <c r="H119" s="578">
        <f t="shared" si="36"/>
        <v>665758.89861119993</v>
      </c>
      <c r="I119" s="578">
        <f t="shared" si="36"/>
        <v>1072383.7227179999</v>
      </c>
      <c r="J119" s="578">
        <f t="shared" si="36"/>
        <v>239064.7845756</v>
      </c>
      <c r="K119" s="578">
        <f t="shared" si="36"/>
        <v>0</v>
      </c>
      <c r="L119" s="578">
        <f t="shared" si="36"/>
        <v>0</v>
      </c>
      <c r="M119" s="578">
        <f t="shared" si="36"/>
        <v>0</v>
      </c>
      <c r="N119" s="578">
        <f t="shared" si="36"/>
        <v>0</v>
      </c>
      <c r="O119" s="583"/>
    </row>
    <row r="120" spans="1:15" ht="21.75" hidden="1" customHeight="1" x14ac:dyDescent="0.55000000000000004">
      <c r="A120" s="543" t="s">
        <v>454</v>
      </c>
      <c r="B120" s="543" t="s">
        <v>131</v>
      </c>
      <c r="C120" s="578">
        <f t="shared" ref="C120:N120" si="37">IF(ISNUMBER(C72),IF(C72=0,0,IF(ISNUMBER(C96),C72*C96,"n.d.")),"n.d.")</f>
        <v>1093910.6429999999</v>
      </c>
      <c r="D120" s="578">
        <f t="shared" si="37"/>
        <v>2256786.3149999999</v>
      </c>
      <c r="E120" s="578">
        <f t="shared" si="37"/>
        <v>1984219.02</v>
      </c>
      <c r="F120" s="578">
        <f t="shared" si="37"/>
        <v>1735621.0829999999</v>
      </c>
      <c r="G120" s="578">
        <f t="shared" si="37"/>
        <v>3449013.5610000002</v>
      </c>
      <c r="H120" s="578">
        <f t="shared" si="37"/>
        <v>3662803.9349999996</v>
      </c>
      <c r="I120" s="578">
        <f t="shared" si="37"/>
        <v>2956162.5449999999</v>
      </c>
      <c r="J120" s="578">
        <f t="shared" si="37"/>
        <v>1984476.2489999998</v>
      </c>
      <c r="K120" s="578">
        <f t="shared" si="37"/>
        <v>1031367.015</v>
      </c>
      <c r="L120" s="578">
        <f t="shared" si="37"/>
        <v>1260057.5820000002</v>
      </c>
      <c r="M120" s="578">
        <f t="shared" si="37"/>
        <v>1502474.085</v>
      </c>
      <c r="N120" s="578">
        <f t="shared" si="37"/>
        <v>0</v>
      </c>
      <c r="O120" s="583"/>
    </row>
    <row r="121" spans="1:15" ht="21.75" hidden="1" customHeight="1" x14ac:dyDescent="0.55000000000000004">
      <c r="A121" s="543" t="s">
        <v>455</v>
      </c>
      <c r="B121" s="543" t="s">
        <v>131</v>
      </c>
      <c r="C121" s="578">
        <f t="shared" ref="C121:N121" si="38">IF(ISNUMBER(C73),IF(C73=0,0,IF(ISNUMBER(C97),C73*C97,"n.d.")),"n.d.")</f>
        <v>537363.44400000002</v>
      </c>
      <c r="D121" s="578">
        <f t="shared" si="38"/>
        <v>427668.9</v>
      </c>
      <c r="E121" s="578">
        <f t="shared" si="38"/>
        <v>358872.72600000002</v>
      </c>
      <c r="F121" s="578">
        <f t="shared" si="38"/>
        <v>680166.5340000001</v>
      </c>
      <c r="G121" s="578">
        <f t="shared" si="38"/>
        <v>886355.64600000007</v>
      </c>
      <c r="H121" s="578">
        <f t="shared" si="38"/>
        <v>658629.84000000008</v>
      </c>
      <c r="I121" s="578">
        <f t="shared" si="38"/>
        <v>474009.99000000005</v>
      </c>
      <c r="J121" s="578">
        <f t="shared" si="38"/>
        <v>1011056.1720000001</v>
      </c>
      <c r="K121" s="578">
        <f t="shared" si="38"/>
        <v>1070210.5620000002</v>
      </c>
      <c r="L121" s="578">
        <f t="shared" si="38"/>
        <v>1305159.1500000001</v>
      </c>
      <c r="M121" s="578">
        <f t="shared" si="38"/>
        <v>538936.64400000009</v>
      </c>
      <c r="N121" s="578">
        <f t="shared" si="38"/>
        <v>760102.89600000007</v>
      </c>
      <c r="O121" s="583"/>
    </row>
    <row r="122" spans="1:15" ht="21.75" hidden="1" customHeight="1" x14ac:dyDescent="0.55000000000000004">
      <c r="A122" s="543" t="s">
        <v>456</v>
      </c>
      <c r="B122" s="543" t="s">
        <v>131</v>
      </c>
      <c r="C122" s="578">
        <f t="shared" ref="C122:N122" si="39">IF(ISNUMBER(C74),IF(C74=0,0,IF(ISNUMBER(C98),C74*C98,"n.d.")),"n.d.")</f>
        <v>0</v>
      </c>
      <c r="D122" s="578">
        <f t="shared" si="39"/>
        <v>0</v>
      </c>
      <c r="E122" s="578">
        <f t="shared" si="39"/>
        <v>0</v>
      </c>
      <c r="F122" s="578">
        <f t="shared" si="39"/>
        <v>0</v>
      </c>
      <c r="G122" s="578">
        <f t="shared" si="39"/>
        <v>0</v>
      </c>
      <c r="H122" s="578">
        <f t="shared" si="39"/>
        <v>0</v>
      </c>
      <c r="I122" s="578">
        <f t="shared" si="39"/>
        <v>200560.5</v>
      </c>
      <c r="J122" s="578">
        <f t="shared" si="39"/>
        <v>1002726.8999999999</v>
      </c>
      <c r="K122" s="578">
        <f t="shared" si="39"/>
        <v>1041201</v>
      </c>
      <c r="L122" s="578">
        <f t="shared" si="39"/>
        <v>1009593.8999999999</v>
      </c>
      <c r="M122" s="578">
        <f t="shared" si="39"/>
        <v>849630.6</v>
      </c>
      <c r="N122" s="578">
        <f t="shared" si="39"/>
        <v>864939.6</v>
      </c>
      <c r="O122" s="583"/>
    </row>
    <row r="123" spans="1:15" ht="21.75" hidden="1" customHeight="1" x14ac:dyDescent="0.55000000000000004">
      <c r="A123" s="543" t="s">
        <v>457</v>
      </c>
      <c r="B123" s="543" t="s">
        <v>131</v>
      </c>
      <c r="C123" s="578">
        <f t="shared" ref="C123:N123" si="40">IF(ISNUMBER(C75),IF(C75=0,0,IF(ISNUMBER(C99),C75*C99,"n.d.")),"n.d.")</f>
        <v>96564.721680000017</v>
      </c>
      <c r="D123" s="578">
        <f t="shared" si="40"/>
        <v>142964.02008000002</v>
      </c>
      <c r="E123" s="578">
        <f t="shared" si="40"/>
        <v>179985.45423600002</v>
      </c>
      <c r="F123" s="578">
        <f t="shared" si="40"/>
        <v>135303.21504000001</v>
      </c>
      <c r="G123" s="578">
        <f t="shared" si="40"/>
        <v>235360.25856000005</v>
      </c>
      <c r="H123" s="578">
        <f t="shared" si="40"/>
        <v>128964.70944000001</v>
      </c>
      <c r="I123" s="578">
        <f t="shared" si="40"/>
        <v>76698.468000000008</v>
      </c>
      <c r="J123" s="578">
        <f t="shared" si="40"/>
        <v>170271.99</v>
      </c>
      <c r="K123" s="578">
        <f t="shared" si="40"/>
        <v>197602.44840000002</v>
      </c>
      <c r="L123" s="578">
        <f t="shared" si="40"/>
        <v>202687.33716000002</v>
      </c>
      <c r="M123" s="578">
        <f t="shared" si="40"/>
        <v>57606.79176</v>
      </c>
      <c r="N123" s="578">
        <f t="shared" si="40"/>
        <v>89493.48576000001</v>
      </c>
      <c r="O123" s="583"/>
    </row>
    <row r="124" spans="1:15" ht="21.75" hidden="1" customHeight="1" x14ac:dyDescent="0.55000000000000004">
      <c r="A124" s="543" t="s">
        <v>458</v>
      </c>
      <c r="B124" s="543" t="s">
        <v>131</v>
      </c>
      <c r="C124" s="578">
        <f t="shared" ref="C124:N124" si="41">IF(ISNUMBER(C76),IF(C76=0,0,IF(ISNUMBER(C100),C76*C100,"n.d.")),"n.d.")</f>
        <v>4029.8760000000002</v>
      </c>
      <c r="D124" s="578">
        <f t="shared" si="41"/>
        <v>0</v>
      </c>
      <c r="E124" s="578">
        <f t="shared" si="41"/>
        <v>7234.7880000000005</v>
      </c>
      <c r="F124" s="578">
        <f t="shared" si="41"/>
        <v>32566.620000000003</v>
      </c>
      <c r="G124" s="578">
        <f t="shared" si="41"/>
        <v>89907.138000000006</v>
      </c>
      <c r="H124" s="578">
        <f t="shared" si="41"/>
        <v>68841.851999999999</v>
      </c>
      <c r="I124" s="578">
        <f t="shared" si="41"/>
        <v>16298.214000000002</v>
      </c>
      <c r="J124" s="578">
        <f t="shared" si="41"/>
        <v>162855.87000000002</v>
      </c>
      <c r="K124" s="578">
        <f t="shared" si="41"/>
        <v>134277.03600000002</v>
      </c>
      <c r="L124" s="578">
        <f t="shared" si="41"/>
        <v>143834.08800000002</v>
      </c>
      <c r="M124" s="578">
        <f t="shared" si="41"/>
        <v>51100.020000000004</v>
      </c>
      <c r="N124" s="578">
        <f t="shared" si="41"/>
        <v>1887.5419200000001</v>
      </c>
      <c r="O124" s="583"/>
    </row>
    <row r="125" spans="1:15" ht="21.75" hidden="1" customHeight="1" x14ac:dyDescent="0.55000000000000004">
      <c r="A125" s="543" t="s">
        <v>459</v>
      </c>
      <c r="B125" s="543" t="s">
        <v>131</v>
      </c>
      <c r="C125" s="578">
        <f t="shared" ref="C125:N125" si="42">IF(ISNUMBER(C77),IF(C77=0,0,IF(ISNUMBER(C101),C77*C101/$C$58,"n.d.")),"n.d.")</f>
        <v>0</v>
      </c>
      <c r="D125" s="578">
        <f t="shared" si="42"/>
        <v>0</v>
      </c>
      <c r="E125" s="578">
        <f t="shared" si="42"/>
        <v>0</v>
      </c>
      <c r="F125" s="578">
        <f t="shared" si="42"/>
        <v>0</v>
      </c>
      <c r="G125" s="578">
        <f t="shared" si="42"/>
        <v>0</v>
      </c>
      <c r="H125" s="578">
        <f t="shared" si="42"/>
        <v>0</v>
      </c>
      <c r="I125" s="578">
        <f t="shared" si="42"/>
        <v>0</v>
      </c>
      <c r="J125" s="578">
        <f t="shared" si="42"/>
        <v>0</v>
      </c>
      <c r="K125" s="578">
        <f t="shared" si="42"/>
        <v>0</v>
      </c>
      <c r="L125" s="578">
        <f t="shared" si="42"/>
        <v>0</v>
      </c>
      <c r="M125" s="578">
        <f t="shared" si="42"/>
        <v>0</v>
      </c>
      <c r="N125" s="578">
        <f t="shared" si="42"/>
        <v>0</v>
      </c>
      <c r="O125" s="583"/>
    </row>
    <row r="126" spans="1:15" ht="21.75" hidden="1" customHeight="1" x14ac:dyDescent="0.55000000000000004">
      <c r="A126" s="543" t="s">
        <v>460</v>
      </c>
      <c r="B126" s="543" t="s">
        <v>131</v>
      </c>
      <c r="C126" s="578">
        <f t="shared" ref="C126:N126" si="43">IF(ISNUMBER(C78),IF(C78=0,0,IF(ISNUMBER(C102),C78*C102,"n.d.")),"n.d.")</f>
        <v>292933.60739999998</v>
      </c>
      <c r="D126" s="578">
        <f t="shared" si="43"/>
        <v>304260.32448000001</v>
      </c>
      <c r="E126" s="578">
        <f t="shared" si="43"/>
        <v>265960.7622</v>
      </c>
      <c r="F126" s="578">
        <f t="shared" si="43"/>
        <v>529390.35324000008</v>
      </c>
      <c r="G126" s="578">
        <f t="shared" si="43"/>
        <v>655700.84244000004</v>
      </c>
      <c r="H126" s="578">
        <f t="shared" si="43"/>
        <v>336252.04200000002</v>
      </c>
      <c r="I126" s="578">
        <f t="shared" si="43"/>
        <v>246360.19716000001</v>
      </c>
      <c r="J126" s="578">
        <f t="shared" si="43"/>
        <v>604300.98708000011</v>
      </c>
      <c r="K126" s="578">
        <f t="shared" si="43"/>
        <v>633324.34116000007</v>
      </c>
      <c r="L126" s="578">
        <f t="shared" si="43"/>
        <v>601207.95168000006</v>
      </c>
      <c r="M126" s="578">
        <f t="shared" si="43"/>
        <v>179655.71400000001</v>
      </c>
      <c r="N126" s="578">
        <f t="shared" si="43"/>
        <v>402541.82136</v>
      </c>
      <c r="O126" s="583"/>
    </row>
    <row r="127" spans="1:15" ht="21.75" hidden="1" customHeight="1" x14ac:dyDescent="0.55000000000000004">
      <c r="A127" s="543" t="s">
        <v>461</v>
      </c>
      <c r="B127" s="543" t="s">
        <v>131</v>
      </c>
      <c r="C127" s="578">
        <f t="shared" ref="C127:N127" si="44">IF(ISNUMBER(C79),IF(C79=0,0,IF(ISNUMBER(C103),C79*C103,"n.d.")),"n.d.")</f>
        <v>76090.815360000008</v>
      </c>
      <c r="D127" s="578">
        <f t="shared" si="44"/>
        <v>51946.9398</v>
      </c>
      <c r="E127" s="578">
        <f t="shared" si="44"/>
        <v>52980.018840000004</v>
      </c>
      <c r="F127" s="578">
        <f t="shared" si="44"/>
        <v>88767.652679999999</v>
      </c>
      <c r="G127" s="578">
        <f t="shared" si="44"/>
        <v>136332.70056</v>
      </c>
      <c r="H127" s="578">
        <f t="shared" si="44"/>
        <v>25041.791880000001</v>
      </c>
      <c r="I127" s="578">
        <f t="shared" si="44"/>
        <v>15842.380680000002</v>
      </c>
      <c r="J127" s="578">
        <f t="shared" si="44"/>
        <v>51932.449800000002</v>
      </c>
      <c r="K127" s="578">
        <f t="shared" si="44"/>
        <v>48008.383920000007</v>
      </c>
      <c r="L127" s="578">
        <f t="shared" si="44"/>
        <v>42672.238560000005</v>
      </c>
      <c r="M127" s="578">
        <f t="shared" si="44"/>
        <v>9881.8902000000016</v>
      </c>
      <c r="N127" s="578">
        <f t="shared" si="44"/>
        <v>19102.398840000005</v>
      </c>
      <c r="O127" s="583"/>
    </row>
    <row r="128" spans="1:15" ht="21.75" hidden="1" customHeight="1" x14ac:dyDescent="0.55000000000000004">
      <c r="A128" s="543" t="s">
        <v>462</v>
      </c>
      <c r="B128" s="543" t="s">
        <v>131</v>
      </c>
      <c r="C128" s="578">
        <f t="shared" ref="C128:N128" si="45">IF(ISNUMBER(C80),IF(C80=0,0,IF(ISNUMBER(C104),C80*C104,"n.d.")),"n.d.")</f>
        <v>24994.786320000003</v>
      </c>
      <c r="D128" s="578">
        <f t="shared" si="45"/>
        <v>17486.879760000003</v>
      </c>
      <c r="E128" s="578">
        <f t="shared" si="45"/>
        <v>15122.633400000002</v>
      </c>
      <c r="F128" s="578">
        <f t="shared" si="45"/>
        <v>29414.7</v>
      </c>
      <c r="G128" s="578">
        <f t="shared" si="45"/>
        <v>54259.138080000004</v>
      </c>
      <c r="H128" s="578">
        <f t="shared" si="45"/>
        <v>18242.504280000001</v>
      </c>
      <c r="I128" s="578">
        <f t="shared" si="45"/>
        <v>9627.3878399999994</v>
      </c>
      <c r="J128" s="578">
        <f t="shared" si="45"/>
        <v>41418.969480000007</v>
      </c>
      <c r="K128" s="578">
        <f t="shared" si="45"/>
        <v>36782.575199999999</v>
      </c>
      <c r="L128" s="578">
        <f t="shared" si="45"/>
        <v>22165.410960000005</v>
      </c>
      <c r="M128" s="578">
        <f t="shared" si="45"/>
        <v>5379.0937200000008</v>
      </c>
      <c r="N128" s="578">
        <f t="shared" si="45"/>
        <v>7063.8170400000008</v>
      </c>
      <c r="O128" s="583"/>
    </row>
    <row r="129" spans="1:15" ht="21.75" hidden="1" customHeight="1" x14ac:dyDescent="0.55000000000000004">
      <c r="A129" s="543" t="s">
        <v>463</v>
      </c>
      <c r="B129" s="543" t="s">
        <v>131</v>
      </c>
      <c r="C129" s="578">
        <f t="shared" ref="C129:N129" si="46">IF(ISNUMBER(C81),IF(C81=0,0,IF(ISNUMBER(C105),C81*C105,"n.d.")),"n.d.")</f>
        <v>0</v>
      </c>
      <c r="D129" s="578">
        <f t="shared" si="46"/>
        <v>0</v>
      </c>
      <c r="E129" s="578">
        <f t="shared" si="46"/>
        <v>0</v>
      </c>
      <c r="F129" s="578">
        <f t="shared" si="46"/>
        <v>0</v>
      </c>
      <c r="G129" s="578">
        <f t="shared" si="46"/>
        <v>0</v>
      </c>
      <c r="H129" s="578">
        <f t="shared" si="46"/>
        <v>0</v>
      </c>
      <c r="I129" s="578">
        <f t="shared" si="46"/>
        <v>0</v>
      </c>
      <c r="J129" s="578">
        <f t="shared" si="46"/>
        <v>0</v>
      </c>
      <c r="K129" s="578">
        <f t="shared" si="46"/>
        <v>0</v>
      </c>
      <c r="L129" s="578">
        <f t="shared" si="46"/>
        <v>0</v>
      </c>
      <c r="M129" s="578">
        <f t="shared" si="46"/>
        <v>0</v>
      </c>
      <c r="N129" s="578">
        <f t="shared" si="46"/>
        <v>0</v>
      </c>
      <c r="O129" s="583"/>
    </row>
    <row r="130" spans="1:15" ht="21.75" hidden="1" customHeight="1" x14ac:dyDescent="0.55000000000000004">
      <c r="A130" s="543" t="s">
        <v>464</v>
      </c>
      <c r="B130" s="543" t="s">
        <v>131</v>
      </c>
      <c r="C130" s="578">
        <f t="shared" ref="C130:N130" si="47">IF(ISNUMBER(C82),IF(C82=0,0,IF(ISNUMBER(C106),C82*C106,"n.d.")),"n.d.")</f>
        <v>0</v>
      </c>
      <c r="D130" s="578">
        <f t="shared" si="47"/>
        <v>20175.180479999999</v>
      </c>
      <c r="E130" s="578">
        <f t="shared" si="47"/>
        <v>17419.008600000001</v>
      </c>
      <c r="F130" s="578">
        <f t="shared" si="47"/>
        <v>36089.489520000003</v>
      </c>
      <c r="G130" s="578">
        <f t="shared" si="47"/>
        <v>56749.215600000003</v>
      </c>
      <c r="H130" s="578">
        <f t="shared" si="47"/>
        <v>25538.740920000007</v>
      </c>
      <c r="I130" s="578">
        <f t="shared" si="47"/>
        <v>10818.060120000002</v>
      </c>
      <c r="J130" s="578">
        <f t="shared" si="47"/>
        <v>46254.804120000001</v>
      </c>
      <c r="K130" s="578">
        <f t="shared" si="47"/>
        <v>48633.250680000005</v>
      </c>
      <c r="L130" s="578">
        <f t="shared" si="47"/>
        <v>38504.856600000006</v>
      </c>
      <c r="M130" s="578">
        <f t="shared" si="47"/>
        <v>6721.6791600000006</v>
      </c>
      <c r="N130" s="578">
        <f t="shared" si="47"/>
        <v>11803.438080000002</v>
      </c>
      <c r="O130" s="583"/>
    </row>
    <row r="131" spans="1:15" ht="21.75" hidden="1" customHeight="1" x14ac:dyDescent="0.55000000000000004">
      <c r="A131" s="543" t="s">
        <v>465</v>
      </c>
      <c r="B131" s="543" t="s">
        <v>131</v>
      </c>
      <c r="C131" s="578">
        <f t="shared" ref="C131:N131" si="48">IF(ISNUMBER(C83),IF(C83=0,0,IF(ISNUMBER(C107),C83*C107,"n.d.")),"n.d.")</f>
        <v>627592.79267999995</v>
      </c>
      <c r="D131" s="578">
        <f t="shared" si="48"/>
        <v>546456.32748000009</v>
      </c>
      <c r="E131" s="578">
        <f t="shared" si="48"/>
        <v>481882.45392</v>
      </c>
      <c r="F131" s="578">
        <f t="shared" si="48"/>
        <v>645514.83612000011</v>
      </c>
      <c r="G131" s="578">
        <f t="shared" si="48"/>
        <v>732764.51640000008</v>
      </c>
      <c r="H131" s="578">
        <f t="shared" si="48"/>
        <v>514614.37860000005</v>
      </c>
      <c r="I131" s="578">
        <f t="shared" si="48"/>
        <v>381818.91888000007</v>
      </c>
      <c r="J131" s="578">
        <f t="shared" si="48"/>
        <v>552080.53404000006</v>
      </c>
      <c r="K131" s="578">
        <f t="shared" si="48"/>
        <v>525656.51208000001</v>
      </c>
      <c r="L131" s="578">
        <f t="shared" si="48"/>
        <v>527825.49120000005</v>
      </c>
      <c r="M131" s="578">
        <f t="shared" si="48"/>
        <v>352685.55672000011</v>
      </c>
      <c r="N131" s="578">
        <f t="shared" si="48"/>
        <v>458532.28259999998</v>
      </c>
      <c r="O131" s="583"/>
    </row>
    <row r="132" spans="1:15" ht="21.75" hidden="1" customHeight="1" x14ac:dyDescent="0.55000000000000004">
      <c r="A132" s="543"/>
      <c r="B132" s="543"/>
      <c r="C132" s="543"/>
      <c r="D132" s="543"/>
      <c r="E132" s="543"/>
      <c r="F132" s="543"/>
      <c r="G132" s="543"/>
      <c r="H132" s="543"/>
      <c r="I132" s="543"/>
      <c r="J132" s="543"/>
      <c r="K132" s="543"/>
      <c r="L132" s="543"/>
      <c r="M132" s="543"/>
      <c r="N132" s="543"/>
      <c r="O132" s="543"/>
    </row>
    <row r="133" spans="1:15" ht="21.75" customHeight="1" x14ac:dyDescent="0.55000000000000004">
      <c r="A133" s="543"/>
      <c r="B133" s="543"/>
      <c r="C133" s="543"/>
      <c r="D133" s="543"/>
      <c r="E133" s="543"/>
      <c r="F133" s="543"/>
      <c r="G133" s="543"/>
      <c r="H133" s="543"/>
      <c r="I133" s="543"/>
      <c r="J133" s="543"/>
      <c r="K133" s="543"/>
      <c r="L133" s="543"/>
      <c r="M133" s="543"/>
      <c r="N133" s="543"/>
      <c r="O133" s="543"/>
    </row>
    <row r="134" spans="1:15" ht="21.75" customHeight="1" x14ac:dyDescent="0.55000000000000004">
      <c r="A134" s="543"/>
      <c r="B134" s="543"/>
      <c r="C134" s="543"/>
      <c r="D134" s="543"/>
      <c r="E134" s="543"/>
      <c r="F134" s="543"/>
      <c r="G134" s="543"/>
      <c r="H134" s="543"/>
      <c r="I134" s="543"/>
      <c r="J134" s="543"/>
      <c r="K134" s="543"/>
      <c r="L134" s="543"/>
      <c r="M134" s="543"/>
      <c r="N134" s="543"/>
      <c r="O134" s="543"/>
    </row>
    <row r="135" spans="1:15" ht="21.75" customHeight="1" x14ac:dyDescent="0.55000000000000004">
      <c r="A135" s="543"/>
      <c r="B135" s="543"/>
      <c r="C135" s="543"/>
      <c r="D135" s="543"/>
      <c r="E135" s="543"/>
      <c r="F135" s="543"/>
      <c r="G135" s="543"/>
      <c r="H135" s="543"/>
      <c r="I135" s="543"/>
      <c r="J135" s="543"/>
      <c r="K135" s="543"/>
      <c r="L135" s="543"/>
      <c r="M135" s="543"/>
      <c r="N135" s="543"/>
      <c r="O135" s="543"/>
    </row>
    <row r="136" spans="1:15" ht="21.75" customHeight="1" x14ac:dyDescent="0.55000000000000004">
      <c r="A136" s="543"/>
      <c r="B136" s="543"/>
      <c r="C136" s="543"/>
      <c r="D136" s="543"/>
      <c r="E136" s="543"/>
      <c r="F136" s="543"/>
      <c r="G136" s="543"/>
      <c r="H136" s="543"/>
      <c r="I136" s="543"/>
      <c r="J136" s="543"/>
      <c r="K136" s="543"/>
      <c r="L136" s="543"/>
      <c r="M136" s="543"/>
      <c r="N136" s="543"/>
      <c r="O136" s="543"/>
    </row>
    <row r="137" spans="1:15" ht="21.75" customHeight="1" x14ac:dyDescent="0.55000000000000004">
      <c r="A137" s="543"/>
      <c r="B137" s="543"/>
      <c r="C137" s="543"/>
      <c r="D137" s="543"/>
      <c r="E137" s="543"/>
      <c r="F137" s="543"/>
      <c r="G137" s="543"/>
      <c r="H137" s="543"/>
      <c r="I137" s="543"/>
      <c r="J137" s="543"/>
      <c r="K137" s="543"/>
      <c r="L137" s="543"/>
      <c r="M137" s="543"/>
      <c r="N137" s="543"/>
      <c r="O137" s="543"/>
    </row>
    <row r="138" spans="1:15" ht="21.75" customHeight="1" x14ac:dyDescent="0.55000000000000004">
      <c r="A138" s="543"/>
      <c r="B138" s="543"/>
      <c r="C138" s="543"/>
      <c r="D138" s="543"/>
      <c r="E138" s="543"/>
      <c r="F138" s="543"/>
      <c r="G138" s="543"/>
      <c r="H138" s="543"/>
      <c r="I138" s="543"/>
      <c r="J138" s="543"/>
      <c r="K138" s="543"/>
      <c r="L138" s="543"/>
      <c r="M138" s="543"/>
      <c r="N138" s="543"/>
      <c r="O138" s="543"/>
    </row>
    <row r="139" spans="1:15" ht="21.75" customHeight="1" x14ac:dyDescent="0.55000000000000004">
      <c r="A139" s="543"/>
      <c r="B139" s="543"/>
      <c r="C139" s="543"/>
      <c r="D139" s="543"/>
      <c r="E139" s="543"/>
      <c r="F139" s="543"/>
      <c r="G139" s="543"/>
      <c r="H139" s="543"/>
      <c r="I139" s="543"/>
      <c r="J139" s="543"/>
      <c r="K139" s="543"/>
      <c r="L139" s="543"/>
      <c r="M139" s="543"/>
      <c r="N139" s="543"/>
      <c r="O139" s="543"/>
    </row>
    <row r="140" spans="1:15" ht="21.75" customHeight="1" x14ac:dyDescent="0.55000000000000004">
      <c r="A140" s="543"/>
      <c r="B140" s="543"/>
      <c r="C140" s="543"/>
      <c r="D140" s="543"/>
      <c r="E140" s="543"/>
      <c r="F140" s="543"/>
      <c r="G140" s="543"/>
      <c r="H140" s="543"/>
      <c r="I140" s="543"/>
      <c r="J140" s="543"/>
      <c r="K140" s="543"/>
      <c r="L140" s="543"/>
      <c r="M140" s="543"/>
      <c r="N140" s="543"/>
      <c r="O140" s="543"/>
    </row>
    <row r="141" spans="1:15" ht="21.75" customHeight="1" x14ac:dyDescent="0.55000000000000004">
      <c r="A141" s="543"/>
      <c r="B141" s="543"/>
      <c r="C141" s="543"/>
      <c r="D141" s="543"/>
      <c r="E141" s="543"/>
      <c r="F141" s="543"/>
      <c r="G141" s="543"/>
      <c r="H141" s="543"/>
      <c r="I141" s="543"/>
      <c r="J141" s="543"/>
      <c r="K141" s="543"/>
      <c r="L141" s="543"/>
      <c r="M141" s="543"/>
      <c r="N141" s="543"/>
      <c r="O141" s="543"/>
    </row>
    <row r="142" spans="1:15" ht="21.75" customHeight="1" x14ac:dyDescent="0.55000000000000004">
      <c r="A142" s="543"/>
      <c r="B142" s="543"/>
      <c r="C142" s="543"/>
      <c r="D142" s="543"/>
      <c r="E142" s="543"/>
      <c r="F142" s="543"/>
      <c r="G142" s="543"/>
      <c r="H142" s="543"/>
      <c r="I142" s="543"/>
      <c r="J142" s="543"/>
      <c r="K142" s="543"/>
      <c r="L142" s="543"/>
      <c r="M142" s="543"/>
      <c r="N142" s="543"/>
      <c r="O142" s="543"/>
    </row>
    <row r="143" spans="1:15" ht="21.75" customHeight="1" x14ac:dyDescent="0.55000000000000004">
      <c r="A143" s="543"/>
      <c r="B143" s="543"/>
      <c r="C143" s="543"/>
      <c r="D143" s="543"/>
      <c r="E143" s="543"/>
      <c r="F143" s="543"/>
      <c r="G143" s="543"/>
      <c r="H143" s="543"/>
      <c r="I143" s="543"/>
      <c r="J143" s="543"/>
      <c r="K143" s="543"/>
      <c r="L143" s="543"/>
      <c r="M143" s="543"/>
      <c r="N143" s="543"/>
      <c r="O143" s="543"/>
    </row>
    <row r="144" spans="1:15" ht="21.75" customHeight="1" x14ac:dyDescent="0.55000000000000004">
      <c r="A144" s="543"/>
      <c r="B144" s="543"/>
      <c r="C144" s="543"/>
      <c r="D144" s="543"/>
      <c r="E144" s="543"/>
      <c r="F144" s="543"/>
      <c r="G144" s="543"/>
      <c r="H144" s="543"/>
      <c r="I144" s="543"/>
      <c r="J144" s="543"/>
      <c r="K144" s="543"/>
      <c r="L144" s="543"/>
      <c r="M144" s="543"/>
      <c r="N144" s="543"/>
      <c r="O144" s="543"/>
    </row>
    <row r="145" spans="1:15" ht="21.75" customHeight="1" x14ac:dyDescent="0.55000000000000004">
      <c r="A145" s="543"/>
      <c r="B145" s="543"/>
      <c r="C145" s="543"/>
      <c r="D145" s="543"/>
      <c r="E145" s="543"/>
      <c r="F145" s="543"/>
      <c r="G145" s="543"/>
      <c r="H145" s="543"/>
      <c r="I145" s="543"/>
      <c r="J145" s="543"/>
      <c r="K145" s="543"/>
      <c r="L145" s="543"/>
      <c r="M145" s="543"/>
      <c r="N145" s="543"/>
      <c r="O145" s="543"/>
    </row>
    <row r="146" spans="1:15" ht="21.75" customHeight="1" x14ac:dyDescent="0.55000000000000004">
      <c r="A146" s="543"/>
      <c r="B146" s="543"/>
      <c r="C146" s="543"/>
      <c r="D146" s="543"/>
      <c r="E146" s="543"/>
      <c r="F146" s="543"/>
      <c r="G146" s="543"/>
      <c r="H146" s="543"/>
      <c r="I146" s="543"/>
      <c r="J146" s="543"/>
      <c r="K146" s="543"/>
      <c r="L146" s="543"/>
      <c r="M146" s="543"/>
      <c r="N146" s="543"/>
      <c r="O146" s="543"/>
    </row>
    <row r="1048510" ht="12.75" customHeight="1" x14ac:dyDescent="0.55000000000000004"/>
    <row r="1048511" ht="12.75" customHeight="1" x14ac:dyDescent="0.55000000000000004"/>
    <row r="1048512" ht="12.75" customHeight="1" x14ac:dyDescent="0.55000000000000004"/>
    <row r="1048513" ht="12.75" customHeight="1" x14ac:dyDescent="0.55000000000000004"/>
    <row r="1048514" ht="12.75" customHeight="1" x14ac:dyDescent="0.55000000000000004"/>
    <row r="1048515" ht="12.75" customHeight="1" x14ac:dyDescent="0.55000000000000004"/>
    <row r="1048516" ht="12.75" customHeight="1" x14ac:dyDescent="0.55000000000000004"/>
    <row r="1048517" ht="12.75" customHeight="1" x14ac:dyDescent="0.55000000000000004"/>
    <row r="1048518" ht="12.75" customHeight="1" x14ac:dyDescent="0.55000000000000004"/>
    <row r="1048519" ht="12.75" customHeight="1" x14ac:dyDescent="0.55000000000000004"/>
    <row r="1048520" ht="12.75" customHeight="1" x14ac:dyDescent="0.55000000000000004"/>
    <row r="1048521" ht="12.75" customHeight="1" x14ac:dyDescent="0.55000000000000004"/>
    <row r="1048522" ht="12.75" customHeight="1" x14ac:dyDescent="0.55000000000000004"/>
    <row r="1048523" ht="12.75" customHeight="1" x14ac:dyDescent="0.55000000000000004"/>
    <row r="1048524" ht="12.75" customHeight="1" x14ac:dyDescent="0.55000000000000004"/>
    <row r="1048525" ht="12.75" customHeight="1" x14ac:dyDescent="0.55000000000000004"/>
    <row r="1048526" ht="12.75" customHeight="1" x14ac:dyDescent="0.55000000000000004"/>
    <row r="1048527" ht="12.75" customHeight="1" x14ac:dyDescent="0.55000000000000004"/>
    <row r="1048528" ht="12.75" customHeight="1" x14ac:dyDescent="0.55000000000000004"/>
    <row r="1048529" ht="12.75" customHeight="1" x14ac:dyDescent="0.55000000000000004"/>
    <row r="1048530" ht="12.75" customHeight="1" x14ac:dyDescent="0.55000000000000004"/>
    <row r="1048531" ht="12.75" customHeight="1" x14ac:dyDescent="0.55000000000000004"/>
    <row r="1048532" ht="12.75" customHeight="1" x14ac:dyDescent="0.55000000000000004"/>
    <row r="1048533" ht="12.75" customHeight="1" x14ac:dyDescent="0.55000000000000004"/>
    <row r="1048534" ht="12.75" customHeight="1" x14ac:dyDescent="0.55000000000000004"/>
    <row r="1048535" ht="12.75" customHeight="1" x14ac:dyDescent="0.55000000000000004"/>
    <row r="1048536" ht="12.75" customHeight="1" x14ac:dyDescent="0.55000000000000004"/>
    <row r="1048537" ht="12.75" customHeight="1" x14ac:dyDescent="0.55000000000000004"/>
    <row r="1048538" ht="12.75" customHeight="1" x14ac:dyDescent="0.55000000000000004"/>
    <row r="1048539" ht="12.75" customHeight="1" x14ac:dyDescent="0.55000000000000004"/>
    <row r="1048540" ht="12.75" customHeight="1" x14ac:dyDescent="0.55000000000000004"/>
    <row r="1048541" ht="12.75" customHeight="1" x14ac:dyDescent="0.55000000000000004"/>
    <row r="1048542" ht="12.75" customHeight="1" x14ac:dyDescent="0.55000000000000004"/>
    <row r="1048543" ht="12.75" customHeight="1" x14ac:dyDescent="0.55000000000000004"/>
    <row r="1048544" ht="12.75" customHeight="1" x14ac:dyDescent="0.55000000000000004"/>
    <row r="1048545" ht="12.75" customHeight="1" x14ac:dyDescent="0.55000000000000004"/>
    <row r="1048546" ht="12.75" customHeight="1" x14ac:dyDescent="0.55000000000000004"/>
    <row r="1048547" ht="12.75" customHeight="1" x14ac:dyDescent="0.55000000000000004"/>
    <row r="1048548" ht="12.75" customHeight="1" x14ac:dyDescent="0.55000000000000004"/>
    <row r="1048549" ht="12.75" customHeight="1" x14ac:dyDescent="0.55000000000000004"/>
    <row r="1048550" ht="12.75" customHeight="1" x14ac:dyDescent="0.55000000000000004"/>
    <row r="1048551" ht="12.75" customHeight="1" x14ac:dyDescent="0.55000000000000004"/>
    <row r="1048552" ht="12.75" customHeight="1" x14ac:dyDescent="0.55000000000000004"/>
    <row r="1048553" ht="12.75" customHeight="1" x14ac:dyDescent="0.55000000000000004"/>
    <row r="1048554" ht="12.75" customHeight="1" x14ac:dyDescent="0.55000000000000004"/>
    <row r="1048555" ht="12.75" customHeight="1" x14ac:dyDescent="0.55000000000000004"/>
    <row r="1048556" ht="12.75" customHeight="1" x14ac:dyDescent="0.55000000000000004"/>
    <row r="1048557" ht="12.75" customHeight="1" x14ac:dyDescent="0.55000000000000004"/>
    <row r="1048558" ht="12.75" customHeight="1" x14ac:dyDescent="0.55000000000000004"/>
    <row r="1048559" ht="12.75" customHeight="1" x14ac:dyDescent="0.55000000000000004"/>
    <row r="1048560" ht="12.75" customHeight="1" x14ac:dyDescent="0.55000000000000004"/>
  </sheetData>
  <mergeCells count="7">
    <mergeCell ref="A84:B84"/>
    <mergeCell ref="A108:B108"/>
    <mergeCell ref="A1:O1"/>
    <mergeCell ref="A13:B13"/>
    <mergeCell ref="A32:B32"/>
    <mergeCell ref="A44:H44"/>
    <mergeCell ref="A60:B60"/>
  </mergeCells>
  <conditionalFormatting sqref="C3:O12">
    <cfRule type="containsText" dxfId="0" priority="2" operator="containsText" text="n.d.">
      <formula>NOT(ISERROR(SEARCH("n.d.",C3)))</formula>
    </cfRule>
  </conditionalFormatting>
  <pageMargins left="0.7" right="0.7" top="0.75" bottom="0.75" header="0.511811023622047" footer="0.511811023622047"/>
  <pageSetup paperSize="9" orientation="portrait" horizontalDpi="300" verticalDpi="300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6202C57E8A91488ECE962D63A71F10" ma:contentTypeVersion="28" ma:contentTypeDescription="Create a new document." ma:contentTypeScope="" ma:versionID="654b7b56a2fe923677a210f40454c90d">
  <xsd:schema xmlns:xsd="http://www.w3.org/2001/XMLSchema" xmlns:xs="http://www.w3.org/2001/XMLSchema" xmlns:p="http://schemas.microsoft.com/office/2006/metadata/properties" xmlns:ns1="http://schemas.microsoft.com/sharepoint/v3" xmlns:ns2="6bd9865d-c7d0-4288-ab0a-9d4dee1c94e8" xmlns:ns3="80985e37-4d14-49b1-85af-18f353798ba1" targetNamespace="http://schemas.microsoft.com/office/2006/metadata/properties" ma:root="true" ma:fieldsID="edcb1f821f7d503522bc666ddf0654bb" ns1:_="" ns2:_="" ns3:_="">
    <xsd:import namespace="http://schemas.microsoft.com/sharepoint/v3"/>
    <xsd:import namespace="6bd9865d-c7d0-4288-ab0a-9d4dee1c94e8"/>
    <xsd:import namespace="80985e37-4d14-49b1-85af-18f353798b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9865d-c7d0-4288-ab0a-9d4dee1c9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976c244-545e-4324-b4dc-13be35ff8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985e37-4d14-49b1-85af-18f353798ba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fa6364-4a4c-4116-acd5-17595be27265}" ma:internalName="TaxCatchAll" ma:showField="CatchAllData" ma:web="80985e37-4d14-49b1-85af-18f353798b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d9865d-c7d0-4288-ab0a-9d4dee1c94e8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80985e37-4d14-49b1-85af-18f353798ba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6861DB-FB4C-488A-A61A-6C0F21798E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bd9865d-c7d0-4288-ab0a-9d4dee1c94e8"/>
    <ds:schemaRef ds:uri="80985e37-4d14-49b1-85af-18f353798b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E66862-747A-4F20-9570-E7335C487A79}">
  <ds:schemaRefs>
    <ds:schemaRef ds:uri="http://www.w3.org/XML/1998/namespace"/>
    <ds:schemaRef ds:uri="http://purl.org/dc/elements/1.1/"/>
    <ds:schemaRef ds:uri="http://schemas.microsoft.com/sharepoint/v3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80985e37-4d14-49b1-85af-18f353798ba1"/>
    <ds:schemaRef ds:uri="6bd9865d-c7d0-4288-ab0a-9d4dee1c94e8"/>
  </ds:schemaRefs>
</ds:datastoreItem>
</file>

<file path=customXml/itemProps3.xml><?xml version="1.0" encoding="utf-8"?>
<ds:datastoreItem xmlns:ds="http://schemas.openxmlformats.org/officeDocument/2006/customXml" ds:itemID="{A67BA58C-E09F-40CE-919E-A37EBC9C3B1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8a04aee-a64e-44f0-a8b2-827673f450dc}" enabled="1" method="Standard" siteId="{31289701-2511-4b48-b59d-bfc969d3a98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1</vt:i4>
      </vt:variant>
    </vt:vector>
  </HeadingPairs>
  <TitlesOfParts>
    <vt:vector size="25" baseType="lpstr">
      <vt:lpstr>2024-Formato 2M</vt:lpstr>
      <vt:lpstr>Costa Sur</vt:lpstr>
      <vt:lpstr>Turbinas CS</vt:lpstr>
      <vt:lpstr>CS 5</vt:lpstr>
      <vt:lpstr>CS6</vt:lpstr>
      <vt:lpstr>San Juan</vt:lpstr>
      <vt:lpstr>Cálculos SJ</vt:lpstr>
      <vt:lpstr>Cálculos SJ5</vt:lpstr>
      <vt:lpstr>Cálculos SJ6</vt:lpstr>
      <vt:lpstr>Aguirre</vt:lpstr>
      <vt:lpstr>Cálculos AG</vt:lpstr>
      <vt:lpstr>Palo Seco</vt:lpstr>
      <vt:lpstr>Cálculos PS</vt:lpstr>
      <vt:lpstr>MPs PS</vt:lpstr>
      <vt:lpstr>Turbinas</vt:lpstr>
      <vt:lpstr>Cálculos Cambalache (60%)</vt:lpstr>
      <vt:lpstr>CEMS Cambalache</vt:lpstr>
      <vt:lpstr>Cálculos Daguao</vt:lpstr>
      <vt:lpstr>Cálculos Yabucoa</vt:lpstr>
      <vt:lpstr>Cálculos Vega Baja</vt:lpstr>
      <vt:lpstr>Cálculos Jobos</vt:lpstr>
      <vt:lpstr>Cálculos Mayagüez</vt:lpstr>
      <vt:lpstr>Mensual 2024</vt:lpstr>
      <vt:lpstr>Tasas 2024</vt:lpstr>
      <vt:lpstr>'2024-Formato 2M'!Print_Titles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Eliezer J Pimentel Lopez</cp:lastModifiedBy>
  <cp:revision>0</cp:revision>
  <dcterms:created xsi:type="dcterms:W3CDTF">2026-09-22T19:37:33Z</dcterms:created>
  <dcterms:modified xsi:type="dcterms:W3CDTF">2026-09-23T00:23:54Z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0x010100356202C57E8A91488ECE962D63A71F10</vt:lpwstr>
  </property>
  <property fmtid="{D5CDD505-2E9C-101B-9397-08002B2CF9AE}" pid="3" name="MediaServiceImageTags">
    <vt:lpwstr/>
  </property>
</Properties>
</file>